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5tD83wgdWfUZeYNvJ0B7Dk2NBVS/G3eZBWkchX/y4Dg="/>
    </ext>
  </extLst>
</workbook>
</file>

<file path=xl/sharedStrings.xml><?xml version="1.0" encoding="utf-8"?>
<sst xmlns="http://schemas.openxmlformats.org/spreadsheetml/2006/main" count="1543" uniqueCount="1278">
  <si>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</si>
  <si>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</si>
  <si>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</si>
  <si>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</si>
  <si>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</si>
  <si>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</si>
  <si>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</si>
  <si>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</si>
  <si>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</si>
  <si>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</si>
  <si>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</si>
  <si>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</si>
  <si>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</si>
  <si>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</si>
  <si>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</si>
  <si>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</si>
  <si>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</si>
  <si>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</si>
  <si>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</si>
  <si>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</si>
  <si>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</si>
  <si>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</si>
  <si>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</si>
  <si>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</si>
  <si>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</si>
  <si>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</si>
  <si>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</si>
  <si>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</si>
  <si>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</si>
  <si>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</si>
  <si>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</si>
  <si>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</si>
  <si>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</si>
  <si>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</si>
  <si>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</si>
  <si>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</si>
  <si>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</si>
  <si>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</si>
  <si>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</si>
  <si>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</si>
  <si>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</si>
  <si>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</si>
  <si>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</si>
  <si>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</si>
  <si>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</si>
  <si>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</si>
  <si>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</si>
  <si>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</si>
  <si>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</si>
  <si>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</si>
  <si>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</si>
  <si>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</si>
  <si>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</si>
  <si>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</si>
  <si>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</si>
  <si>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</si>
  <si>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</si>
  <si>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</si>
  <si>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</si>
  <si>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</si>
  <si>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</si>
  <si>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</si>
  <si>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</si>
  <si>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</si>
  <si>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</si>
  <si>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</si>
  <si>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</si>
  <si>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</si>
  <si>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</si>
  <si>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</si>
  <si>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</si>
  <si>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</si>
  <si>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</si>
  <si>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</si>
  <si>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</si>
  <si>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</si>
  <si>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</si>
  <si>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</si>
  <si>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</si>
  <si>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</si>
  <si>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</si>
  <si>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</si>
  <si>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</si>
  <si>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</si>
  <si>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</si>
  <si>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</si>
  <si>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</si>
  <si>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</si>
  <si>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</si>
  <si>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</si>
  <si>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</si>
  <si>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</si>
  <si>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</si>
  <si>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</si>
  <si>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</si>
  <si>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</si>
  <si>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app_version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</si>
  <si>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</si>
  <si>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</si>
  <si>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</si>
  <si>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</si>
  <si>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</si>
  <si>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</si>
  <si>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</si>
  <si>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</si>
  <si>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</si>
  <si>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</si>
  <si>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</si>
  <si>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</si>
  <si>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</si>
  <si>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</si>
  <si>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</si>
  <si>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</si>
  <si>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</si>
  <si>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</si>
  <si>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</si>
  <si>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</si>
  <si>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</si>
  <si>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</si>
  <si>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</si>
  <si>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</si>
  <si>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</si>
  <si>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</si>
  <si>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</si>
  <si>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</si>
  <si>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</si>
  <si>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</si>
  <si>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</si>
  <si>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</si>
  <si>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</si>
  <si>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</si>
  <si>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</si>
  <si>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</si>
  <si>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</si>
  <si>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</si>
  <si>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</si>
  <si>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</si>
  <si>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</si>
  <si>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</si>
  <si>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</si>
  <si>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</si>
  <si>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</si>
  <si>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</si>
  <si>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</si>
  <si>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</si>
  <si>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</si>
  <si>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</si>
  <si>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</si>
  <si>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</si>
  <si>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</si>
  <si>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</si>
  <si>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</si>
  <si>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</si>
  <si>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</si>
  <si>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</si>
  <si>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</si>
  <si>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</si>
  <si>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</si>
  <si>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</si>
  <si>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</si>
  <si>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</si>
  <si>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</si>
  <si>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</si>
  <si>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</si>
  <si>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</si>
  <si>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</si>
  <si>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</si>
  <si>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</si>
  <si>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</si>
  <si>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</si>
  <si>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</si>
  <si>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</si>
  <si>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</si>
  <si>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</si>
  <si>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</si>
  <si>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</si>
  <si>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</si>
  <si>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</si>
  <si>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</si>
  <si>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</si>
  <si>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</si>
  <si>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</si>
  <si>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</si>
  <si>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</si>
  <si>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</si>
  <si>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</si>
  <si>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</si>
  <si>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</si>
  <si>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</si>
  <si>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</si>
  <si>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</si>
  <si>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</si>
  <si>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</si>
  <si>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</si>
  <si>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</si>
  <si>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</si>
  <si>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</si>
  <si>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</si>
  <si>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</si>
  <si>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</si>
  <si>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</si>
  <si>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</si>
  <si>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</si>
  <si>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</si>
  <si>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</si>
  <si>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</si>
  <si>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</si>
  <si>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</si>
  <si>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</si>
  <si>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</si>
  <si>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</si>
  <si>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</si>
  <si>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</si>
  <si>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</si>
  <si>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</si>
  <si>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</si>
  <si>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</si>
  <si>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</si>
  <si>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</si>
  <si>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</si>
  <si>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</si>
  <si>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</si>
  <si>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</si>
  <si>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</si>
  <si>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</si>
  <si>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</si>
  <si>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</si>
  <si>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</si>
  <si>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</si>
  <si>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</si>
  <si>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</si>
  <si>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</si>
  <si>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</si>
  <si>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</si>
  <si>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</si>
  <si>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</si>
  <si>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</si>
  <si>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</si>
  <si>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</si>
  <si>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</si>
  <si>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</si>
  <si>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</si>
  <si>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</si>
  <si>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</si>
  <si>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</si>
  <si>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</si>
  <si>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</si>
  <si>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</si>
  <si>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</si>
  <si>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</si>
  <si>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</si>
  <si>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</si>
  <si>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</si>
  <si>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</si>
  <si>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</si>
  <si>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</si>
  <si>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</si>
  <si>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</si>
  <si>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</si>
  <si>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</si>
  <si>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</si>
  <si>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</si>
  <si>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</si>
  <si>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</si>
  <si>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</si>
  <si>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</si>
  <si>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</si>
  <si>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</si>
  <si>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</si>
  <si>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</si>
  <si>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</si>
  <si>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</si>
  <si>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</si>
  <si>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</si>
  <si>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</si>
  <si>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</si>
  <si>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</si>
  <si>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</si>
  <si>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</si>
  <si>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</si>
  <si>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</si>
  <si>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</si>
  <si>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</si>
  <si>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</si>
  <si>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</si>
  <si>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</si>
  <si>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</si>
  <si>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</si>
  <si>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</si>
  <si>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</si>
  <si>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</si>
  <si>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</si>
  <si>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</si>
  <si>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</si>
  <si>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</si>
  <si>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</si>
  <si>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</si>
  <si>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</si>
  <si>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</si>
  <si>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</si>
  <si>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</si>
  <si>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</si>
  <si>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</si>
  <si>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</si>
  <si>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</si>
  <si>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</si>
  <si>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</si>
  <si>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</si>
  <si>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</si>
  <si>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</si>
  <si>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</si>
  <si>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</si>
  <si>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</si>
  <si>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</si>
  <si>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</si>
  <si>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</si>
  <si>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</si>
  <si>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</si>
  <si>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</si>
  <si>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</si>
  <si>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</si>
  <si>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</si>
  <si>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</si>
  <si>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</si>
  <si>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</si>
  <si>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</si>
  <si>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</si>
  <si>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</si>
  <si>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</si>
  <si>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</si>
  <si>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</si>
  <si>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</si>
  <si>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</si>
  <si>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</si>
  <si>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</si>
  <si>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</si>
  <si>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</si>
  <si>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</si>
  <si>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</si>
  <si>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</si>
  <si>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</si>
  <si>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</si>
  <si>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</si>
  <si>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</si>
  <si>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</si>
  <si>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</si>
  <si>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</si>
  <si>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</si>
  <si>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</si>
  <si>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</si>
  <si>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</si>
  <si>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</si>
  <si>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</si>
  <si>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</si>
  <si>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</si>
  <si>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</si>
  <si>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</si>
  <si>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</si>
  <si>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</si>
  <si>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</si>
  <si>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</si>
  <si>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</si>
  <si>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</si>
  <si>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</si>
  <si>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</si>
  <si>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</si>
  <si>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</si>
  <si>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</si>
  <si>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</si>
  <si>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</si>
  <si>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</si>
  <si>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</si>
  <si>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</si>
  <si>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</si>
  <si>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</si>
  <si>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</si>
  <si>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</si>
  <si>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</si>
  <si>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</si>
  <si>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</si>
  <si>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</si>
  <si>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</si>
  <si>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</si>
  <si>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</si>
  <si>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</si>
  <si>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</si>
  <si>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</si>
  <si>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</si>
  <si>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</si>
  <si>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</si>
  <si>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</si>
  <si>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</si>
  <si>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</si>
  <si>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</si>
  <si>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</si>
  <si>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</si>
  <si>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</si>
  <si>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</si>
  <si>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</si>
  <si>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</si>
  <si>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</si>
  <si>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</si>
  <si>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</si>
  <si>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</si>
  <si>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</si>
  <si>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</si>
  <si>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</si>
  <si>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</si>
  <si>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</si>
  <si>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</si>
  <si>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</si>
  <si>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</si>
  <si>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</si>
  <si>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</si>
  <si>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</si>
  <si>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</si>
  <si>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</si>
  <si>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</si>
  <si>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</si>
  <si>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</si>
  <si>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</si>
  <si>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</si>
  <si>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</si>
  <si>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</si>
  <si>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</si>
  <si>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</si>
  <si>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</si>
  <si>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</si>
  <si>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</si>
  <si>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</si>
  <si>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</si>
  <si>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</si>
  <si>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</si>
  <si>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</si>
  <si>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</si>
  <si>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</si>
  <si>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</si>
  <si>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</si>
  <si>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</si>
  <si>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</si>
  <si>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</si>
  <si>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</si>
  <si>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</si>
  <si>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</si>
  <si>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</si>
  <si>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</si>
  <si>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</si>
  <si>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</si>
  <si>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</si>
  <si>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</si>
  <si>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</si>
  <si>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</si>
  <si>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</si>
  <si>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</si>
  <si>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</si>
  <si>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</si>
  <si>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</si>
  <si>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</si>
  <si>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</si>
  <si>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</si>
  <si>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</si>
  <si>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</si>
  <si>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</si>
  <si>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</si>
  <si>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</si>
  <si>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</si>
  <si>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</si>
  <si>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</si>
  <si>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</si>
  <si>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</si>
  <si>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</si>
  <si>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</si>
  <si>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</si>
  <si>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</si>
  <si>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</si>
  <si>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</si>
  <si>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</si>
  <si>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</si>
  <si>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</si>
  <si>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</si>
  <si>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</si>
  <si>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</si>
  <si>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</si>
  <si>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</si>
  <si>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</si>
  <si>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</si>
  <si>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</si>
  <si>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</si>
  <si>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</si>
  <si>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</si>
  <si>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</si>
  <si>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</si>
  <si>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</si>
  <si>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</si>
  <si>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</si>
  <si>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</si>
  <si>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</si>
  <si>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</si>
  <si>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</si>
  <si>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</si>
  <si>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</si>
  <si>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model_training_caret_metrics_download_all</t>
  </si>
  <si>
    <t>model_training_caret_metrics_download_all_ui</t>
  </si>
  <si>
    <t>model_training_caret_metrics_download_all_zip_pb</t>
  </si>
  <si>
    <t>model_training_caret_metrics_download_all_zip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</si>
  <si>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</si>
  <si>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</si>
  <si>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</si>
  <si>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</si>
  <si>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</si>
  <si>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</si>
  <si>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</si>
  <si>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</si>
  <si>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</si>
  <si>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</si>
  <si>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</si>
  <si>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</si>
  <si>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</si>
  <si>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</si>
  <si>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</si>
  <si>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</si>
  <si>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</si>
  <si>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</si>
  <si>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</si>
  <si>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</si>
  <si>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</si>
  <si>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</si>
  <si>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</si>
  <si>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</si>
  <si>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</si>
  <si>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</si>
  <si>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</si>
  <si>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</si>
  <si>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</si>
  <si>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</si>
  <si>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</si>
  <si>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</si>
  <si>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</si>
  <si>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</si>
  <si>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</si>
  <si>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</si>
  <si>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</si>
  <si>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</si>
  <si>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</si>
  <si>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</si>
  <si>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</si>
  <si>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</si>
  <si>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</si>
  <si>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</si>
  <si>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</si>
  <si>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</si>
  <si>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</si>
  <si>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</si>
  <si>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</si>
  <si>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</si>
  <si>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</si>
  <si>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</si>
  <si>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</si>
  <si>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</si>
  <si>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</si>
  <si>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</si>
  <si>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</si>
  <si>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</si>
  <si>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</si>
  <si>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</si>
  <si>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</si>
  <si>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</si>
  <si>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</si>
  <si>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</si>
  <si>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</si>
  <si>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</si>
  <si>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</si>
  <si>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</si>
  <si>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</si>
  <si>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</si>
  <si>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</si>
  <si>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</si>
  <si>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</si>
  <si>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</si>
  <si>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</si>
  <si>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</si>
  <si>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</si>
  <si>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</si>
  <si>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</si>
  <si>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</si>
  <si>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</si>
  <si>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</si>
  <si>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</si>
  <si>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</si>
  <si>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</si>
  <si>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</si>
  <si>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</si>
  <si>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</si>
  <si>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</si>
  <si>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</si>
  <si>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</si>
  <si>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APP Version: v.26.01.1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</si>
  <si>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</si>
  <si>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</si>
  <si>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</si>
  <si>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</si>
  <si>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</si>
  <si>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</si>
  <si>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</si>
  <si>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</si>
  <si>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</si>
  <si>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</si>
  <si>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</si>
  <si>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</si>
  <si>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</si>
  <si>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</si>
  <si>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</si>
  <si>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</si>
  <si>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</si>
  <si>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</si>
  <si>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</si>
  <si>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</si>
  <si>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</si>
  <si>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</si>
  <si>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</si>
  <si>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</si>
  <si>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</si>
  <si>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</si>
  <si>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</si>
  <si>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</si>
  <si>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</si>
  <si>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</si>
  <si>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</si>
  <si>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</si>
  <si>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</si>
  <si>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</si>
  <si>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</si>
  <si>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</si>
  <si>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</si>
  <si>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</si>
  <si>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</si>
  <si>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</si>
  <si>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</si>
  <si>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</si>
  <si>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</si>
  <si>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</si>
  <si>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</si>
  <si>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</si>
  <si>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</si>
  <si>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</si>
  <si>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</si>
  <si>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</si>
  <si>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</si>
  <si>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</si>
  <si>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</si>
  <si>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</si>
  <si>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</si>
  <si>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</si>
  <si>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</si>
  <si>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</si>
  <si>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</si>
  <si>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</si>
  <si>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</si>
  <si>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</si>
  <si>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</si>
  <si>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</si>
  <si>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</si>
  <si>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</si>
  <si>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</si>
  <si>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</si>
  <si>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</si>
  <si>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</si>
  <si>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</si>
  <si>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</si>
  <si>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</si>
  <si>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</si>
  <si>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</si>
  <si>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</si>
  <si>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</si>
  <si>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</si>
  <si>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</si>
  <si>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</si>
  <si>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</si>
  <si>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</si>
  <si>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</si>
  <si>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</si>
  <si>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</si>
  <si>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</si>
  <si>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</si>
  <si>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</si>
  <si>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</si>
  <si>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</si>
  <si>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</si>
  <si>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</si>
  <si>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</si>
  <si>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</si>
  <si>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</si>
  <si>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</si>
  <si>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</si>
  <si>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</si>
  <si>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</si>
  <si>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</si>
  <si>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</si>
  <si>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</si>
  <si>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</si>
  <si>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</si>
  <si>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</si>
  <si>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</si>
  <si>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</si>
  <si>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</si>
  <si>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</si>
  <si>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</si>
  <si>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</si>
  <si>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</si>
  <si>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</si>
  <si>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</si>
  <si>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</si>
  <si>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</si>
  <si>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</si>
  <si>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</si>
  <si>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</si>
  <si>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</si>
  <si>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</si>
  <si>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</si>
  <si>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</si>
  <si>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</si>
  <si>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</si>
  <si>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</si>
  <si>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</si>
  <si>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</si>
  <si>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</si>
  <si>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</si>
  <si>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</si>
  <si>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</si>
  <si>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</si>
  <si>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</si>
  <si>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</si>
  <si>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</si>
  <si>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</si>
  <si>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</si>
  <si>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</si>
  <si>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</si>
  <si>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</si>
  <si>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</si>
  <si>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</si>
  <si>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</si>
  <si>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</si>
  <si>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</si>
  <si>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</si>
  <si>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</si>
  <si>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</si>
  <si>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</si>
  <si>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</si>
  <si>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</si>
  <si>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</si>
  <si>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</si>
  <si>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</si>
  <si>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</si>
  <si>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</si>
  <si>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</si>
  <si>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</si>
  <si>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</si>
  <si>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</si>
  <si>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</si>
  <si>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</si>
  <si>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</si>
  <si>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</si>
  <si>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</si>
  <si>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</si>
  <si>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</si>
  <si>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</si>
  <si>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</si>
  <si>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</si>
  <si>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</si>
  <si>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</si>
  <si>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</si>
  <si>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</si>
  <si>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</si>
  <si>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</si>
  <si>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</si>
  <si>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</si>
  <si>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</si>
  <si>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</si>
  <si>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</si>
  <si>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</si>
  <si>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</si>
  <si>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</si>
  <si>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</si>
  <si>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</si>
  <si>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</si>
  <si>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</si>
  <si>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</si>
  <si>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</si>
  <si>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</si>
  <si>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</si>
  <si>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</si>
  <si>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</si>
  <si>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</si>
  <si>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</si>
  <si>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</si>
  <si>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</si>
  <si>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</si>
  <si>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</si>
  <si>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</si>
  <si>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</si>
  <si>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</si>
  <si>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</si>
  <si>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</si>
  <si>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</si>
  <si>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</si>
  <si>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</si>
  <si>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</si>
  <si>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</si>
  <si>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</si>
  <si>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</si>
  <si>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</si>
  <si>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</si>
  <si>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</si>
  <si>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</si>
  <si>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</si>
  <si>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</si>
  <si>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</si>
  <si>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</si>
  <si>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</si>
  <si>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</si>
  <si>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</si>
  <si>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</si>
  <si>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</si>
  <si>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</si>
  <si>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</si>
  <si>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</si>
  <si>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</si>
  <si>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</si>
  <si>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</si>
  <si>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</si>
  <si>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</si>
  <si>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</si>
  <si>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</si>
  <si>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</si>
  <si>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</si>
  <si>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</si>
  <si>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</si>
  <si>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</si>
  <si>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</si>
  <si>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</si>
  <si>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</si>
  <si>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</si>
  <si>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</si>
  <si>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</si>
  <si>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</si>
  <si>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</si>
  <si>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</si>
  <si>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</si>
  <si>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</si>
  <si>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</si>
  <si>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</si>
  <si>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</si>
  <si>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</si>
  <si>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</si>
  <si>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</si>
  <si>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</si>
  <si>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</si>
  <si>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</si>
  <si>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</si>
  <si>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</si>
  <si>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</si>
  <si>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</si>
  <si>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</si>
  <si>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</si>
  <si>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</si>
  <si>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</si>
  <si>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</si>
  <si>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</si>
  <si>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</si>
  <si>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</si>
  <si>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</si>
  <si>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</si>
  <si>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</si>
  <si>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</si>
  <si>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</si>
  <si>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</si>
  <si>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</si>
  <si>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</si>
  <si>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</si>
  <si>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</si>
  <si>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</si>
  <si>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</si>
  <si>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</si>
  <si>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</si>
  <si>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</si>
  <si>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</si>
  <si>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</si>
  <si>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</si>
  <si>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</si>
  <si>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</si>
  <si>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</si>
  <si>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</si>
  <si>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</si>
  <si>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</si>
  <si>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</si>
  <si>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</si>
  <si>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</si>
  <si>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</si>
  <si>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</si>
  <si>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</si>
  <si>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</si>
  <si>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</si>
  <si>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</si>
  <si>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</si>
  <si>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</si>
  <si>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</si>
  <si>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</si>
  <si>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</si>
  <si>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</si>
  <si>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</si>
  <si>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</si>
  <si>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</si>
  <si>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</si>
  <si>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</si>
  <si>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</si>
  <si>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</si>
  <si>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</si>
  <si>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</si>
  <si>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</si>
  <si>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</si>
  <si>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</si>
  <si>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</si>
  <si>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</si>
  <si>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</si>
  <si>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</si>
  <si>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</si>
  <si>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</si>
  <si>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</si>
  <si>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</si>
  <si>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</si>
  <si>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</si>
  <si>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</si>
  <si>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</si>
  <si>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</si>
  <si>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</si>
  <si>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</si>
  <si>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</si>
  <si>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</si>
  <si>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</si>
  <si>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</si>
  <si>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</si>
  <si>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</si>
  <si>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</si>
  <si>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</si>
  <si>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</si>
  <si>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</si>
  <si>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</si>
  <si>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</si>
  <si>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</si>
  <si>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</si>
  <si>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</si>
  <si>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</si>
  <si>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</si>
  <si>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</si>
  <si>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</si>
  <si>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</si>
  <si>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</si>
  <si>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</si>
  <si>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</si>
  <si>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</si>
  <si>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</si>
  <si>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</si>
  <si>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</si>
  <si>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</si>
  <si>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</si>
  <si>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</si>
  <si>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Download results</t>
  </si>
  <si>
    <t>Select folder</t>
  </si>
  <si>
    <t>Downloading folder</t>
  </si>
  <si>
    <t>Download folder as ZIP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</si>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</sst>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333333"/>
      <name val="&quot;Source Sans Pr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4" width="9.29"/>
    <col customWidth="1" min="115" max="115" width="35.0"/>
    <col customWidth="1" min="116" max="144" width="9.29"/>
    <col customWidth="1" min="145" max="202" width="24.0"/>
    <col customWidth="1" min="203" max="209" width="9.29"/>
    <col customWidth="1" min="210" max="210" width="9.14"/>
    <col customWidth="1" min="211" max="211" width="14.0"/>
    <col customWidth="1" min="212" max="274" width="9.29"/>
    <col customWidth="1" min="275" max="275" width="33.29"/>
    <col customWidth="1" min="276" max="288" width="9.29"/>
    <col customWidth="1" min="289" max="289" width="6.14"/>
    <col customWidth="1" min="290" max="304" width="9.29"/>
    <col customWidth="1" min="305" max="305" width="28.57"/>
    <col customWidth="1" min="306" max="311" width="9.29"/>
    <col customWidth="1" min="312" max="312" width="41.29"/>
    <col customWidth="1" min="313" max="320" width="9.29"/>
    <col customWidth="1" min="321" max="323" width="31.0"/>
    <col customWidth="1" min="324" max="400" width="9.29"/>
    <col customWidth="1" min="401" max="401" width="16.71"/>
    <col customWidth="1" min="402" max="506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1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2" t="s">
        <v>309</v>
      </c>
      <c r="KY1" s="3" t="s">
        <v>310</v>
      </c>
      <c r="KZ1" s="3" t="s">
        <v>311</v>
      </c>
      <c r="LA1" s="2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3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4" t="s">
        <v>340</v>
      </c>
      <c r="MD1" s="5" t="s">
        <v>341</v>
      </c>
      <c r="ME1" s="5" t="s">
        <v>342</v>
      </c>
      <c r="MF1" s="5" t="s">
        <v>343</v>
      </c>
      <c r="MG1" s="5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4" t="s">
        <v>364</v>
      </c>
      <c r="NB1" s="6" t="s">
        <v>365</v>
      </c>
      <c r="NC1" s="6" t="s">
        <v>366</v>
      </c>
      <c r="ND1" s="4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2" t="s">
        <v>373</v>
      </c>
      <c r="NK1" s="3" t="s">
        <v>374</v>
      </c>
      <c r="NL1" s="2" t="s">
        <v>375</v>
      </c>
      <c r="NM1" s="3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  <c r="SG1" s="2" t="s">
        <v>500</v>
      </c>
      <c r="SH1" s="2" t="s">
        <v>501</v>
      </c>
      <c r="SI1" s="2" t="s">
        <v>502</v>
      </c>
      <c r="SJ1" s="2" t="s">
        <v>503</v>
      </c>
      <c r="SK1" s="2" t="s">
        <v>504</v>
      </c>
      <c r="SL1" s="2"/>
    </row>
    <row r="2" ht="14.25" customHeight="1">
      <c r="A2" s="7" t="s">
        <v>505</v>
      </c>
      <c r="B2" s="7" t="s">
        <v>506</v>
      </c>
      <c r="C2" s="7" t="s">
        <v>507</v>
      </c>
      <c r="D2" s="7" t="s">
        <v>508</v>
      </c>
      <c r="E2" s="7" t="s">
        <v>509</v>
      </c>
      <c r="F2" s="8" t="s">
        <v>510</v>
      </c>
      <c r="G2" s="7" t="s">
        <v>511</v>
      </c>
      <c r="H2" s="7" t="s">
        <v>507</v>
      </c>
      <c r="I2" s="7" t="s">
        <v>512</v>
      </c>
      <c r="J2" s="7" t="s">
        <v>513</v>
      </c>
      <c r="K2" s="7" t="s">
        <v>514</v>
      </c>
      <c r="L2" s="7" t="s">
        <v>515</v>
      </c>
      <c r="M2" s="7" t="s">
        <v>516</v>
      </c>
      <c r="N2" s="7" t="s">
        <v>517</v>
      </c>
      <c r="O2" s="7" t="s">
        <v>518</v>
      </c>
      <c r="P2" s="7" t="s">
        <v>519</v>
      </c>
      <c r="Q2" s="7" t="s">
        <v>520</v>
      </c>
      <c r="R2" s="7" t="s">
        <v>521</v>
      </c>
      <c r="S2" s="7" t="s">
        <v>522</v>
      </c>
      <c r="T2" s="7" t="s">
        <v>523</v>
      </c>
      <c r="U2" s="7" t="s">
        <v>524</v>
      </c>
      <c r="V2" s="7" t="s">
        <v>525</v>
      </c>
      <c r="W2" s="7" t="s">
        <v>526</v>
      </c>
      <c r="X2" s="7" t="s">
        <v>527</v>
      </c>
      <c r="Y2" s="7" t="s">
        <v>528</v>
      </c>
      <c r="Z2" s="7" t="s">
        <v>529</v>
      </c>
      <c r="AA2" s="7" t="s">
        <v>530</v>
      </c>
      <c r="AB2" s="7" t="s">
        <v>531</v>
      </c>
      <c r="AC2" s="7" t="s">
        <v>532</v>
      </c>
      <c r="AD2" s="7" t="s">
        <v>533</v>
      </c>
      <c r="AE2" s="7" t="s">
        <v>534</v>
      </c>
      <c r="AF2" s="7" t="s">
        <v>535</v>
      </c>
      <c r="AG2" s="7" t="s">
        <v>536</v>
      </c>
      <c r="AH2" s="7" t="s">
        <v>537</v>
      </c>
      <c r="AI2" s="7" t="s">
        <v>538</v>
      </c>
      <c r="AJ2" s="7" t="s">
        <v>539</v>
      </c>
      <c r="AK2" s="7" t="s">
        <v>540</v>
      </c>
      <c r="AL2" s="7" t="s">
        <v>541</v>
      </c>
      <c r="AM2" s="8" t="s">
        <v>542</v>
      </c>
      <c r="AN2" s="7" t="s">
        <v>543</v>
      </c>
      <c r="AO2" s="7" t="s">
        <v>544</v>
      </c>
      <c r="AP2" s="7" t="s">
        <v>545</v>
      </c>
      <c r="AQ2" s="7" t="s">
        <v>546</v>
      </c>
      <c r="AR2" s="7" t="s">
        <v>547</v>
      </c>
      <c r="AS2" s="7" t="s">
        <v>548</v>
      </c>
      <c r="AT2" s="7" t="s">
        <v>549</v>
      </c>
      <c r="AU2" s="7" t="s">
        <v>550</v>
      </c>
      <c r="AV2" s="7" t="s">
        <v>551</v>
      </c>
      <c r="AW2" s="7" t="s">
        <v>552</v>
      </c>
      <c r="AX2" s="7" t="s">
        <v>553</v>
      </c>
      <c r="AY2" s="7" t="s">
        <v>554</v>
      </c>
      <c r="AZ2" s="7" t="s">
        <v>555</v>
      </c>
      <c r="BA2" s="7" t="s">
        <v>556</v>
      </c>
      <c r="BB2" s="7" t="s">
        <v>557</v>
      </c>
      <c r="BC2" s="7" t="s">
        <v>558</v>
      </c>
      <c r="BD2" s="7" t="s">
        <v>559</v>
      </c>
      <c r="BE2" s="7" t="s">
        <v>560</v>
      </c>
      <c r="BF2" s="7" t="s">
        <v>561</v>
      </c>
      <c r="BG2" s="7" t="s">
        <v>562</v>
      </c>
      <c r="BH2" s="7" t="s">
        <v>563</v>
      </c>
      <c r="BI2" s="7" t="s">
        <v>564</v>
      </c>
      <c r="BJ2" s="7" t="s">
        <v>565</v>
      </c>
      <c r="BK2" s="7" t="s">
        <v>566</v>
      </c>
      <c r="BL2" s="7" t="s">
        <v>567</v>
      </c>
      <c r="BM2" s="7" t="s">
        <v>568</v>
      </c>
      <c r="BN2" s="7" t="s">
        <v>569</v>
      </c>
      <c r="BO2" s="7" t="s">
        <v>549</v>
      </c>
      <c r="BP2" s="7" t="s">
        <v>570</v>
      </c>
      <c r="BQ2" s="7" t="s">
        <v>571</v>
      </c>
      <c r="BR2" s="7" t="s">
        <v>572</v>
      </c>
      <c r="BS2" s="7" t="s">
        <v>573</v>
      </c>
      <c r="BT2" s="7" t="s">
        <v>574</v>
      </c>
      <c r="BU2" s="7" t="s">
        <v>575</v>
      </c>
      <c r="BV2" s="7" t="s">
        <v>576</v>
      </c>
      <c r="BW2" s="7" t="s">
        <v>577</v>
      </c>
      <c r="BX2" s="7" t="s">
        <v>578</v>
      </c>
      <c r="BY2" s="7" t="s">
        <v>579</v>
      </c>
      <c r="BZ2" s="7" t="s">
        <v>580</v>
      </c>
      <c r="CA2" s="7" t="s">
        <v>581</v>
      </c>
      <c r="CB2" s="7">
        <v>-9.9999999E7</v>
      </c>
      <c r="CC2" s="7" t="s">
        <v>582</v>
      </c>
      <c r="CD2" s="7" t="s">
        <v>583</v>
      </c>
      <c r="CE2" s="7" t="s">
        <v>584</v>
      </c>
      <c r="CF2" s="7" t="s">
        <v>585</v>
      </c>
      <c r="CG2" s="7" t="s">
        <v>586</v>
      </c>
      <c r="CH2" s="7" t="s">
        <v>571</v>
      </c>
      <c r="CI2" s="7" t="s">
        <v>587</v>
      </c>
      <c r="CJ2" s="7" t="s">
        <v>588</v>
      </c>
      <c r="CK2" s="7" t="s">
        <v>589</v>
      </c>
      <c r="CL2" s="7" t="s">
        <v>590</v>
      </c>
      <c r="CM2" s="7" t="s">
        <v>571</v>
      </c>
      <c r="CN2" s="7" t="s">
        <v>591</v>
      </c>
      <c r="CO2" s="7" t="s">
        <v>592</v>
      </c>
      <c r="CP2" s="8" t="s">
        <v>593</v>
      </c>
      <c r="CQ2" s="8" t="s">
        <v>594</v>
      </c>
      <c r="CR2" s="8" t="s">
        <v>595</v>
      </c>
      <c r="CS2" s="8" t="s">
        <v>596</v>
      </c>
      <c r="CT2" s="8" t="s">
        <v>597</v>
      </c>
      <c r="CU2" s="8" t="s">
        <v>598</v>
      </c>
      <c r="CV2" s="8" t="s">
        <v>599</v>
      </c>
      <c r="CW2" s="8" t="s">
        <v>600</v>
      </c>
      <c r="CX2" s="8" t="s">
        <v>601</v>
      </c>
      <c r="CY2" s="8" t="s">
        <v>602</v>
      </c>
      <c r="CZ2" s="8" t="s">
        <v>603</v>
      </c>
      <c r="DA2" s="8" t="s">
        <v>604</v>
      </c>
      <c r="DB2" s="8" t="s">
        <v>593</v>
      </c>
      <c r="DC2" s="8" t="s">
        <v>594</v>
      </c>
      <c r="DD2" s="8" t="s">
        <v>595</v>
      </c>
      <c r="DE2" s="8" t="s">
        <v>601</v>
      </c>
      <c r="DF2" s="8" t="s">
        <v>605</v>
      </c>
      <c r="DG2" s="8" t="s">
        <v>606</v>
      </c>
      <c r="DH2" s="8" t="s">
        <v>607</v>
      </c>
      <c r="DI2" s="8" t="s">
        <v>608</v>
      </c>
      <c r="DJ2" s="8" t="s">
        <v>609</v>
      </c>
      <c r="DK2" s="8" t="s">
        <v>610</v>
      </c>
      <c r="DL2" s="8" t="s">
        <v>611</v>
      </c>
      <c r="DM2" s="8" t="s">
        <v>612</v>
      </c>
      <c r="DN2" s="8" t="s">
        <v>613</v>
      </c>
      <c r="DO2" s="8" t="s">
        <v>614</v>
      </c>
      <c r="DP2" s="8" t="s">
        <v>615</v>
      </c>
      <c r="DQ2" s="8" t="s">
        <v>616</v>
      </c>
      <c r="DR2" s="8" t="s">
        <v>606</v>
      </c>
      <c r="DS2" s="8" t="s">
        <v>617</v>
      </c>
      <c r="DT2" s="8" t="s">
        <v>618</v>
      </c>
      <c r="DU2" s="8" t="s">
        <v>619</v>
      </c>
      <c r="DV2" s="8" t="s">
        <v>620</v>
      </c>
      <c r="DW2" s="8" t="s">
        <v>621</v>
      </c>
      <c r="DX2" s="7" t="s">
        <v>622</v>
      </c>
      <c r="DY2" s="8" t="s">
        <v>623</v>
      </c>
      <c r="DZ2" s="8" t="s">
        <v>624</v>
      </c>
      <c r="EA2" s="8" t="s">
        <v>625</v>
      </c>
      <c r="EB2" s="8" t="s">
        <v>626</v>
      </c>
      <c r="EC2" s="8" t="s">
        <v>627</v>
      </c>
      <c r="ED2" s="8" t="s">
        <v>628</v>
      </c>
      <c r="EE2" s="8" t="s">
        <v>629</v>
      </c>
      <c r="EF2" s="8" t="s">
        <v>630</v>
      </c>
      <c r="EG2" s="8" t="s">
        <v>631</v>
      </c>
      <c r="EH2" s="8" t="s">
        <v>632</v>
      </c>
      <c r="EI2" s="8" t="s">
        <v>633</v>
      </c>
      <c r="EJ2" s="8" t="s">
        <v>634</v>
      </c>
      <c r="EK2" s="8" t="s">
        <v>635</v>
      </c>
      <c r="EL2" s="8" t="s">
        <v>636</v>
      </c>
      <c r="EM2" s="8" t="s">
        <v>637</v>
      </c>
      <c r="EN2" s="8" t="s">
        <v>638</v>
      </c>
      <c r="EO2" s="8" t="s">
        <v>639</v>
      </c>
      <c r="EP2" s="8" t="s">
        <v>640</v>
      </c>
      <c r="EQ2" s="8" t="s">
        <v>641</v>
      </c>
      <c r="ER2" s="8" t="s">
        <v>642</v>
      </c>
      <c r="ES2" s="8" t="s">
        <v>643</v>
      </c>
      <c r="ET2" s="8" t="s">
        <v>644</v>
      </c>
      <c r="EU2" s="8" t="s">
        <v>645</v>
      </c>
      <c r="EV2" s="8" t="s">
        <v>646</v>
      </c>
      <c r="EW2" s="8" t="s">
        <v>647</v>
      </c>
      <c r="EX2" s="8" t="s">
        <v>648</v>
      </c>
      <c r="EY2" s="8" t="s">
        <v>649</v>
      </c>
      <c r="EZ2" s="8" t="s">
        <v>650</v>
      </c>
      <c r="FA2" s="8" t="s">
        <v>651</v>
      </c>
      <c r="FB2" s="8" t="s">
        <v>652</v>
      </c>
      <c r="FC2" s="8" t="s">
        <v>653</v>
      </c>
      <c r="FD2" s="8" t="s">
        <v>654</v>
      </c>
      <c r="FE2" s="8" t="s">
        <v>655</v>
      </c>
      <c r="FF2" s="8" t="s">
        <v>656</v>
      </c>
      <c r="FG2" s="8" t="s">
        <v>657</v>
      </c>
      <c r="FH2" s="8" t="s">
        <v>658</v>
      </c>
      <c r="FI2" s="8" t="s">
        <v>659</v>
      </c>
      <c r="FJ2" s="8" t="s">
        <v>660</v>
      </c>
      <c r="FK2" s="8" t="s">
        <v>661</v>
      </c>
      <c r="FL2" s="8" t="s">
        <v>662</v>
      </c>
      <c r="FM2" s="8" t="s">
        <v>663</v>
      </c>
      <c r="FN2" s="8" t="s">
        <v>664</v>
      </c>
      <c r="FO2" s="8" t="s">
        <v>665</v>
      </c>
      <c r="FP2" s="8" t="s">
        <v>666</v>
      </c>
      <c r="FQ2" s="8" t="s">
        <v>667</v>
      </c>
      <c r="FR2" s="8" t="s">
        <v>668</v>
      </c>
      <c r="FS2" s="8" t="s">
        <v>669</v>
      </c>
      <c r="FT2" s="8" t="s">
        <v>670</v>
      </c>
      <c r="FU2" s="8" t="s">
        <v>671</v>
      </c>
      <c r="FV2" s="8" t="s">
        <v>672</v>
      </c>
      <c r="FW2" s="8" t="s">
        <v>673</v>
      </c>
      <c r="FX2" s="8" t="s">
        <v>674</v>
      </c>
      <c r="FY2" s="8" t="s">
        <v>675</v>
      </c>
      <c r="FZ2" s="8" t="s">
        <v>676</v>
      </c>
      <c r="GA2" s="8" t="s">
        <v>677</v>
      </c>
      <c r="GB2" s="8" t="s">
        <v>678</v>
      </c>
      <c r="GC2" s="8" t="s">
        <v>679</v>
      </c>
      <c r="GD2" s="8" t="s">
        <v>680</v>
      </c>
      <c r="GE2" s="8" t="s">
        <v>681</v>
      </c>
      <c r="GF2" s="8" t="s">
        <v>682</v>
      </c>
      <c r="GG2" s="8" t="s">
        <v>683</v>
      </c>
      <c r="GH2" s="8" t="s">
        <v>684</v>
      </c>
      <c r="GI2" s="8" t="s">
        <v>685</v>
      </c>
      <c r="GJ2" s="8" t="s">
        <v>686</v>
      </c>
      <c r="GK2" s="8" t="s">
        <v>687</v>
      </c>
      <c r="GL2" s="8" t="s">
        <v>688</v>
      </c>
      <c r="GM2" s="8" t="s">
        <v>689</v>
      </c>
      <c r="GN2" s="8" t="s">
        <v>690</v>
      </c>
      <c r="GO2" s="8" t="s">
        <v>691</v>
      </c>
      <c r="GP2" s="8" t="s">
        <v>692</v>
      </c>
      <c r="GQ2" s="8" t="s">
        <v>693</v>
      </c>
      <c r="GR2" s="8" t="s">
        <v>694</v>
      </c>
      <c r="GS2" s="8" t="s">
        <v>695</v>
      </c>
      <c r="GT2" s="8" t="s">
        <v>696</v>
      </c>
      <c r="GU2" s="8" t="s">
        <v>697</v>
      </c>
      <c r="GV2" s="8" t="s">
        <v>698</v>
      </c>
      <c r="GW2" s="8" t="s">
        <v>699</v>
      </c>
      <c r="GX2" s="8" t="s">
        <v>700</v>
      </c>
      <c r="GY2" s="8" t="s">
        <v>701</v>
      </c>
      <c r="GZ2" s="8" t="s">
        <v>702</v>
      </c>
      <c r="HA2" s="8" t="s">
        <v>703</v>
      </c>
      <c r="HB2" s="8" t="s">
        <v>704</v>
      </c>
      <c r="HC2" s="9" t="s">
        <v>705</v>
      </c>
      <c r="HD2" s="8" t="s">
        <v>706</v>
      </c>
      <c r="HE2" s="8" t="s">
        <v>707</v>
      </c>
      <c r="HF2" s="8" t="s">
        <v>708</v>
      </c>
      <c r="HG2" s="8" t="s">
        <v>709</v>
      </c>
      <c r="HH2" s="8" t="s">
        <v>710</v>
      </c>
      <c r="HI2" s="8" t="s">
        <v>711</v>
      </c>
      <c r="HJ2" s="8" t="s">
        <v>712</v>
      </c>
      <c r="HK2" s="8" t="s">
        <v>713</v>
      </c>
      <c r="HL2" s="8" t="s">
        <v>714</v>
      </c>
      <c r="HM2" s="8" t="s">
        <v>715</v>
      </c>
      <c r="HN2" s="8" t="s">
        <v>716</v>
      </c>
      <c r="HO2" s="8" t="s">
        <v>717</v>
      </c>
      <c r="HP2" s="8" t="s">
        <v>718</v>
      </c>
      <c r="HQ2" s="8" t="s">
        <v>719</v>
      </c>
      <c r="HR2" s="8" t="s">
        <v>720</v>
      </c>
      <c r="HS2" s="8" t="s">
        <v>721</v>
      </c>
      <c r="HT2" s="8" t="s">
        <v>722</v>
      </c>
      <c r="HU2" s="8" t="s">
        <v>723</v>
      </c>
      <c r="HV2" s="8" t="s">
        <v>724</v>
      </c>
      <c r="HW2" s="8" t="s">
        <v>725</v>
      </c>
      <c r="HX2" s="8" t="s">
        <v>726</v>
      </c>
      <c r="HY2" s="8" t="s">
        <v>727</v>
      </c>
      <c r="HZ2" s="8" t="s">
        <v>728</v>
      </c>
      <c r="IA2" s="8" t="s">
        <v>729</v>
      </c>
      <c r="IB2" s="8" t="s">
        <v>730</v>
      </c>
      <c r="IC2" s="8" t="s">
        <v>731</v>
      </c>
      <c r="ID2" s="8" t="s">
        <v>732</v>
      </c>
      <c r="IE2" s="8" t="s">
        <v>733</v>
      </c>
      <c r="IF2" s="8" t="s">
        <v>734</v>
      </c>
      <c r="IG2" s="8" t="s">
        <v>735</v>
      </c>
      <c r="IH2" s="8" t="s">
        <v>736</v>
      </c>
      <c r="II2" s="8" t="s">
        <v>737</v>
      </c>
      <c r="IJ2" s="8" t="s">
        <v>738</v>
      </c>
      <c r="IK2" s="8" t="s">
        <v>739</v>
      </c>
      <c r="IL2" s="8" t="s">
        <v>740</v>
      </c>
      <c r="IM2" s="8" t="s">
        <v>741</v>
      </c>
      <c r="IN2" s="8" t="s">
        <v>742</v>
      </c>
      <c r="IO2" s="8" t="s">
        <v>743</v>
      </c>
      <c r="IP2" s="8" t="s">
        <v>744</v>
      </c>
      <c r="IQ2" s="8" t="s">
        <v>745</v>
      </c>
      <c r="IR2" s="8" t="s">
        <v>746</v>
      </c>
      <c r="IS2" s="8" t="s">
        <v>624</v>
      </c>
      <c r="IT2" s="8" t="s">
        <v>747</v>
      </c>
      <c r="IU2" s="8" t="s">
        <v>748</v>
      </c>
      <c r="IV2" s="8" t="s">
        <v>693</v>
      </c>
      <c r="IW2" s="8" t="s">
        <v>749</v>
      </c>
      <c r="IX2" s="8" t="s">
        <v>750</v>
      </c>
      <c r="IY2" s="8" t="s">
        <v>751</v>
      </c>
      <c r="IZ2" s="8" t="s">
        <v>752</v>
      </c>
      <c r="JA2" s="8" t="s">
        <v>753</v>
      </c>
      <c r="JB2" s="8" t="s">
        <v>753</v>
      </c>
      <c r="JC2" s="8" t="s">
        <v>754</v>
      </c>
      <c r="JD2" s="8" t="s">
        <v>755</v>
      </c>
      <c r="JE2" s="8" t="s">
        <v>756</v>
      </c>
      <c r="JF2" s="8" t="s">
        <v>757</v>
      </c>
      <c r="JG2" s="8" t="s">
        <v>758</v>
      </c>
      <c r="JH2" s="8" t="s">
        <v>759</v>
      </c>
      <c r="JI2" s="8" t="s">
        <v>760</v>
      </c>
      <c r="JJ2" s="8" t="s">
        <v>761</v>
      </c>
      <c r="JK2" s="8" t="s">
        <v>762</v>
      </c>
      <c r="JL2" s="8" t="s">
        <v>763</v>
      </c>
      <c r="JM2" s="8" t="s">
        <v>764</v>
      </c>
      <c r="JN2" s="8" t="s">
        <v>765</v>
      </c>
      <c r="JO2" s="8" t="s">
        <v>766</v>
      </c>
      <c r="JP2" s="8" t="s">
        <v>767</v>
      </c>
      <c r="JQ2" s="8" t="s">
        <v>768</v>
      </c>
      <c r="JR2" s="8" t="s">
        <v>769</v>
      </c>
      <c r="JS2" s="10" t="s">
        <v>770</v>
      </c>
      <c r="JT2" s="8" t="s">
        <v>771</v>
      </c>
      <c r="JU2" s="8" t="s">
        <v>772</v>
      </c>
      <c r="JV2" s="10" t="s">
        <v>773</v>
      </c>
      <c r="JW2" s="10" t="s">
        <v>774</v>
      </c>
      <c r="JX2" s="10" t="s">
        <v>775</v>
      </c>
      <c r="JY2" s="10" t="s">
        <v>776</v>
      </c>
      <c r="JZ2" s="10" t="s">
        <v>777</v>
      </c>
      <c r="KA2" s="10" t="s">
        <v>778</v>
      </c>
      <c r="KB2" s="10" t="s">
        <v>779</v>
      </c>
      <c r="KC2" s="10" t="s">
        <v>693</v>
      </c>
      <c r="KD2" s="10" t="s">
        <v>772</v>
      </c>
      <c r="KE2" s="10" t="s">
        <v>780</v>
      </c>
      <c r="KF2" s="10" t="s">
        <v>781</v>
      </c>
      <c r="KG2" s="10" t="s">
        <v>782</v>
      </c>
      <c r="KH2" s="10" t="s">
        <v>659</v>
      </c>
      <c r="KI2" s="10" t="s">
        <v>783</v>
      </c>
      <c r="KJ2" s="10" t="s">
        <v>784</v>
      </c>
      <c r="KK2" s="10" t="s">
        <v>663</v>
      </c>
      <c r="KL2" s="10" t="s">
        <v>785</v>
      </c>
      <c r="KM2" s="10" t="s">
        <v>786</v>
      </c>
      <c r="KN2" s="10" t="s">
        <v>787</v>
      </c>
      <c r="KO2" s="10" t="s">
        <v>788</v>
      </c>
      <c r="KP2" s="10" t="s">
        <v>789</v>
      </c>
      <c r="KQ2" s="10" t="s">
        <v>790</v>
      </c>
      <c r="KR2" s="10" t="s">
        <v>791</v>
      </c>
      <c r="KS2" s="10" t="s">
        <v>792</v>
      </c>
      <c r="KT2" s="10" t="s">
        <v>793</v>
      </c>
      <c r="KU2" s="10" t="s">
        <v>794</v>
      </c>
      <c r="KV2" s="10" t="s">
        <v>795</v>
      </c>
      <c r="KW2" s="10" t="s">
        <v>796</v>
      </c>
      <c r="KX2" s="10" t="s">
        <v>797</v>
      </c>
      <c r="KY2" s="10" t="s">
        <v>798</v>
      </c>
      <c r="KZ2" s="10" t="s">
        <v>799</v>
      </c>
      <c r="LA2" s="10" t="s">
        <v>800</v>
      </c>
      <c r="LB2" s="10" t="s">
        <v>801</v>
      </c>
      <c r="LC2" s="10" t="s">
        <v>802</v>
      </c>
      <c r="LD2" s="10" t="s">
        <v>803</v>
      </c>
      <c r="LE2" s="10" t="s">
        <v>804</v>
      </c>
      <c r="LF2" s="10" t="s">
        <v>805</v>
      </c>
      <c r="LG2" s="10" t="s">
        <v>806</v>
      </c>
      <c r="LH2" s="10" t="s">
        <v>807</v>
      </c>
      <c r="LI2" s="10" t="s">
        <v>808</v>
      </c>
      <c r="LJ2" s="10" t="s">
        <v>809</v>
      </c>
      <c r="LK2" s="10" t="s">
        <v>810</v>
      </c>
      <c r="LL2" s="5" t="s">
        <v>811</v>
      </c>
      <c r="LM2" s="5" t="s">
        <v>812</v>
      </c>
      <c r="LN2" s="5" t="s">
        <v>809</v>
      </c>
      <c r="LO2" s="5" t="s">
        <v>813</v>
      </c>
      <c r="LP2" s="5" t="s">
        <v>743</v>
      </c>
      <c r="LQ2" s="5" t="s">
        <v>814</v>
      </c>
      <c r="LR2" s="5" t="s">
        <v>815</v>
      </c>
      <c r="LS2" s="5" t="s">
        <v>816</v>
      </c>
      <c r="LT2" s="5" t="s">
        <v>817</v>
      </c>
      <c r="LU2" s="5" t="s">
        <v>818</v>
      </c>
      <c r="LV2" s="5" t="s">
        <v>819</v>
      </c>
      <c r="LW2" s="5" t="s">
        <v>820</v>
      </c>
      <c r="LX2" s="5" t="s">
        <v>821</v>
      </c>
      <c r="LY2" s="5" t="s">
        <v>822</v>
      </c>
      <c r="LZ2" s="5" t="s">
        <v>823</v>
      </c>
      <c r="MA2" s="5" t="s">
        <v>824</v>
      </c>
      <c r="MB2" s="5" t="s">
        <v>825</v>
      </c>
      <c r="MC2" s="5" t="s">
        <v>826</v>
      </c>
      <c r="MD2" s="5" t="s">
        <v>827</v>
      </c>
      <c r="ME2" s="5" t="s">
        <v>828</v>
      </c>
      <c r="MF2" s="5" t="s">
        <v>829</v>
      </c>
      <c r="MG2" s="5" t="s">
        <v>705</v>
      </c>
      <c r="MH2" s="5" t="s">
        <v>830</v>
      </c>
      <c r="MI2" s="5" t="s">
        <v>831</v>
      </c>
      <c r="MJ2" s="5" t="s">
        <v>832</v>
      </c>
      <c r="MK2" s="5" t="s">
        <v>833</v>
      </c>
      <c r="ML2" s="5" t="s">
        <v>834</v>
      </c>
      <c r="MM2" s="5" t="s">
        <v>835</v>
      </c>
      <c r="MN2" s="5" t="s">
        <v>836</v>
      </c>
      <c r="MO2" s="5" t="s">
        <v>837</v>
      </c>
      <c r="MP2" s="5" t="s">
        <v>838</v>
      </c>
      <c r="MQ2" s="5" t="s">
        <v>839</v>
      </c>
      <c r="MR2" s="5" t="s">
        <v>840</v>
      </c>
      <c r="MS2" s="5" t="s">
        <v>841</v>
      </c>
      <c r="MT2" s="5" t="s">
        <v>842</v>
      </c>
      <c r="MU2" s="8" t="s">
        <v>843</v>
      </c>
      <c r="MV2" s="5" t="s">
        <v>844</v>
      </c>
      <c r="MW2" s="5" t="s">
        <v>845</v>
      </c>
      <c r="MX2" s="5" t="s">
        <v>846</v>
      </c>
      <c r="MY2" s="5" t="s">
        <v>847</v>
      </c>
      <c r="MZ2" s="5" t="s">
        <v>848</v>
      </c>
      <c r="NA2" s="5" t="s">
        <v>849</v>
      </c>
      <c r="NB2" s="8" t="s">
        <v>850</v>
      </c>
      <c r="NC2" s="5" t="s">
        <v>851</v>
      </c>
      <c r="ND2" s="5" t="s">
        <v>852</v>
      </c>
      <c r="NE2" s="8" t="s">
        <v>853</v>
      </c>
      <c r="NF2" s="8" t="s">
        <v>854</v>
      </c>
      <c r="NG2" s="8" t="s">
        <v>855</v>
      </c>
      <c r="NH2" s="8" t="s">
        <v>856</v>
      </c>
      <c r="NI2" s="8" t="s">
        <v>857</v>
      </c>
      <c r="NJ2" s="8" t="s">
        <v>705</v>
      </c>
      <c r="NK2" s="8" t="s">
        <v>858</v>
      </c>
      <c r="NL2" s="8" t="s">
        <v>829</v>
      </c>
      <c r="NM2" s="8" t="s">
        <v>828</v>
      </c>
      <c r="NN2" s="8" t="s">
        <v>827</v>
      </c>
      <c r="NO2" s="8" t="s">
        <v>826</v>
      </c>
      <c r="NP2" s="8" t="s">
        <v>859</v>
      </c>
      <c r="NQ2" s="8" t="s">
        <v>860</v>
      </c>
      <c r="NR2" s="8" t="s">
        <v>861</v>
      </c>
      <c r="NS2" s="8" t="s">
        <v>849</v>
      </c>
      <c r="NT2" s="8" t="s">
        <v>850</v>
      </c>
      <c r="NU2" s="5" t="s">
        <v>852</v>
      </c>
      <c r="NV2" s="8" t="s">
        <v>862</v>
      </c>
      <c r="NW2" s="8" t="s">
        <v>863</v>
      </c>
      <c r="NX2" s="8" t="s">
        <v>864</v>
      </c>
      <c r="NY2" s="8" t="s">
        <v>865</v>
      </c>
      <c r="NZ2" s="8" t="s">
        <v>866</v>
      </c>
      <c r="OA2" s="8" t="s">
        <v>849</v>
      </c>
      <c r="OB2" s="8" t="s">
        <v>867</v>
      </c>
      <c r="OC2" s="8" t="s">
        <v>868</v>
      </c>
      <c r="OD2" s="8" t="s">
        <v>869</v>
      </c>
      <c r="OE2" s="8" t="s">
        <v>870</v>
      </c>
      <c r="OF2" s="8" t="s">
        <v>871</v>
      </c>
      <c r="OG2" s="8" t="s">
        <v>872</v>
      </c>
      <c r="OH2" s="8" t="s">
        <v>873</v>
      </c>
      <c r="OI2" s="8" t="s">
        <v>874</v>
      </c>
      <c r="OJ2" s="8" t="s">
        <v>875</v>
      </c>
      <c r="OK2" s="8" t="s">
        <v>876</v>
      </c>
      <c r="OL2" s="8" t="s">
        <v>871</v>
      </c>
      <c r="OM2" s="8" t="s">
        <v>877</v>
      </c>
      <c r="ON2" s="8" t="s">
        <v>878</v>
      </c>
      <c r="OO2" s="8" t="s">
        <v>879</v>
      </c>
      <c r="OP2" s="8" t="s">
        <v>880</v>
      </c>
      <c r="OQ2" s="8" t="s">
        <v>881</v>
      </c>
      <c r="OR2" s="8" t="s">
        <v>871</v>
      </c>
      <c r="OS2" s="8" t="s">
        <v>882</v>
      </c>
      <c r="OT2" s="8" t="s">
        <v>882</v>
      </c>
      <c r="OU2" s="8" t="s">
        <v>882</v>
      </c>
      <c r="OV2" s="8" t="s">
        <v>883</v>
      </c>
      <c r="OW2" s="8" t="s">
        <v>884</v>
      </c>
      <c r="OX2" s="8" t="s">
        <v>885</v>
      </c>
      <c r="OY2" s="8" t="s">
        <v>886</v>
      </c>
      <c r="OZ2" s="8" t="s">
        <v>883</v>
      </c>
      <c r="PA2" s="8" t="s">
        <v>887</v>
      </c>
      <c r="PB2" s="8" t="s">
        <v>888</v>
      </c>
      <c r="PC2" s="8" t="s">
        <v>889</v>
      </c>
      <c r="PD2" s="8" t="s">
        <v>890</v>
      </c>
      <c r="PE2" s="8" t="s">
        <v>526</v>
      </c>
      <c r="PF2" s="8" t="s">
        <v>891</v>
      </c>
      <c r="PG2" s="8" t="s">
        <v>892</v>
      </c>
      <c r="PH2" s="8" t="s">
        <v>893</v>
      </c>
      <c r="PI2" s="8" t="s">
        <v>894</v>
      </c>
      <c r="PJ2" s="8" t="s">
        <v>895</v>
      </c>
      <c r="PK2" s="8" t="s">
        <v>896</v>
      </c>
      <c r="PL2" s="8" t="s">
        <v>897</v>
      </c>
      <c r="PM2" s="8" t="s">
        <v>898</v>
      </c>
      <c r="PN2" s="8" t="s">
        <v>899</v>
      </c>
      <c r="PO2" s="8" t="s">
        <v>879</v>
      </c>
      <c r="PP2" s="8" t="s">
        <v>637</v>
      </c>
      <c r="PQ2" s="8" t="s">
        <v>900</v>
      </c>
      <c r="PR2" s="8" t="s">
        <v>888</v>
      </c>
      <c r="PS2" s="8" t="s">
        <v>884</v>
      </c>
      <c r="PT2" s="8" t="s">
        <v>901</v>
      </c>
      <c r="PU2" s="8" t="s">
        <v>902</v>
      </c>
      <c r="PV2" s="8" t="s">
        <v>903</v>
      </c>
      <c r="PW2" s="8" t="s">
        <v>904</v>
      </c>
      <c r="PX2" s="8" t="s">
        <v>905</v>
      </c>
      <c r="PY2" s="8" t="s">
        <v>906</v>
      </c>
      <c r="PZ2" s="8" t="s">
        <v>907</v>
      </c>
      <c r="QA2" s="8" t="s">
        <v>908</v>
      </c>
      <c r="QB2" s="8" t="s">
        <v>909</v>
      </c>
      <c r="QC2" s="8" t="s">
        <v>910</v>
      </c>
      <c r="QD2" s="8" t="s">
        <v>911</v>
      </c>
      <c r="QE2" s="8" t="s">
        <v>912</v>
      </c>
      <c r="QF2" s="8" t="s">
        <v>913</v>
      </c>
      <c r="QG2" s="10" t="s">
        <v>914</v>
      </c>
      <c r="QH2" s="8" t="s">
        <v>915</v>
      </c>
      <c r="QI2" s="8" t="s">
        <v>916</v>
      </c>
      <c r="QJ2" s="8" t="s">
        <v>917</v>
      </c>
      <c r="QK2" s="8" t="s">
        <v>918</v>
      </c>
      <c r="QL2" s="8" t="s">
        <v>919</v>
      </c>
      <c r="QM2" s="8" t="s">
        <v>832</v>
      </c>
      <c r="QN2" s="8" t="s">
        <v>920</v>
      </c>
      <c r="QO2" s="8" t="s">
        <v>921</v>
      </c>
      <c r="QP2" s="8" t="s">
        <v>922</v>
      </c>
      <c r="QQ2" s="8" t="s">
        <v>923</v>
      </c>
      <c r="QR2" s="8" t="s">
        <v>924</v>
      </c>
      <c r="QS2" s="8" t="s">
        <v>925</v>
      </c>
      <c r="QT2" s="8" t="s">
        <v>926</v>
      </c>
      <c r="QU2" s="8" t="s">
        <v>927</v>
      </c>
      <c r="QV2" s="8" t="s">
        <v>928</v>
      </c>
      <c r="QW2" s="8" t="s">
        <v>929</v>
      </c>
      <c r="QX2" s="8" t="s">
        <v>930</v>
      </c>
      <c r="QY2" s="8" t="s">
        <v>931</v>
      </c>
      <c r="QZ2" s="8" t="s">
        <v>932</v>
      </c>
      <c r="RA2" s="8" t="s">
        <v>933</v>
      </c>
      <c r="RB2" s="8" t="s">
        <v>934</v>
      </c>
      <c r="RC2" s="8" t="s">
        <v>935</v>
      </c>
      <c r="RD2" s="8" t="s">
        <v>936</v>
      </c>
      <c r="RE2" s="8" t="s">
        <v>937</v>
      </c>
      <c r="RF2" s="8" t="s">
        <v>938</v>
      </c>
      <c r="RG2" s="8" t="s">
        <v>939</v>
      </c>
      <c r="RH2" s="8" t="s">
        <v>940</v>
      </c>
      <c r="RI2" s="8" t="s">
        <v>941</v>
      </c>
      <c r="RJ2" s="8" t="s">
        <v>942</v>
      </c>
      <c r="RK2" s="8" t="s">
        <v>943</v>
      </c>
      <c r="RL2" s="8" t="s">
        <v>944</v>
      </c>
      <c r="RM2" s="8" t="s">
        <v>945</v>
      </c>
      <c r="RN2" s="8" t="s">
        <v>946</v>
      </c>
      <c r="RO2" s="8" t="s">
        <v>947</v>
      </c>
      <c r="RP2" s="8" t="s">
        <v>948</v>
      </c>
      <c r="RQ2" s="8" t="s">
        <v>949</v>
      </c>
      <c r="RR2" s="8" t="s">
        <v>950</v>
      </c>
      <c r="RS2" s="8" t="s">
        <v>951</v>
      </c>
      <c r="RT2" s="8" t="s">
        <v>952</v>
      </c>
      <c r="RU2" s="8" t="s">
        <v>953</v>
      </c>
      <c r="RV2" s="8" t="s">
        <v>954</v>
      </c>
      <c r="RW2" s="8" t="s">
        <v>955</v>
      </c>
      <c r="RX2" s="8" t="s">
        <v>956</v>
      </c>
      <c r="RY2" s="8" t="s">
        <v>957</v>
      </c>
      <c r="RZ2" s="8" t="s">
        <v>958</v>
      </c>
      <c r="SA2" s="8" t="s">
        <v>959</v>
      </c>
      <c r="SB2" s="8" t="s">
        <v>960</v>
      </c>
      <c r="SC2" s="8" t="s">
        <v>961</v>
      </c>
      <c r="SD2" s="8" t="s">
        <v>962</v>
      </c>
      <c r="SE2" s="8" t="s">
        <v>963</v>
      </c>
      <c r="SF2" s="8" t="s">
        <v>964</v>
      </c>
      <c r="SG2" s="8" t="s">
        <v>965</v>
      </c>
      <c r="SH2" s="8" t="s">
        <v>966</v>
      </c>
      <c r="SI2" s="8" t="s">
        <v>967</v>
      </c>
      <c r="SJ2" s="8" t="s">
        <v>968</v>
      </c>
      <c r="SK2" s="8" t="s">
        <v>969</v>
      </c>
      <c r="SL2" s="8"/>
    </row>
    <row r="3" ht="14.25" customHeight="1">
      <c r="A3" s="7" t="s">
        <v>970</v>
      </c>
      <c r="B3" s="8" t="str">
        <f>IFERROR(__xludf.DUMMYFUNCTION("GOOGLETRANSLATE(B2,""en"",""fr"")"),"Changer de langue")</f>
        <v>Changer de langue</v>
      </c>
      <c r="C3" s="8" t="str">
        <f>IFERROR(__xludf.DUMMYFUNCTION("GOOGLETRANSLATE(C2,""en"",""fr"")"),"Téléverser un fichier")</f>
        <v>Téléverser un fichier</v>
      </c>
      <c r="D3" s="8" t="str">
        <f>IFERROR(__xludf.DUMMYFUNCTION("GOOGLETRANSLATE(D2,""en"",""fr"")"),"Sélectionner la source de données")</f>
        <v>Sélectionner la source de données</v>
      </c>
      <c r="E3" s="8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8" t="str">
        <f>IFERROR(__xludf.DUMMYFUNCTION("GOOGLETRANSLATE(F2,""en"",""fr"")"),"Connexion à la base de données")</f>
        <v>Connexion à la base de données</v>
      </c>
      <c r="G3" s="8" t="str">
        <f>IFERROR(__xludf.DUMMYFUNCTION("GOOGLETRANSLATE(G2,""en"",""fr"")"),"Jeux de données téléchargés")</f>
        <v>Jeux de données téléchargés</v>
      </c>
      <c r="H3" s="8" t="str">
        <f>IFERROR(__xludf.DUMMYFUNCTION("GOOGLETRANSLATE(H2,""en"",""fr"")"),"Téléverser un fichier")</f>
        <v>Téléverser un fichier</v>
      </c>
      <c r="I3" s="8" t="str">
        <f>IFERROR(__xludf.DUMMYFUNCTION("GOOGLETRANSLATE(I2,""en"",""fr"")"),"Parcourir les fichiers")</f>
        <v>Parcourir les fichiers</v>
      </c>
      <c r="J3" s="8" t="str">
        <f>IFERROR(__xludf.DUMMYFUNCTION("GOOGLETRANSLATE(J2,""en"",""fr"")"),"Déposer des fichiers")</f>
        <v>Déposer des fichiers</v>
      </c>
      <c r="K3" s="8" t="str">
        <f>IFERROR(__xludf.DUMMYFUNCTION("GOOGLETRANSLATE(K2,""en"",""fr"")"),"Veuillez télécharger le fichier pris en charge")</f>
        <v>Veuillez télécharger le fichier pris en charge</v>
      </c>
      <c r="L3" s="8" t="str">
        <f>IFERROR(__xludf.DUMMYFUNCTION("GOOGLETRANSLATE(L2,""en"",""fr"")"),"Collez les liens vers des fichiers de type")</f>
        <v>Collez les liens vers des fichiers de type</v>
      </c>
      <c r="M3" s="8" t="str">
        <f>IFERROR(__xludf.DUMMYFUNCTION("GOOGLETRANSLATE(M2,""en"",""fr"")"),"Nom de l'étude")</f>
        <v>Nom de l'étude</v>
      </c>
      <c r="N3" s="8" t="str">
        <f>IFERROR(__xludf.DUMMYFUNCTION("GOOGLETRANSLATE(N2,""en"",""fr"")"),"pays d'études")</f>
        <v>pays d'études</v>
      </c>
      <c r="O3" s="8" t="str">
        <f>IFERROR(__xludf.DUMMYFUNCTION("GOOGLETRANSLATE(O2,""en"",""fr"")"),"Informations Complémentaires")</f>
        <v>Informations Complémentaires</v>
      </c>
      <c r="P3" s="8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8" t="str">
        <f>IFERROR(__xludf.DUMMYFUNCTION("GOOGLETRANSLATE(Q2,""en"",""fr"")"),"Télécharger des données")</f>
        <v>Télécharger des données</v>
      </c>
      <c r="R3" s="8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8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8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8" t="str">
        <f>IFERROR(__xludf.DUMMYFUNCTION("GOOGLETRANSLATE(U2,""en"",""fr"")"),"Données soumises avec succès !")</f>
        <v>Données soumises avec succès !</v>
      </c>
      <c r="V3" s="8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8" t="str">
        <f>IFERROR(__xludf.DUMMYFUNCTION("GOOGLETRANSLATE(W2,""en"",""fr"")"),"Appliquer la sélection")</f>
        <v>Appliquer la sélection</v>
      </c>
      <c r="X3" s="8" t="str">
        <f>IFERROR(__xludf.DUMMYFUNCTION("GOOGLETRANSLATE(X2,""en"",""fr"")"),"Sélectionner les données")</f>
        <v>Sélectionner les données</v>
      </c>
      <c r="Y3" s="8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8" t="str">
        <f>IFERROR(__xludf.DUMMYFUNCTION("GOOGLETRANSLATE(Z2,""en"",""fr"")"),"Résumé des données")</f>
        <v>Résumé des données</v>
      </c>
      <c r="AA3" s="8" t="str">
        <f>IFERROR(__xludf.DUMMYFUNCTION("GOOGLETRANSLATE(AA2,""en"",""fr"")"),"Heure de chargement")</f>
        <v>Heure de chargement</v>
      </c>
      <c r="AB3" s="8" t="str">
        <f>IFERROR(__xludf.DUMMYFUNCTION("GOOGLETRANSLATE(AB2,""en"",""fr"")"),"Générer des statistiques récapitulatives")</f>
        <v>Générer des statistiques récapitulatives</v>
      </c>
      <c r="AC3" s="8" t="str">
        <f>IFERROR(__xludf.DUMMYFUNCTION("GOOGLETRANSLATE(AC2,""en"",""fr"")"),"Vous avez sélectionné")</f>
        <v>Vous avez sélectionné</v>
      </c>
      <c r="AD3" s="8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8" t="str">
        <f>IFERROR(__xludf.DUMMYFUNCTION("GOOGLETRANSLATE(AE2,""en"",""fr"")"),"Basculer les actions à effectuer")</f>
        <v>Basculer les actions à effectuer</v>
      </c>
      <c r="AF3" s="8" t="str">
        <f>IFERROR(__xludf.DUMMYFUNCTION("GOOGLETRANSLATE(AF2,""en"",""fr"")"),"Disparition")</f>
        <v>Disparition</v>
      </c>
      <c r="AG3" s="8" t="str">
        <f>IFERROR(__xludf.DUMMYFUNCTION("GOOGLETRANSLATE(AG2,""en"",""fr"")"),"Filtre")</f>
        <v>Filtre</v>
      </c>
      <c r="AH3" s="8" t="str">
        <f>IFERROR(__xludf.DUMMYFUNCTION("GOOGLETRANSLATE(AH2,""en"",""fr"")"),"Afficher les données")</f>
        <v>Afficher les données</v>
      </c>
      <c r="AI3" s="8" t="str">
        <f>IFERROR(__xludf.DUMMYFUNCTION("GOOGLETRANSLATE(AI2,""en"",""fr"")"),"Sélectionnez les variables")</f>
        <v>Sélectionnez les variables</v>
      </c>
      <c r="AJ3" s="8" t="str">
        <f>IFERROR(__xludf.DUMMYFUNCTION("GOOGLETRANSLATE(AJ2,""en"",""fr"")"),"Utilisez les commandes de filtrage R telles que :")</f>
        <v>Utilisez les commandes de filtrage R telles que :</v>
      </c>
      <c r="AK3" s="8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8" t="str">
        <f>IFERROR(__xludf.DUMMYFUNCTION("GOOGLETRANSLATE(AL2,""en"",""fr"")"),"Appliquer le filtre")</f>
        <v>Appliquer le filtre</v>
      </c>
      <c r="AM3" s="8" t="str">
        <f>IFERROR(__xludf.DUMMYFUNCTION("GOOGLETRANSLATE(AM2,""en"",""fr"")"),"Choisissez le thème ggplot2 :")</f>
        <v>Choisissez le thème ggplot2 :</v>
      </c>
      <c r="AN3" s="8" t="str">
        <f>IFERROR(__xludf.DUMMYFUNCTION("GOOGLETRANSLATE(AN2,""en"",""fr"")"),"Réinitialiser le filtre")</f>
        <v>Réinitialiser le filtre</v>
      </c>
      <c r="AO3" s="8" t="str">
        <f>IFERROR(__xludf.DUMMYFUNCTION("GOOGLETRANSLATE(AO2,""en"",""fr"")"),"Sélectionnez la variable à afficher")</f>
        <v>Sélectionnez la variable à afficher</v>
      </c>
      <c r="AP3" s="8" t="str">
        <f>IFERROR(__xludf.DUMMYFUNCTION("GOOGLETRANSLATE(AP2,""en"",""fr"")"),"Utilisez Ctrl + Variable pour sélectionner plusieurs éléments.")</f>
        <v>Utilisez Ctrl + Variable pour sélectionner plusieurs éléments.</v>
      </c>
      <c r="AQ3" s="8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8" t="str">
        <f>IFERROR(__xludf.DUMMYFUNCTION("GOOGLETRANSLATE(AR2,""en"",""fr"")"),"Filtres actuels")</f>
        <v>Filtres actuels</v>
      </c>
      <c r="AS3" s="8" t="str">
        <f>IFERROR(__xludf.DUMMYFUNCTION("GOOGLETRANSLATE(AS2,""en"",""fr"")"),"Ensemble de données actuel")</f>
        <v>Ensemble de données actuel</v>
      </c>
      <c r="AT3" s="8" t="str">
        <f>IFERROR(__xludf.DUMMYFUNCTION("GOOGLETRANSLATE(AT2,""en"",""fr"")"),"Valeurs manquantes (%)")</f>
        <v>Valeurs manquantes (%)</v>
      </c>
      <c r="AU3" s="8" t="str">
        <f>IFERROR(__xludf.DUMMYFUNCTION("GOOGLETRANSLATE(AU2,""en"",""fr"")"),"Exploration rapide")</f>
        <v>Exploration rapide</v>
      </c>
      <c r="AV3" s="8" t="str">
        <f>IFERROR(__xludf.DUMMYFUNCTION("GOOGLETRANSLATE(AV2,""en"",""fr"")"),"Exploration rapide des données")</f>
        <v>Exploration rapide des données</v>
      </c>
      <c r="AW3" s="8" t="str">
        <f>IFERROR(__xludf.DUMMYFUNCTION("GOOGLETRANSLATE(AW2,""en"",""fr"")"),"Mise à jour et remplacement des données")</f>
        <v>Mise à jour et remplacement des données</v>
      </c>
      <c r="AX3" s="8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8" t="str">
        <f>IFERROR(__xludf.DUMMYFUNCTION("GOOGLETRANSLATE(AY2,""en"",""fr"")"),"Données mises à jour et écrasées avec succès")</f>
        <v>Données mises à jour et écrasées avec succès</v>
      </c>
      <c r="AZ3" s="8" t="str">
        <f>IFERROR(__xludf.DUMMYFUNCTION("GOOGLETRANSLATE(AZ2,""en"",""fr"")"),"Sélectionnez la variable à transformer")</f>
        <v>Sélectionnez la variable à transformer</v>
      </c>
      <c r="BA3" s="8" t="str">
        <f>IFERROR(__xludf.DUMMYFUNCTION("GOOGLETRANSLATE(BA2,""en"",""fr"")"),"Changer de type")</f>
        <v>Changer de type</v>
      </c>
      <c r="BB3" s="8" t="str">
        <f>IFERROR(__xludf.DUMMYFUNCTION("GOOGLETRANSLATE(BB2,""en"",""fr"")"),"Type de variable")</f>
        <v>Type de variable</v>
      </c>
      <c r="BC3" s="8" t="str">
        <f>IFERROR(__xludf.DUMMYFUNCTION("GOOGLETRANSLATE(BC2,""en"",""fr"")"),"Appliquer la transformation")</f>
        <v>Appliquer la transformation</v>
      </c>
      <c r="BD3" s="8" t="str">
        <f>IFERROR(__xludf.DUMMYFUNCTION("GOOGLETRANSLATE(BD2,""en"",""fr"")"),"journaux de modifications de type variable")</f>
        <v>journaux de modifications de type variable</v>
      </c>
      <c r="BE3" s="8" t="str">
        <f>IFERROR(__xludf.DUMMYFUNCTION("GOOGLETRANSLATE(BE2,""en"",""fr"")"),"Renommer la variable")</f>
        <v>Renommer la variable</v>
      </c>
      <c r="BF3" s="8" t="str">
        <f>IFERROR(__xludf.DUMMYFUNCTION("GOOGLETRANSLATE(BF2,""en"",""fr"")"),"URL de l'hôte de la base de données")</f>
        <v>URL de l'hôte de la base de données</v>
      </c>
      <c r="BG3" s="8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8" t="str">
        <f>IFERROR(__xludf.DUMMYFUNCTION("GOOGLETRANSLATE(BH2,""en"",""fr"")"),"journaux de renommage des variables")</f>
        <v>journaux de renommage des variables</v>
      </c>
      <c r="BI3" s="8" t="str">
        <f>IFERROR(__xludf.DUMMYFUNCTION("GOOGLETRANSLATE(BI2,""en"",""fr"")"),"Recoder les valeurs")</f>
        <v>Recoder les valeurs</v>
      </c>
      <c r="BJ3" s="8" t="str">
        <f>IFERROR(__xludf.DUMMYFUNCTION("GOOGLETRANSLATE(BJ2,""en"",""fr"")"),"Sélectionner l'ancienne étiquette")</f>
        <v>Sélectionner l'ancienne étiquette</v>
      </c>
      <c r="BK3" s="8" t="str">
        <f>IFERROR(__xludf.DUMMYFUNCTION("GOOGLETRANSLATE(BK2,""en"",""fr"")"),"Saisissez la nouvelle étiquette")</f>
        <v>Saisissez la nouvelle étiquette</v>
      </c>
      <c r="BL3" s="8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8" t="str">
        <f>IFERROR(__xludf.DUMMYFUNCTION("GOOGLETRANSLATE(BM2,""en"",""fr"")"),"Étiquettes de variables recodées")</f>
        <v>Étiquettes de variables recodées</v>
      </c>
      <c r="BN3" s="8" t="str">
        <f>IFERROR(__xludf.DUMMYFUNCTION("GOOGLETRANSLATE(BN2,""en"",""fr"")"),"Gérer les valeurs manquantes")</f>
        <v>Gérer les valeurs manquantes</v>
      </c>
      <c r="BO3" s="8" t="str">
        <f>IFERROR(__xludf.DUMMYFUNCTION("GOOGLETRANSLATE(BO2,""en"",""fr"")"),"Valeurs manquantes (%)")</f>
        <v>Valeurs manquantes (%)</v>
      </c>
      <c r="BP3" s="8" t="str">
        <f>IFERROR(__xludf.DUMMYFUNCTION("GOOGLETRANSLATE(BP2,""en"",""fr"")"),"Recoder les valeurs manquantes")</f>
        <v>Recoder les valeurs manquantes</v>
      </c>
      <c r="BQ3" s="8" t="str">
        <f>IFERROR(__xludf.DUMMYFUNCTION("GOOGLETRANSLATE(BQ2,""en"",""fr"")"),"Sélectionnez une option :")</f>
        <v>Sélectionnez une option :</v>
      </c>
      <c r="BR3" s="8" t="str">
        <f>IFERROR(__xludf.DUMMYFUNCTION("GOOGLETRANSLATE(BR2,""en"",""fr"")"),"Comment attribuer des valeurs manquantes")</f>
        <v>Comment attribuer des valeurs manquantes</v>
      </c>
      <c r="BS3" s="8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8" t="str">
        <f>IFERROR(__xludf.DUMMYFUNCTION("GOOGLETRANSLATE(BT2,""en"",""fr"")"),"Sélectionnez une ou plusieurs valeurs")</f>
        <v>Sélectionnez une ou plusieurs valeurs</v>
      </c>
      <c r="BU3" s="8" t="str">
        <f>IFERROR(__xludf.DUMMYFUNCTION("GOOGLETRANSLATE(BU2,""en"",""fr"")"),"Valeurs catégorielles")</f>
        <v>Valeurs catégorielles</v>
      </c>
      <c r="BV3" s="8" t="str">
        <f>IFERROR(__xludf.DUMMYFUNCTION("GOOGLETRANSLATE(BV2,""en"",""fr"")"),"Valeurs numériques")</f>
        <v>Valeurs numériques</v>
      </c>
      <c r="BW3" s="8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8" t="str">
        <f>IFERROR(__xludf.DUMMYFUNCTION("GOOGLETRANSLATE(BX2,""en"",""fr"")"),"Journal des valeurs manquantes créé")</f>
        <v>Journal des valeurs manquantes créé</v>
      </c>
      <c r="BY3" s="8" t="str">
        <f>IFERROR(__xludf.DUMMYFUNCTION("GOOGLETRANSLATE(BY2,""en"",""fr"")"),"valeurs manquantes corrigées")</f>
        <v>valeurs manquantes corrigées</v>
      </c>
      <c r="BZ3" s="8" t="str">
        <f>IFERROR(__xludf.DUMMYFUNCTION("GOOGLETRANSLATE(BZ2,""en"",""fr"")"),"Comment les données manquantes sont-elles identifiées ?")</f>
        <v>Comment les données manquantes sont-elles identifiées ?</v>
      </c>
      <c r="CA3" s="8" t="str">
        <f>IFERROR(__xludf.DUMMYFUNCTION("GOOGLETRANSLATE(CA2,""en"",""fr"")"),"Par exemple, inconnu ou manquant")</f>
        <v>Par exemple, inconnu ou manquant</v>
      </c>
      <c r="CB3" s="8" t="str">
        <f>IFERROR(__xludf.DUMMYFUNCTION("GOOGLETRANSLATE(CB2,""en"",""fr"")"),"-99999999")</f>
        <v>-99999999</v>
      </c>
      <c r="CC3" s="8" t="str">
        <f>IFERROR(__xludf.DUMMYFUNCTION("GOOGLETRANSLATE(CC2,""en"",""fr"")"),"valeur numérique")</f>
        <v>valeur numérique</v>
      </c>
      <c r="CD3" s="8" t="str">
        <f>IFERROR(__xludf.DUMMYFUNCTION("GOOGLETRANSLATE(CD2,""en"",""fr"")"),"Valeur catégorielle")</f>
        <v>Valeur catégorielle</v>
      </c>
      <c r="CE3" s="8" t="str">
        <f>IFERROR(__xludf.DUMMYFUNCTION("GOOGLETRANSLATE(CE2,""en"",""fr"")"),"Vérifier si la plage (max, min)")</f>
        <v>Vérifier si la plage (max, min)</v>
      </c>
      <c r="CF3" s="8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8" t="str">
        <f>IFERROR(__xludf.DUMMYFUNCTION("GOOGLETRANSLATE(CG2,""en"",""fr"")"),"Identifier les valeurs aberrantes")</f>
        <v>Identifier les valeurs aberrantes</v>
      </c>
      <c r="CH3" s="8" t="str">
        <f>IFERROR(__xludf.DUMMYFUNCTION("GOOGLETRANSLATE(CH2,""en"",""fr"")"),"Sélectionnez une option :")</f>
        <v>Sélectionnez une option :</v>
      </c>
      <c r="CI3" s="8" t="str">
        <f>IFERROR(__xludf.DUMMYFUNCTION("GOOGLETRANSLATE(CI2,""en"",""fr"")"),"Valeur(s) aberrante(s)")</f>
        <v>Valeur(s) aberrante(s)</v>
      </c>
      <c r="CJ3" s="8" t="str">
        <f>IFERROR(__xludf.DUMMYFUNCTION("GOOGLETRANSLATE(CJ2,""en"",""fr"")"),"Aucun")</f>
        <v>Aucun</v>
      </c>
      <c r="CK3" s="8" t="str">
        <f>IFERROR(__xludf.DUMMYFUNCTION("GOOGLETRANSLATE(CK2,""en"",""fr"")"),"Méthode de correction")</f>
        <v>Méthode de correction</v>
      </c>
      <c r="CL3" s="8" t="str">
        <f>IFERROR(__xludf.DUMMYFUNCTION("GOOGLETRANSLATE(CL2,""en"",""fr"")"),"Saisissez le numéro")</f>
        <v>Saisissez le numéro</v>
      </c>
      <c r="CM3" s="8" t="str">
        <f>IFERROR(__xludf.DUMMYFUNCTION("GOOGLETRANSLATE(CM2,""en"",""fr"")"),"Sélectionnez une option :")</f>
        <v>Sélectionnez une option :</v>
      </c>
      <c r="CN3" s="8" t="str">
        <f>IFERROR(__xludf.DUMMYFUNCTION("GOOGLETRANSLATE(CN2,""en"",""fr"")"),"Valeurs aberrantes corrigées")</f>
        <v>Valeurs aberrantes corrigées</v>
      </c>
      <c r="CO3" s="8" t="str">
        <f>IFERROR(__xludf.DUMMYFUNCTION("GOOGLETRANSLATE(CO2,""en"",""fr"")"),"Graphique pour les données manquantes")</f>
        <v>Graphique pour les données manquantes</v>
      </c>
      <c r="CP3" s="8" t="str">
        <f>IFERROR(__xludf.DUMMYFUNCTION("GOOGLETRANSLATE(CP2,""en"",""fr"")"),"Gérer les données")</f>
        <v>Gérer les données</v>
      </c>
      <c r="CQ3" s="8" t="str">
        <f>IFERROR(__xludf.DUMMYFUNCTION("GOOGLETRANSLATE(CQ2,""en"",""fr"")"),"Aperçu")</f>
        <v>Aperçu</v>
      </c>
      <c r="CR3" s="8" t="str">
        <f>IFERROR(__xludf.DUMMYFUNCTION("GOOGLETRANSLATE(CR2,""en"",""fr"")"),"Explorer")</f>
        <v>Explorer</v>
      </c>
      <c r="CS3" s="8" t="str">
        <f>IFERROR(__xludf.DUMMYFUNCTION("GOOGLETRANSLATE(CS2,""en"",""fr"")"),"Version de l'application : v.26.01.1")</f>
        <v>Version de l'application : v.26.01.1</v>
      </c>
      <c r="CT3" s="8" t="str">
        <f>IFERROR(__xludf.DUMMYFUNCTION("GOOGLETRANSLATE(CT2,""en"",""fr"")"),"Centre africain de recherche sur la population et la santé")</f>
        <v>Centre africain de recherche sur la population et la santé</v>
      </c>
      <c r="CU3" s="8" t="str">
        <f>IFERROR(__xludf.DUMMYFUNCTION("GOOGLETRANSLATE(CU2,""en"",""fr"")"),"Tous droits réservés")</f>
        <v>Tous droits réservés</v>
      </c>
      <c r="CV3" s="8" t="str">
        <f>IFERROR(__xludf.DUMMYFUNCTION("GOOGLETRANSLATE(CV2,""en"",""fr"")"),"droits d'auteur")</f>
        <v>droits d'auteur</v>
      </c>
      <c r="CW3" s="8" t="str">
        <f>IFERROR(__xludf.DUMMYFUNCTION("GOOGLETRANSLATE(CW2,""en"",""fr"")"),"Contactez-nous")</f>
        <v>Contactez-nous</v>
      </c>
      <c r="CX3" s="8" t="str">
        <f>IFERROR(__xludf.DUMMYFUNCTION("GOOGLETRANSLATE(CX2,""en"",""fr"")"),"Transformer")</f>
        <v>Transformer</v>
      </c>
      <c r="CY3" s="8" t="str">
        <f>IFERROR(__xludf.DUMMYFUNCTION("GOOGLETRANSLATE(CY2,""en"",""fr"")"),"PLATEFORME SANS CODE AUTOML APHRC")</f>
        <v>PLATEFORME SANS CODE AUTOML APHRC</v>
      </c>
      <c r="CZ3" s="8" t="str">
        <f>IFERROR(__xludf.DUMMYFUNCTION("GOOGLETRANSLATE(CZ2,""en"",""fr"")"),"Maison")</f>
        <v>Maison</v>
      </c>
      <c r="DA3" s="8" t="str">
        <f>IFERROR(__xludf.DUMMYFUNCTION("GOOGLETRANSLATE(DA2,""en"",""fr"")"),"Données sources")</f>
        <v>Données sources</v>
      </c>
      <c r="DB3" s="8" t="str">
        <f>IFERROR(__xludf.DUMMYFUNCTION("GOOGLETRANSLATE(DB2,""en"",""fr"")"),"Gérer les données")</f>
        <v>Gérer les données</v>
      </c>
      <c r="DC3" s="8" t="str">
        <f>IFERROR(__xludf.DUMMYFUNCTION("GOOGLETRANSLATE(DC2,""en"",""fr"")"),"Aperçu")</f>
        <v>Aperçu</v>
      </c>
      <c r="DD3" s="8" t="str">
        <f>IFERROR(__xludf.DUMMYFUNCTION("GOOGLETRANSLATE(DD2,""en"",""fr"")"),"Explorer")</f>
        <v>Explorer</v>
      </c>
      <c r="DE3" s="8" t="str">
        <f>IFERROR(__xludf.DUMMYFUNCTION("GOOGLETRANSLATE(DE2,""en"",""fr"")"),"Transformer")</f>
        <v>Transformer</v>
      </c>
      <c r="DF3" s="8" t="str">
        <f>IFERROR(__xludf.DUMMYFUNCTION("GOOGLETRANSLATE(DF2,""en"",""fr"")"),"Temporaire")</f>
        <v>Temporaire</v>
      </c>
      <c r="DG3" s="8" t="str">
        <f>IFERROR(__xludf.DUMMYFUNCTION("GOOGLETRANSLATE(DG2,""en"",""fr"")"),"Constructeur de cohorte")</f>
        <v>Constructeur de cohorte</v>
      </c>
      <c r="DH3" s="8" t="str">
        <f>IFERROR(__xludf.DUMMYFUNCTION("GOOGLETRANSLATE(DH2,""en"",""fr"")"),"Combiner les données")</f>
        <v>Combiner les données</v>
      </c>
      <c r="DI3" s="8" t="str">
        <f>IFERROR(__xludf.DUMMYFUNCTION("GOOGLETRANSLATE(DI2,""en"",""fr"")"),"Ajouter des lignes")</f>
        <v>Ajouter des lignes</v>
      </c>
      <c r="DJ3" s="8" t="str">
        <f>IFERROR(__xludf.DUMMYFUNCTION("GOOGLETRANSLATE(DJ2,""en"",""fr"")"),"Ajouter des colonnes")</f>
        <v>Ajouter des colonnes</v>
      </c>
      <c r="DK3" s="8" t="str">
        <f>IFERROR(__xludf.DUMMYFUNCTION("GOOGLETRANSLATE(DK2,""en"",""fr"")"),"Visualiser les données")</f>
        <v>Visualiser les données</v>
      </c>
      <c r="DL3" s="8" t="str">
        <f>IFERROR(__xludf.DUMMYFUNCTION("GOOGLETRANSLATE(DL2,""en"",""fr"")"),"Automatique")</f>
        <v>Automatique</v>
      </c>
      <c r="DM3" s="8" t="str">
        <f>IFERROR(__xludf.DUMMYFUNCTION("GOOGLETRANSLATE(DM2,""en"",""fr"")"),"Coutume")</f>
        <v>Coutume</v>
      </c>
      <c r="DN3" s="8" t="str">
        <f>IFERROR(__xludf.DUMMYFUNCTION("GOOGLETRANSLATE(DN2,""en"",""fr"")"),"Numérique")</f>
        <v>Numérique</v>
      </c>
      <c r="DO3" s="8" t="str">
        <f>IFERROR(__xludf.DUMMYFUNCTION("GOOGLETRANSLATE(DO2,""en"",""fr"")"),"Catégorique")</f>
        <v>Catégorique</v>
      </c>
      <c r="DP3" s="8" t="str">
        <f>IFERROR(__xludf.DUMMYFUNCTION("GOOGLETRANSLATE(DP2,""en"",""fr"")"),"apprentissage automatique")</f>
        <v>apprentissage automatique</v>
      </c>
      <c r="DQ3" s="8" t="str">
        <f>IFERROR(__xludf.DUMMYFUNCTION("GOOGLETRANSLATE(DQ2,""en"",""fr"")"),"Initialiser")</f>
        <v>Initialiser</v>
      </c>
      <c r="DR3" s="8" t="str">
        <f>IFERROR(__xludf.DUMMYFUNCTION("GOOGLETRANSLATE(DR2,""en"",""fr"")"),"Constructeur de cohorte")</f>
        <v>Constructeur de cohorte</v>
      </c>
      <c r="DS3" s="8" t="str">
        <f>IFERROR(__xludf.DUMMYFUNCTION("GOOGLETRANSLATE(DS2,""en"",""fr"")"),"Ingénierie des fonctionnalités")</f>
        <v>Ingénierie des fonctionnalités</v>
      </c>
      <c r="DT3" s="8" t="str">
        <f>IFERROR(__xludf.DUMMYFUNCTION("GOOGLETRANSLATE(DT2,""en"",""fr"")"),"Modèle de train")</f>
        <v>Modèle de train</v>
      </c>
      <c r="DU3" s="8" t="str">
        <f>IFERROR(__xludf.DUMMYFUNCTION("GOOGLETRANSLATE(DU2,""en"",""fr"")"),"Valider et déployer le modèle")</f>
        <v>Valider et déployer le modèle</v>
      </c>
      <c r="DV3" s="8" t="str">
        <f>IFERROR(__xludf.DUMMYFUNCTION("GOOGLETRANSLATE(DV2,""en"",""fr"")"),"Prédire/classer")</f>
        <v>Prédire/classer</v>
      </c>
      <c r="DW3" s="8" t="str">
        <f>IFERROR(__xludf.DUMMYFUNCTION("GOOGLETRANSLATE(DW2,""en"",""fr"")"),"Ressources supplémentaires")</f>
        <v>Ressources supplémentaires</v>
      </c>
      <c r="DX3" s="8" t="str">
        <f>IFERROR(__xludf.DUMMYFUNCTION("GOOGLETRANSLATE(DX2,""en"",""fr"")"),"Connexion à la base de données réussie")</f>
        <v>Connexion à la base de données réussie</v>
      </c>
      <c r="DY3" s="8" t="str">
        <f>IFERROR(__xludf.DUMMYFUNCTION("GOOGLETRANSLATE(DY2,""en"",""fr"")"),"Source des données")</f>
        <v>Source des données</v>
      </c>
      <c r="DZ3" s="8" t="str">
        <f>IFERROR(__xludf.DUMMYFUNCTION("GOOGLETRANSLATE(DZ2,""en"",""fr"")"),"Sélectionnez une option.")</f>
        <v>Sélectionnez une option.</v>
      </c>
      <c r="EA3" s="8" t="str">
        <f>IFERROR(__xludf.DUMMYFUNCTION("GOOGLETRANSLATE(EA2,""en"",""fr"")"),"Nouvelles données")</f>
        <v>Nouvelles données</v>
      </c>
      <c r="EB3" s="8" t="str">
        <f>IFERROR(__xludf.DUMMYFUNCTION("GOOGLETRANSLATE(EB2,""en"",""fr"")"),"Sélectionnez les données")</f>
        <v>Sélectionnez les données</v>
      </c>
      <c r="EC3" s="8" t="str">
        <f>IFERROR(__xludf.DUMMYFUNCTION("GOOGLETRANSLATE(EC2,""en"",""fr"")"),"Ajouter un deuxième ensemble de données à partir de")</f>
        <v>Ajouter un deuxième ensemble de données à partir de</v>
      </c>
      <c r="ED3" s="8" t="str">
        <f>IFERROR(__xludf.DUMMYFUNCTION("GOOGLETRANSLATE(ED2,""en"",""fr"")"),"Variables correspondantes")</f>
        <v>Variables correspondantes</v>
      </c>
      <c r="EE3" s="8" t="s">
        <v>971</v>
      </c>
      <c r="EF3" s="8" t="str">
        <f>IFERROR(__xludf.DUMMYFUNCTION("GOOGLETRANSLATE(EF2,""en"",""fr"")"),"Procédez à la combinaison des lignes/colonnes")</f>
        <v>Procédez à la combinaison des lignes/colonnes</v>
      </c>
      <c r="EG3" s="8" t="str">
        <f>IFERROR(__xludf.DUMMYFUNCTION("GOOGLETRANSLATE(EG2,""en"",""fr"")"),"Aucune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H3" s="8" t="str">
        <f>IFERROR(__xludf.DUMMYFUNCTION("GOOGLETRANSLATE(EH2,""en"",""fr"")"),"Correspondance des variables")</f>
        <v>Correspondance des variables</v>
      </c>
      <c r="EI3" s="8" t="str">
        <f>IFERROR(__xludf.DUMMYFUNCTION("GOOGLETRANSLATE(EI2,""en"",""fr"")"),"Comment combiner les nouvelles données avec celles déjà sélectionnées…")</f>
        <v>Comment combiner les nouvelles données avec celles déjà sélectionnées…</v>
      </c>
      <c r="EJ3" s="8" t="str">
        <f>IFERROR(__xludf.DUMMYFUNCTION("GOOGLETRANSLATE(EJ2,""en"",""fr"")"),"Variables de données de base")</f>
        <v>Variables de données de base</v>
      </c>
      <c r="EK3" s="8" t="str">
        <f>IFERROR(__xludf.DUMMYFUNCTION("GOOGLETRANSLATE(EK2,""en"",""fr"")"),"Nouvelles variables de données")</f>
        <v>Nouvelles variables de données</v>
      </c>
      <c r="EL3" s="8" t="str">
        <f>IFERROR(__xludf.DUMMYFUNCTION("GOOGLETRANSLATE(EL2,""en"",""fr"")"),"Structure")</f>
        <v>Structure</v>
      </c>
      <c r="EM3" s="8" t="str">
        <f>IFERROR(__xludf.DUMMYFUNCTION("GOOGLETRANSLATE(EM2,""en"",""fr"")"),"Résumé")</f>
        <v>Résumé</v>
      </c>
      <c r="EN3" s="8" t="str">
        <f>IFERROR(__xludf.DUMMYFUNCTION("GOOGLETRANSLATE(EN2,""en"",""fr"")"),"Parcourir")</f>
        <v>Parcourir</v>
      </c>
      <c r="EO3" s="8" t="str">
        <f>IFERROR(__xludf.DUMMYFUNCTION("GOOGLETRANSLATE(EO2,""en"",""fr"")"),"Cette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P3" s="8" t="str">
        <f>IFERROR(__xludf.DUMMYFUNCTION("GOOGLETRANSLATE(EP2,""en"",""fr"")"),"Type visuel")</f>
        <v>Type visuel</v>
      </c>
      <c r="EQ3" s="8" t="str">
        <f>IFERROR(__xludf.DUMMYFUNCTION("GOOGLETRANSLATE(EQ2,""en"",""fr"")"),"Options de table")</f>
        <v>Options de table</v>
      </c>
      <c r="ER3" s="8" t="str">
        <f>IFERROR(__xludf.DUMMYFUNCTION("GOOGLETRANSLATE(ER2,""en"",""fr"")"),"Sélectionner la variable de mesure/calcul")</f>
        <v>Sélectionner la variable de mesure/calcul</v>
      </c>
      <c r="ES3" s="8" t="str">
        <f>IFERROR(__xludf.DUMMYFUNCTION("GOOGLETRANSLATE(ES2,""en"",""fr"")"),"Sélectionner la variable Strata")</f>
        <v>Sélectionner la variable Strata</v>
      </c>
      <c r="ET3" s="8" t="str">
        <f>IFERROR(__xludf.DUMMYFUNCTION("GOOGLETRANSLATE(ET2,""en"",""fr"")"),"Sélectionner la variable de colonne")</f>
        <v>Sélectionner la variable de colonne</v>
      </c>
      <c r="EU3" s="8" t="str">
        <f>IFERROR(__xludf.DUMMYFUNCTION("GOOGLETRANSLATE(EU2,""en"",""fr"")"),"Créer un tableau croisé dynamique")</f>
        <v>Créer un tableau croisé dynamique</v>
      </c>
      <c r="EV3" s="8" t="str">
        <f>IFERROR(__xludf.DUMMYFUNCTION("GOOGLETRANSLATE(EV2,""en"",""fr"")"),"Télécharger le tableau")</f>
        <v>Télécharger le tableau</v>
      </c>
      <c r="EW3" s="8" t="str">
        <f>IFERROR(__xludf.DUMMYFUNCTION("GOOGLETRANSLATE(EW2,""en"",""fr"")"),"Plus d'options de table")</f>
        <v>Plus d'options de table</v>
      </c>
      <c r="EX3" s="8" t="str">
        <f>IFERROR(__xludf.DUMMYFUNCTION("GOOGLETRANSLATE(EX2,""en"",""fr"")"),"Rapport numérique")</f>
        <v>Rapport numérique</v>
      </c>
      <c r="EY3" s="8" t="str">
        <f>IFERROR(__xludf.DUMMYFUNCTION("GOOGLETRANSLATE(EY2,""en"",""fr"")"),"Résumé numérique")</f>
        <v>Résumé numérique</v>
      </c>
      <c r="EZ3" s="8" t="str">
        <f>IFERROR(__xludf.DUMMYFUNCTION("GOOGLETRANSLATE(EZ2,""en"",""fr"")"),"Ajouter la valeur p")</f>
        <v>Ajouter la valeur p</v>
      </c>
      <c r="FA3" s="8" t="str">
        <f>IFERROR(__xludf.DUMMYFUNCTION("GOOGLETRANSLATE(FA2,""en"",""fr"")"),"Ajouter un intervalle de confiance")</f>
        <v>Ajouter un intervalle de confiance</v>
      </c>
      <c r="FB3" s="8" t="str">
        <f>IFERROR(__xludf.DUMMYFUNCTION("GOOGLETRANSLATE(FB2,""en"",""fr"")"),"Supprimer les valeurs manquantes")</f>
        <v>Supprimer les valeurs manquantes</v>
      </c>
      <c r="FC3" s="8" t="str">
        <f>IFERROR(__xludf.DUMMYFUNCTION("GOOGLETRANSLATE(FC2,""en"",""fr"")"),"Légende du tableau")</f>
        <v>Légende du tableau</v>
      </c>
      <c r="FD3" s="8" t="str">
        <f>IFERROR(__xludf.DUMMYFUNCTION("GOOGLETRANSLATE(FD2,""en"",""fr"")"),"Options de données")</f>
        <v>Options de données</v>
      </c>
      <c r="FE3" s="8" t="str">
        <f>IFERROR(__xludf.DUMMYFUNCTION("GOOGLETRANSLATE(FE2,""en"",""fr"")"),"Sélectionner l'ensemble de données")</f>
        <v>Sélectionner l'ensemble de données</v>
      </c>
      <c r="FF3" s="8" t="str">
        <f>IFERROR(__xludf.DUMMYFUNCTION("GOOGLETRANSLATE(FF2,""en"",""fr"")"),"Options de l'intrigue")</f>
        <v>Options de l'intrigue</v>
      </c>
      <c r="FG3" s="8" t="str">
        <f>IFERROR(__xludf.DUMMYFUNCTION("GOOGLETRANSLATE(FG2,""en"",""fr"")"),"Sélectionnez la variable sur l'axe des x")</f>
        <v>Sélectionnez la variable sur l'axe des x</v>
      </c>
      <c r="FH3" s="8" t="str">
        <f>IFERROR(__xludf.DUMMYFUNCTION("GOOGLETRANSLATE(FH2,""en"",""fr"")"),"Sélectionnez la variable sur l'axe des y")</f>
        <v>Sélectionnez la variable sur l'axe des y</v>
      </c>
      <c r="FI3" s="8" t="str">
        <f>IFERROR(__xludf.DUMMYFUNCTION("GOOGLETRANSLATE(FI2,""en"",""fr"")"),"Titre de l'intrigue")</f>
        <v>Titre de l'intrigue</v>
      </c>
      <c r="FJ3" s="8" t="str">
        <f>IFERROR(__xludf.DUMMYFUNCTION("GOOGLETRANSLATE(FJ2,""en"",""fr"")"),"Étiquette de l'axe X")</f>
        <v>Étiquette de l'axe X</v>
      </c>
      <c r="FK3" s="8" t="str">
        <f>IFERROR(__xludf.DUMMYFUNCTION("GOOGLETRANSLATE(FK2,""en"",""fr"")"),"Étiquette de l'axe Y")</f>
        <v>Étiquette de l'axe Y</v>
      </c>
      <c r="FL3" s="8" t="str">
        <f>IFERROR(__xludf.DUMMYFUNCTION("GOOGLETRANSLATE(FL2,""en"",""fr"")"),"Créer un tracé")</f>
        <v>Créer un tracé</v>
      </c>
      <c r="FM3" s="8" t="str">
        <f>IFERROR(__xludf.DUMMYFUNCTION("GOOGLETRANSLATE(FM2,""en"",""fr"")"),"Télécharger")</f>
        <v>Télécharger</v>
      </c>
      <c r="FN3" s="8" t="str">
        <f>IFERROR(__xludf.DUMMYFUNCTION("GOOGLETRANSLATE(FN2,""en"",""fr"")"),"Plus d'options d'intrigue")</f>
        <v>Plus d'options d'intrigue</v>
      </c>
      <c r="FO3" s="8" t="str">
        <f>IFERROR(__xludf.DUMMYFUNCTION("GOOGLETRANSLATE(FO2,""en"",""fr"")"),"Transformer en beignet")</f>
        <v>Transformer en beignet</v>
      </c>
      <c r="FP3" s="8" t="str">
        <f>IFERROR(__xludf.DUMMYFUNCTION("GOOGLETRANSLATE(FP2,""en"",""fr"")"),"Sélectionner la variable de couleur")</f>
        <v>Sélectionner la variable de couleur</v>
      </c>
      <c r="FQ3" s="8" t="str">
        <f>IFERROR(__xludf.DUMMYFUNCTION("GOOGLETRANSLATE(FQ2,""en"",""fr"")"),"Sélectionner la variable de groupe")</f>
        <v>Sélectionner la variable de groupe</v>
      </c>
      <c r="FR3" s="8" t="str">
        <f>IFERROR(__xludf.DUMMYFUNCTION("GOOGLETRANSLATE(FR2,""en"",""fr"")"),"Orientation visuelle")</f>
        <v>Orientation visuelle</v>
      </c>
      <c r="FS3" s="8" t="str">
        <f>IFERROR(__xludf.DUMMYFUNCTION("GOOGLETRANSLATE(FS2,""en"",""fr"")"),"Afficher l'intervalle de confiance")</f>
        <v>Afficher l'intervalle de confiance</v>
      </c>
      <c r="FT3" s="8" t="str">
        <f>IFERROR(__xludf.DUMMYFUNCTION("GOOGLETRANSLATE(FT2,""en"",""fr"")"),"Niveau de l'intervalle de confiance")</f>
        <v>Niveau de l'intervalle de confiance</v>
      </c>
      <c r="FU3" s="8" t="str">
        <f>IFERROR(__xludf.DUMMYFUNCTION("GOOGLETRANSLATE(FU2,""en"",""fr"")"),"Sélectionner la jointure de ligne")</f>
        <v>Sélectionner la jointure de ligne</v>
      </c>
      <c r="FV3" s="8" t="str">
        <f>IFERROR(__xludf.DUMMYFUNCTION("GOOGLETRANSLATE(FV2,""en"",""fr"")"),"Ajouter un type de ligne")</f>
        <v>Ajouter un type de ligne</v>
      </c>
      <c r="FW3" s="8" t="str">
        <f>IFERROR(__xludf.DUMMYFUNCTION("GOOGLETRANSLATE(FW2,""en"",""fr"")"),"Ajouter des points")</f>
        <v>Ajouter des points</v>
      </c>
      <c r="FX3" s="8" t="str">
        <f>IFERROR(__xludf.DUMMYFUNCTION("GOOGLETRANSLATE(FX2,""en"",""fr"")"),"Type de résumé de la variable Y")</f>
        <v>Type de résumé de la variable Y</v>
      </c>
      <c r="FY3" s="8" t="str">
        <f>IFERROR(__xludf.DUMMYFUNCTION("GOOGLETRANSLATE(FY2,""en"",""fr"")"),"Poste titulaire")</f>
        <v>Poste titulaire</v>
      </c>
      <c r="FZ3" s="8" t="str">
        <f>IFERROR(__xludf.DUMMYFUNCTION("GOOGLETRANSLATE(FZ2,""en"",""fr"")"),"Taille du titre de l'axe")</f>
        <v>Taille du titre de l'axe</v>
      </c>
      <c r="GA3" s="8" t="str">
        <f>IFERROR(__xludf.DUMMYFUNCTION("GOOGLETRANSLATE(GA2,""en"",""fr"")"),"Taille du titre de facette")</f>
        <v>Taille du titre de facette</v>
      </c>
      <c r="GB3" s="8" t="str">
        <f>IFERROR(__xludf.DUMMYFUNCTION("GOOGLETRANSLATE(GB2,""en"",""fr"")"),"Taille du texte de l'axe")</f>
        <v>Taille du texte de l'axe</v>
      </c>
      <c r="GC3" s="8" t="str">
        <f>IFERROR(__xludf.DUMMYFUNCTION("GOOGLETRANSLATE(GC2,""en"",""fr"")"),"taille de l'étiquette de données")</f>
        <v>taille de l'étiquette de données</v>
      </c>
      <c r="GD3" s="8" t="str">
        <f>IFERROR(__xludf.DUMMYFUNCTION("GOOGLETRANSLATE(GD2,""en"",""fr"")"),"angle du texte sur l'axe X")</f>
        <v>angle du texte sur l'axe X</v>
      </c>
      <c r="GE3" s="8" t="str">
        <f>IFERROR(__xludf.DUMMYFUNCTION("GOOGLETRANSLATE(GE2,""en"",""fr"")"),"Titre légendaire")</f>
        <v>Titre légendaire</v>
      </c>
      <c r="GF3" s="8" t="str">
        <f>IFERROR(__xludf.DUMMYFUNCTION("GOOGLETRANSLATE(GF2,""en"",""fr"")"),"Empilé")</f>
        <v>Empilé</v>
      </c>
      <c r="GG3" s="8" t="str">
        <f>IFERROR(__xludf.DUMMYFUNCTION("GOOGLETRANSLATE(GG2,""en"",""fr"")"),"Ajouter de la densité")</f>
        <v>Ajouter de la densité</v>
      </c>
      <c r="GH3" s="8" t="str">
        <f>IFERROR(__xludf.DUMMYFUNCTION("GOOGLETRANSLATE(GH2,""en"",""fr"")"),"Taille du titre de l'intrigue")</f>
        <v>Taille du titre de l'intrigue</v>
      </c>
      <c r="GI3" s="8" t="str">
        <f>IFERROR(__xludf.DUMMYFUNCTION("GOOGLETRANSLATE(GI2,""en"",""fr"")"),"Largeur de la barre")</f>
        <v>Largeur de la barre</v>
      </c>
      <c r="GJ3" s="8" t="str">
        <f>IFERROR(__xludf.DUMMYFUNCTION("GOOGLETRANSLATE(GJ2,""en"",""fr"")"),"Largeur de la boîte")</f>
        <v>Largeur de la boîte</v>
      </c>
      <c r="GK3" s="8" t="str">
        <f>IFERROR(__xludf.DUMMYFUNCTION("GOOGLETRANSLATE(GK2,""en"",""fr"")"),"Taille de la ligne")</f>
        <v>Taille de la ligne</v>
      </c>
      <c r="GL3" s="8" t="str">
        <f>IFERROR(__xludf.DUMMYFUNCTION("GOOGLETRANSLATE(GL2,""en"",""fr"")"),"Sélectionnez le type de ligne")</f>
        <v>Sélectionnez le type de ligne</v>
      </c>
      <c r="GM3" s="8" t="str">
        <f>IFERROR(__xludf.DUMMYFUNCTION("GOOGLETRANSLATE(GM2,""en"",""fr"")"),"Ajouter des formes")</f>
        <v>Ajouter des formes</v>
      </c>
      <c r="GN3" s="8" t="str">
        <f>IFERROR(__xludf.DUMMYFUNCTION("GOOGLETRANSLATE(GN2,""en"",""fr"")"),"Sélectionnez la forme")</f>
        <v>Sélectionnez la forme</v>
      </c>
      <c r="GO3" s="8" t="str">
        <f>IFERROR(__xludf.DUMMYFUNCTION("GOOGLETRANSLATE(GO2,""en"",""fr"")"),"Ajoutez une texture lisse")</f>
        <v>Ajoutez une texture lisse</v>
      </c>
      <c r="GP3" s="8" t="str">
        <f>IFERROR(__xludf.DUMMYFUNCTION("GOOGLETRANSLATE(GP2,""en"",""fr"")"),"Supprimer l'histogramme")</f>
        <v>Supprimer l'histogramme</v>
      </c>
      <c r="GQ3" s="8" t="str">
        <f>IFERROR(__xludf.DUMMYFUNCTION("GOOGLETRANSLATE(GQ2,""en"",""fr"")"),"Sélectionnez une couleur")</f>
        <v>Sélectionnez une couleur</v>
      </c>
      <c r="GR3" s="8" t="str">
        <f>IFERROR(__xludf.DUMMYFUNCTION("GOOGLETRANSLATE(GR2,""en"",""fr"")"),"Sélectionnez la couleur parlet")</f>
        <v>Sélectionnez la couleur parlet</v>
      </c>
      <c r="GS3" s="8" t="str">
        <f>IFERROR(__xludf.DUMMYFUNCTION("GOOGLETRANSLATE(GS2,""en"",""fr"")"),"Diagramme à barres")</f>
        <v>Diagramme à barres</v>
      </c>
      <c r="GT3" s="8" t="str">
        <f>IFERROR(__xludf.DUMMYFUNCTION("GOOGLETRANSLATE(GT2,""en"",""fr"")"),"Résumé détaillé")</f>
        <v>Résumé détaillé</v>
      </c>
      <c r="GU3" s="8" t="str">
        <f>IFERROR(__xludf.DUMMYFUNCTION("GOOGLETRANSLATE(GU2,""en"",""fr"")"),"Ajouter des lignes")</f>
        <v>Ajouter des lignes</v>
      </c>
      <c r="GV3" s="8" t="str">
        <f>IFERROR(__xludf.DUMMYFUNCTION("GOOGLETRANSLATE(GV2,""en"",""fr"")"),"Créer une variable ID")</f>
        <v>Créer une variable ID</v>
      </c>
      <c r="GW3" s="8" t="str">
        <f>IFERROR(__xludf.DUMMYFUNCTION("GOOGLETRANSLATE(GW2,""en"",""fr"")"),"Visualisation de données personnalisée")</f>
        <v>Visualisation de données personnalisée</v>
      </c>
      <c r="GX3" s="8" t="str">
        <f>IFERROR(__xludf.DUMMYFUNCTION("GOOGLETRANSLATE(GX2,""en"",""fr"")"),"Ajout de lignes et de colonnes")</f>
        <v>Ajout de lignes et de colonnes</v>
      </c>
      <c r="GY3" s="8" t="str">
        <f>IFERROR(__xludf.DUMMYFUNCTION("GOOGLETRANSLATE(GY2,""en"",""fr"")"),"Sélectionner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Z3" s="8" t="str">
        <f>IFERROR(__xludf.DUMMYFUNCTION("GOOGLETRANSLATE(GZ2,""en"",""fr"")"),"Sélectionnez pour correspondre")</f>
        <v>Sélectionnez pour correspondre</v>
      </c>
      <c r="HA3" s="8" t="str">
        <f>IFERROR(__xludf.DUMMYFUNCTION("GOOGLETRANSLATE(HA2,""en"",""fr"")"),"Correspondance des variables sélectionnées")</f>
        <v>Correspondance des variables sélectionnées</v>
      </c>
      <c r="HB3" s="8" t="str">
        <f>IFERROR(__xludf.DUMMYFUNCTION("GOOGLETRANSLATE(HB2,""en"",""fr"")"),"Combiner les ensembles de données")</f>
        <v>Combiner les ensembles de données</v>
      </c>
      <c r="HC3" s="11" t="s">
        <v>972</v>
      </c>
      <c r="HD3" s="11" t="s">
        <v>973</v>
      </c>
      <c r="HE3" s="8" t="s">
        <v>974</v>
      </c>
      <c r="HF3" s="8" t="s">
        <v>975</v>
      </c>
      <c r="HG3" s="8" t="s">
        <v>976</v>
      </c>
      <c r="HH3" s="8" t="s">
        <v>977</v>
      </c>
      <c r="HI3" s="8" t="s">
        <v>978</v>
      </c>
      <c r="HJ3" s="8" t="s">
        <v>979</v>
      </c>
      <c r="HK3" s="8" t="s">
        <v>980</v>
      </c>
      <c r="HL3" s="8" t="s">
        <v>981</v>
      </c>
      <c r="HM3" s="8" t="s">
        <v>982</v>
      </c>
      <c r="HN3" s="8" t="s">
        <v>983</v>
      </c>
      <c r="HO3" s="8" t="s">
        <v>984</v>
      </c>
      <c r="HP3" s="8" t="s">
        <v>985</v>
      </c>
      <c r="HQ3" s="8" t="s">
        <v>986</v>
      </c>
      <c r="HR3" s="8" t="s">
        <v>987</v>
      </c>
      <c r="HS3" s="8" t="s">
        <v>988</v>
      </c>
      <c r="HT3" s="8" t="s">
        <v>989</v>
      </c>
      <c r="HU3" s="8" t="s">
        <v>990</v>
      </c>
      <c r="HV3" s="8" t="s">
        <v>991</v>
      </c>
      <c r="HW3" s="8" t="s">
        <v>992</v>
      </c>
      <c r="HX3" s="8" t="s">
        <v>993</v>
      </c>
      <c r="HY3" s="8" t="s">
        <v>994</v>
      </c>
      <c r="HZ3" s="8" t="s">
        <v>995</v>
      </c>
      <c r="IA3" s="8" t="s">
        <v>996</v>
      </c>
      <c r="IB3" s="8" t="s">
        <v>997</v>
      </c>
      <c r="IC3" s="8" t="str">
        <f>IFERROR(__xludf.DUMMYFUNCTION("GOOGLETRANSLATE(IC2,""en"",""fr"")"),"Clé API enregistrée détectée. Passez à la génération de la question de recherche.")</f>
        <v>Clé API enregistrée détectée. Passez à la génération de la question de recherche.</v>
      </c>
      <c r="ID3" s="8" t="str">
        <f>IFERROR(__xludf.DUMMYFUNCTION("GOOGLETRANSLATE(ID2,""en"",""fr"")"),"Ajouter une clé API Gemini")</f>
        <v>Ajouter une clé API Gemini</v>
      </c>
      <c r="IE3" s="8" t="str">
        <f>IFERROR(__xludf.DUMMYFUNCTION("GOOGLETRANSLATE(IE2,""en"",""fr"")"),"Collez la clé API")</f>
        <v>Collez la clé API</v>
      </c>
      <c r="IF3" s="8" t="str">
        <f>IFERROR(__xludf.DUMMYFUNCTION("GOOGLETRANSLATE(IF2,""en"",""fr"")"),"Soumettre une API")</f>
        <v>Soumettre une API</v>
      </c>
      <c r="IG3" s="8" t="str">
        <f>IFERROR(__xludf.DUMMYFUNCTION("GOOGLETRANSLATE(IG2,""en"",""fr"")"),"Pas d'API ? Générez à partir de")</f>
        <v>Pas d'API ? Générez à partir de</v>
      </c>
      <c r="IH3" s="8" t="str">
        <f>IFERROR(__xludf.DUMMYFUNCTION("GOOGLETRANSLATE(IH2,""en"",""fr"")"),"Ici")</f>
        <v>Ici</v>
      </c>
      <c r="II3" s="8" t="str">
        <f>IFERROR(__xludf.DUMMYFUNCTION("GOOGLETRANSLATE(II2,""en"",""fr"")"),"API enregistrée avec succès")</f>
        <v>API enregistrée avec succès</v>
      </c>
      <c r="IJ3" s="8" t="str">
        <f>IFERROR(__xludf.DUMMYFUNCTION("GOOGLETRANSLATE(IJ2,""en"",""fr"")"),"Afficher/masquer les invites supplémentaires")</f>
        <v>Afficher/masquer les invites supplémentaires</v>
      </c>
      <c r="IK3" s="8" t="str">
        <f>IFERROR(__xludf.DUMMYFUNCTION("GOOGLETRANSLATE(IK2,""en"",""fr"")"),"Ajouter un titre")</f>
        <v>Ajouter un titre</v>
      </c>
      <c r="IL3" s="8" t="str">
        <f>IFERROR(__xludf.DUMMYFUNCTION("GOOGLETRANSLATE(IL2,""en"",""fr"")"),"Ajouter des informations générales")</f>
        <v>Ajouter des informations générales</v>
      </c>
      <c r="IM3" s="8" t="str">
        <f>IFERROR(__xludf.DUMMYFUNCTION("GOOGLETRANSLATE(IM2,""en"",""fr"")"),"Ajouter des objectifs")</f>
        <v>Ajouter des objectifs</v>
      </c>
      <c r="IN3" s="8" t="str">
        <f>IFERROR(__xludf.DUMMYFUNCTION("GOOGLETRANSLATE(IN2,""en"",""fr"")"),"Suggérer une analyse")</f>
        <v>Suggérer une analyse</v>
      </c>
      <c r="IO3" s="8" t="str">
        <f>IFERROR(__xludf.DUMMYFUNCTION("GOOGLETRANSLATE(IO2,""en"",""fr"")"),"Générer")</f>
        <v>Générer</v>
      </c>
      <c r="IP3" s="8" t="str">
        <f>IFERROR(__xludf.DUMMYFUNCTION("GOOGLETRANSLATE(IP2,""en"",""fr"")"),"Questions de recherche possibles")</f>
        <v>Questions de recherche possibles</v>
      </c>
      <c r="IQ3" s="8" t="str">
        <f>IFERROR(__xludf.DUMMYFUNCTION("GOOGLETRANSLATE(IQ2,""en"",""fr"")"),"Une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R3" s="8" t="str">
        <f>IFERROR(__xludf.DUMMYFUNCTION("GOOGLETRANSLATE(IR2,""en"",""fr"")"),"Les données ont-elles un résultat intéressant ?")</f>
        <v>Les données ont-elles un résultat intéressant ?</v>
      </c>
      <c r="IS3" s="8" t="str">
        <f>IFERROR(__xludf.DUMMYFUNCTION("GOOGLETRANSLATE(IS2,""en"",""fr"")"),"Sélectionnez une option.")</f>
        <v>Sélectionnez une option.</v>
      </c>
      <c r="IT3" s="8" t="str">
        <f>IFERROR(__xludf.DUMMYFUNCTION("GOOGLETRANSLATE(IT2,""en"",""fr"")"),"Sélectionnez le résultat qui vous intéresse")</f>
        <v>Sélectionnez le résultat qui vous intéresse</v>
      </c>
      <c r="IU3" s="8" t="str">
        <f>IFERROR(__xludf.DUMMYFUNCTION("GOOGLETRANSLATE(IU2,""en"",""fr"")"),"Méthodes d'analyse suggérées")</f>
        <v>Méthodes d'analyse suggérées</v>
      </c>
      <c r="IV3" s="8" t="str">
        <f>IFERROR(__xludf.DUMMYFUNCTION("GOOGLETRANSLATE(IV2,""en"",""fr"")"),"Sélectionnez une couleur")</f>
        <v>Sélectionnez une couleur</v>
      </c>
      <c r="IW3" s="8" t="str">
        <f>IFERROR(__xludf.DUMMYFUNCTION("GOOGLETRANSLATE(IW2,""en"",""fr"")"),"Sélectionnez une option")</f>
        <v>Sélectionnez une option</v>
      </c>
      <c r="IX3" s="8" t="str">
        <f>IFERROR(__xludf.DUMMYFUNCTION("GOOGLETRANSLATE(IX2,""en"",""fr"")"),"Type d'analyse")</f>
        <v>Type d'analyse</v>
      </c>
      <c r="IY3" s="8" t="str">
        <f>IFERROR(__xludf.DUMMYFUNCTION("GOOGLETRANSLATE(IY2,""en"",""fr"")"),"Tâche supervisée")</f>
        <v>Tâche supervisée</v>
      </c>
      <c r="IZ3" s="8" t="str">
        <f>IFERROR(__xludf.DUMMYFUNCTION("GOOGLETRANSLATE(IZ2,""en"",""fr"")"),"Sans surveillance")</f>
        <v>Sans surveillance</v>
      </c>
      <c r="JA3" s="8" t="str">
        <f>IFERROR(__xludf.DUMMYFUNCTION("GOOGLETRANSLATE(JA2,""en"",""fr"")"),"Travaux en cours")</f>
        <v>Travaux en cours</v>
      </c>
      <c r="JB3" s="8" t="str">
        <f>IFERROR(__xludf.DUMMYFUNCTION("GOOGLETRANSLATE(JB2,""en"",""fr"")"),"Travaux en cours")</f>
        <v>Travaux en cours</v>
      </c>
      <c r="JC3" s="8" t="str">
        <f>IFERROR(__xludf.DUMMYFUNCTION("GOOGLETRANSLATE(JC2,""en"",""fr"")"),"Aucune variable numérique dans les données. Changez de type ou sélectionnez une autre tâche.")</f>
        <v>Aucune variable numérique dans les données. Changez de type ou sélectionnez une autre tâche.</v>
      </c>
      <c r="JD3" s="8" t="str">
        <f>IFERROR(__xludf.DUMMYFUNCTION("GOOGLETRANSLATE(JD2,""en"",""fr"")"),"Sélectionner la variable cible")</f>
        <v>Sélectionner la variable cible</v>
      </c>
      <c r="JE3" s="8" t="str">
        <f>IFERROR(__xludf.DUMMYFUNCTION("GOOGLETRANSLATE(JE2,""en"",""fr"")"),"Objectif/Résultat")</f>
        <v>Objectif/Résultat</v>
      </c>
      <c r="JF3" s="8" t="str">
        <f>IFERROR(__xludf.DUMMYFUNCTION("GOOGLETRANSLATE(JF2,""en"",""fr"")"),"Rapport entraînement/test")</f>
        <v>Rapport entraînement/test</v>
      </c>
      <c r="JG3" s="8" t="str">
        <f>IFERROR(__xludf.DUMMYFUNCTION("GOOGLETRANSLATE(JG2,""en"",""fr"")"),"ID de session")</f>
        <v>ID de session</v>
      </c>
      <c r="JH3" s="8" t="str">
        <f>IFERROR(__xludf.DUMMYFUNCTION("GOOGLETRANSLATE(JH2,""en"",""fr"")"),"Saisissez l'identifiant de session")</f>
        <v>Saisissez l'identifiant de session</v>
      </c>
      <c r="JI3" s="8" t="str">
        <f>IFERROR(__xludf.DUMMYFUNCTION("GOOGLETRANSLATE(JI2,""en"",""fr"")"),"S'il vous plaît, attendez!!!")</f>
        <v>S'il vous plaît, attendez!!!</v>
      </c>
      <c r="JJ3" s="8" t="str">
        <f>IFERROR(__xludf.DUMMYFUNCTION("GOOGLETRANSLATE(JJ2,""en"",""fr"")"),"Un tableau croisé dynamique est en cours de préparation. Il sera affiché très prochainement.")</f>
        <v>Un tableau croisé dynamique est en cours de préparation. Il sera affiché très prochainement.</v>
      </c>
      <c r="JK3" s="8" t="str">
        <f>IFERROR(__xludf.DUMMYFUNCTION("GOOGLETRANSLATE(JK2,""en"",""fr"")"),"Initialiser")</f>
        <v>Initialiser</v>
      </c>
      <c r="JL3" s="8" t="str">
        <f>IFERROR(__xludf.DUMMYFUNCTION("GOOGLETRANSLATE(JL2,""en"",""fr"")"),"L'intrigue est en cours d'élaboration. Elle sera bientôt dévoilée.")</f>
        <v>L'intrigue est en cours d'élaboration. Elle sera bientôt dévoilée.</v>
      </c>
      <c r="JM3" s="8" t="str">
        <f>IFERROR(__xludf.DUMMYFUNCTION("GOOGLETRANSLATE(JM2,""en"",""fr"")"),"Variables exclues")</f>
        <v>Variables exclues</v>
      </c>
      <c r="JN3" s="8" t="str">
        <f>IFERROR(__xludf.DUMMYFUNCTION("GOOGLETRANSLATE(JN2,""en"",""fr"")"),"Sélectionnez les variables à exclure")</f>
        <v>Sélectionnez les variables à exclure</v>
      </c>
      <c r="JO3" s="8" t="str">
        <f>IFERROR(__xludf.DUMMYFUNCTION("GOOGLETRANSLATE(JO2,""en"",""fr"")"),"Mise à jour du tracé")</f>
        <v>Mise à jour du tracé</v>
      </c>
      <c r="JP3" s="8" t="str">
        <f>IFERROR(__xludf.DUMMYFUNCTION("GOOGLETRANSLATE(JP2,""en"",""fr"")"),"Mise à jour du tableau croisé")</f>
        <v>Mise à jour du tableau croisé</v>
      </c>
      <c r="JQ3" s="8" t="str">
        <f>IFERROR(__xludf.DUMMYFUNCTION("GOOGLETRANSLATE(JQ2,""en"",""fr"")"),"Définir les paramètres du graphique de corrélation")</f>
        <v>Définir les paramètres du graphique de corrélation</v>
      </c>
      <c r="JR3" s="8" t="str">
        <f>IFERROR(__xludf.DUMMYFUNCTION("GOOGLETRANSLATE(JR2,""en"",""fr"")"),"Définir les paramètres du graphique bivarié")</f>
        <v>Définir les paramètres du graphique bivarié</v>
      </c>
      <c r="JS3" s="8" t="str">
        <f>IFERROR(__xludf.DUMMYFUNCTION("GOOGLETRANSLATE(JS2,""en"",""fr"")"),"Sélectionner la variable de résultat")</f>
        <v>Sélectionner la variable de résultat</v>
      </c>
      <c r="JT3" s="8" t="str">
        <f>IFERROR(__xludf.DUMMYFUNCTION("GOOGLETRANSLATE(JT2,""en"",""fr"")"),"Sélectionner la variable explicative")</f>
        <v>Sélectionner la variable explicative</v>
      </c>
      <c r="JU3" s="8" t="str">
        <f>IFERROR(__xludf.DUMMYFUNCTION("GOOGLETRANSLATE(JU2,""en"",""fr"")"),"Sélectionnez les variables numériques")</f>
        <v>Sélectionnez les variables numériques</v>
      </c>
      <c r="JV3" s="8" t="str">
        <f>IFERROR(__xludf.DUMMYFUNCTION("GOOGLETRANSLATE(JV2,""en"",""fr"")"),"La colonne comporte des catégories en excès")</f>
        <v>La colonne comporte des catégories en excès</v>
      </c>
      <c r="JW3" s="8" t="str">
        <f>IFERROR(__xludf.DUMMYFUNCTION("GOOGLETRANSLATE(JW2,""en"",""fr"")"),"Sélectionnez une colonne comportant 20 catégories ou moins et réessayez !")</f>
        <v>Sélectionnez une colonne comportant 20 catégories ou moins et réessayez !</v>
      </c>
      <c r="JX3" s="8" t="str">
        <f>IFERROR(__xludf.DUMMYFUNCTION("GOOGLETRANSLATE(JX2,""en"",""fr"")"),"Limite maximale de variable dépassée !")</f>
        <v>Limite maximale de variable dépassée !</v>
      </c>
      <c r="JY3" s="8" t="str">
        <f>IFERROR(__xludf.DUMMYFUNCTION("GOOGLETRANSLATE(JY2,""en"",""fr"")"),"Sélectionnez 5 variables ou moins et réessayez.")</f>
        <v>Sélectionnez 5 variables ou moins et réessayez.</v>
      </c>
      <c r="JZ3" s="8" t="str">
        <f>IFERROR(__xludf.DUMMYFUNCTION("GOOGLETRANSLATE(JZ2,""en"",""fr"")"),"Méthode d'imputation des données manquantes")</f>
        <v>Méthode d'imputation des données manquantes</v>
      </c>
      <c r="KA3" s="8" t="str">
        <f>IFERROR(__xludf.DUMMYFUNCTION("GOOGLETRANSLATE(KA2,""en"",""fr"")"),"Sélectionnez une méthode")</f>
        <v>Sélectionnez une méthode</v>
      </c>
      <c r="KB3" s="8" t="str">
        <f>IFERROR(__xludf.DUMMYFUNCTION("GOOGLETRANSLATE(KB2,""en"",""fr"")"),"Sélectionnez la variable de sortie")</f>
        <v>Sélectionnez la variable de sortie</v>
      </c>
      <c r="KC3" s="8" t="str">
        <f>IFERROR(__xludf.DUMMYFUNCTION("GOOGLETRANSLATE(KC2,""en"",""fr"")"),"Sélectionnez une couleur")</f>
        <v>Sélectionnez une couleur</v>
      </c>
      <c r="KD3" s="8" t="str">
        <f>IFERROR(__xludf.DUMMYFUNCTION("GOOGLETRANSLATE(KD2,""en"",""fr"")"),"Sélectionnez les variables numériques")</f>
        <v>Sélectionnez les variables numériques</v>
      </c>
      <c r="KE3" s="8" t="str">
        <f>IFERROR(__xludf.DUMMYFUNCTION("GOOGLETRANSLATE(KE2,""en"",""fr"")"),"Le rapport est en cours de préparation et sera bientôt disponible au téléchargement.")</f>
        <v>Le rapport est en cours de préparation et sera bientôt disponible au téléchargement.</v>
      </c>
      <c r="KF3" s="8" t="str">
        <f>IFERROR(__xludf.DUMMYFUNCTION("GOOGLETRANSLATE(KF2,""en"",""fr"")"),"Personnalisation de Corrplot")</f>
        <v>Personnalisation de Corrplot</v>
      </c>
      <c r="KG3" s="8" t="str">
        <f>IFERROR(__xludf.DUMMYFUNCTION("GOOGLETRANSLATE(KG2,""en"",""fr"")"),"Personnalisation des graphiques bivariés")</f>
        <v>Personnalisation des graphiques bivariés</v>
      </c>
      <c r="KH3" s="8" t="str">
        <f>IFERROR(__xludf.DUMMYFUNCTION("GOOGLETRANSLATE(KH2,""en"",""fr"")"),"Titre de l'intrigue")</f>
        <v>Titre de l'intrigue</v>
      </c>
      <c r="KI3" s="8" t="str">
        <f>IFERROR(__xludf.DUMMYFUNCTION("GOOGLETRANSLATE(KI2,""en"",""fr"")"),"Sélectionner les variables explicatives")</f>
        <v>Sélectionner les variables explicatives</v>
      </c>
      <c r="KJ3" s="8" t="str">
        <f>IFERROR(__xludf.DUMMYFUNCTION("GOOGLETRANSLATE(KJ2,""en"",""fr"")"),"valeur des semences")</f>
        <v>valeur des semences</v>
      </c>
      <c r="KK3" s="8" t="str">
        <f>IFERROR(__xludf.DUMMYFUNCTION("GOOGLETRANSLATE(KK2,""en"",""fr"")"),"Télécharger")</f>
        <v>Télécharger</v>
      </c>
      <c r="KL3" s="8" t="str">
        <f>IFERROR(__xludf.DUMMYFUNCTION("GOOGLETRANSLATE(KL2,""en"",""fr"")"),"Variable de résultat/cible")</f>
        <v>Variable de résultat/cible</v>
      </c>
      <c r="KM3" s="8" t="str">
        <f>IFERROR(__xludf.DUMMYFUNCTION("GOOGLETRANSLATE(KM2,""en"",""fr"")"),"Sélectionner la catégorie du modèle")</f>
        <v>Sélectionner la catégorie du modèle</v>
      </c>
      <c r="KN3" s="8" t="str">
        <f>IFERROR(__xludf.DUMMYFUNCTION("GOOGLETRANSLATE(KN2,""en"",""fr"")"),"Régression")</f>
        <v>Régression</v>
      </c>
      <c r="KO3" s="8" t="str">
        <f>IFERROR(__xludf.DUMMYFUNCTION("GOOGLETRANSLATE(KO2,""en"",""fr"")"),"Classification")</f>
        <v>Classification</v>
      </c>
      <c r="KP3" s="8" t="str">
        <f>IFERROR(__xludf.DUMMYFUNCTION("GOOGLETRANSLATE(KP2,""en"",""fr"")"),"Sélectionner le cadre de modélisation")</f>
        <v>Sélectionner le cadre de modélisation</v>
      </c>
      <c r="KQ3" s="8" t="str">
        <f>IFERROR(__xludf.DUMMYFUNCTION("GOOGLETRANSLATE(KQ2,""en"",""fr"")"),"Qualité des preuves")</f>
        <v>Qualité des preuves</v>
      </c>
      <c r="KR3" s="8" t="str">
        <f>IFERROR(__xludf.DUMMYFUNCTION("GOOGLETRANSLATE(KR2,""en"",""fr"")"),"Télécharger le rapport")</f>
        <v>Télécharger le rapport</v>
      </c>
      <c r="KS3" s="8" t="str">
        <f>IFERROR(__xludf.DUMMYFUNCTION("GOOGLETRANSLATE(KS2,""en"",""fr"")"),"Analyse OMOP")</f>
        <v>Analyse OMOP</v>
      </c>
      <c r="KT3" s="8" t="str">
        <f>IFERROR(__xludf.DUMMYFUNCTION("GOOGLETRANSLATE(KT2,""en"",""fr"")"),"Prétraitement")</f>
        <v>Prétraitement</v>
      </c>
      <c r="KU3" s="8" t="str">
        <f>IFERROR(__xludf.DUMMYFUNCTION("GOOGLETRANSLATE(KU2,""en"",""fr"")"),"Ingénierie des fonctionnalités")</f>
        <v>Ingénierie des fonctionnalités</v>
      </c>
      <c r="KV3" s="8" t="str">
        <f>IFERROR(__xludf.DUMMYFUNCTION("GOOGLETRANSLATE(KV2,""en"",""fr"")"),"Imputer les valeurs manquantes")</f>
        <v>Imputer les valeurs manquantes</v>
      </c>
      <c r="KW3" s="8" t="str">
        <f>IFERROR(__xludf.DUMMYFUNCTION("GOOGLETRANSLATE(KW2,""en"",""fr"")"),"Effectuer les étapes FE")</f>
        <v>Effectuer les étapes FE</v>
      </c>
      <c r="KX3" s="8" t="str">
        <f>IFERROR(__xludf.DUMMYFUNCTION("GOOGLETRANSLATE(KX2,""en"",""fr"")"),"Performance PCA")</f>
        <v>Performance PCA</v>
      </c>
      <c r="KY3" s="8" t="str">
        <f>IFERROR(__xludf.DUMMYFUNCTION("GOOGLETRANSLATE(KY2,""en"",""fr"")"),"Analyse du tendon d'Achille")</f>
        <v>Analyse du tendon d'Achille</v>
      </c>
      <c r="KZ3" s="8" t="str">
        <f>IFERROR(__xludf.DUMMYFUNCTION("GOOGLETRANSLATE(KZ2,""en"",""fr"")"),"Classe d'exemple Up")</f>
        <v>Classe d'exemple Up</v>
      </c>
      <c r="LA3" s="8" t="str">
        <f>IFERROR(__xludf.DUMMYFUNCTION("GOOGLETRANSLATE(LA2,""en"",""fr"")"),"Créer les détails de la connexion")</f>
        <v>Créer les détails de la connexion</v>
      </c>
      <c r="LB3" s="8" t="str">
        <f>IFERROR(__xludf.DUMMYFUNCTION("GOOGLETRANSLATE(LB2,""en"",""fr"")"),"Sélection de cohortes")</f>
        <v>Sélection de cohortes</v>
      </c>
      <c r="LC3" s="8" t="str">
        <f>IFERROR(__xludf.DUMMYFUNCTION("GOOGLETRANSLATE(LC2,""en"",""fr"")"),"Appliquer la sélection")</f>
        <v>Appliquer la sélection</v>
      </c>
      <c r="LD3" s="8" t="str">
        <f>IFERROR(__xludf.DUMMYFUNCTION("GOOGLETRANSLATE(LD2,""en"",""fr"")"),"Filtre de corrélation")</f>
        <v>Filtre de corrélation</v>
      </c>
      <c r="LE3" s="8" t="str">
        <f>IFERROR(__xludf.DUMMYFUNCTION("GOOGLETRANSLATE(LE2,""en"",""fr"")"),"Méthode de partitionnement des données")</f>
        <v>Méthode de partitionnement des données</v>
      </c>
      <c r="LF3" s="8" t="str">
        <f>IFERROR(__xludf.DUMMYFUNCTION("GOOGLETRANSLATE(LF2,""en"",""fr"")"),"Utilisation des identifiants de concept")</f>
        <v>Utilisation des identifiants de concept</v>
      </c>
      <c r="LG3" s="8" t="str">
        <f>IFERROR(__xludf.DUMMYFUNCTION("GOOGLETRANSLATE(LG2,""en"",""fr"")"),"Phénotypage d'Aphrodite")</f>
        <v>Phénotypage d'Aphrodite</v>
      </c>
      <c r="LH3" s="8" t="str">
        <f>IFERROR(__xludf.DUMMYFUNCTION("GOOGLETRANSLATE(LH2,""en"",""fr"")"),"Nombre de plis de validation croisée")</f>
        <v>Nombre de plis de validation croisée</v>
      </c>
      <c r="LI3" s="8" t="str">
        <f>IFERROR(__xludf.DUMMYFUNCTION("GOOGLETRANSLATE(LI2,""en"",""fr"")"),"Sélectionner la métrique d'évaluation")</f>
        <v>Sélectionner la métrique d'évaluation</v>
      </c>
      <c r="LJ3" s="8" t="str">
        <f>IFERROR(__xludf.DUMMYFUNCTION("GOOGLETRANSLATE(LJ2,""en"",""fr"")"),"Méthode de validation croisée")</f>
        <v>Méthode de validation croisée</v>
      </c>
      <c r="LK3" s="8" t="str">
        <f>IFERROR(__xludf.DUMMYFUNCTION("GOOGLETRANSLATE(LK2,""en"",""fr"")"),"Nombre de répétitions")</f>
        <v>Nombre de répétitions</v>
      </c>
      <c r="LL3" s="8" t="str">
        <f>IFERROR(__xludf.DUMMYFUNCTION("GOOGLETRANSLATE(LL2,""en"",""fr"")"),"Nombre de plis ou d'itérations de rééchantillonnage")</f>
        <v>Nombre de plis ou d'itérations de rééchantillonnage</v>
      </c>
      <c r="LM3" s="8" t="str">
        <f>IFERROR(__xludf.DUMMYFUNCTION("GOOGLETRANSLATE(LM2,""en"",""fr"")"),"Résumé du prétraitement")</f>
        <v>Résumé du prétraitement</v>
      </c>
      <c r="LN3" s="8" t="str">
        <f>IFERROR(__xludf.DUMMYFUNCTION("GOOGLETRANSLATE(LN2,""en"",""fr"")"),"Méthode de validation croisée")</f>
        <v>Méthode de validation croisée</v>
      </c>
      <c r="LO3" s="8" t="str">
        <f>IFERROR(__xludf.DUMMYFUNCTION("GOOGLETRANSLATE(LO2,""en"",""fr"")"),"Méthode de recherche")</f>
        <v>Méthode de recherche</v>
      </c>
      <c r="LP3" s="8" t="str">
        <f>IFERROR(__xludf.DUMMYFUNCTION("GOOGLETRANSLATE(LP2,""en"",""fr"")"),"Générer")</f>
        <v>Générer</v>
      </c>
      <c r="LQ3" s="8" t="str">
        <f>IFERROR(__xludf.DUMMYFUNCTION("GOOGLETRANSLATE(LQ2,""en"",""fr"")"),"date de début de l'événement")</f>
        <v>date de début de l'événement</v>
      </c>
      <c r="LR3" s="8" t="str">
        <f>IFERROR(__xludf.DUMMYFUNCTION("GOOGLETRANSLATE(LR2,""en"",""fr"")"),"Nom de la cohorte")</f>
        <v>Nom de la cohorte</v>
      </c>
      <c r="LS3" s="8" t="str">
        <f>IFERROR(__xludf.DUMMYFUNCTION("GOOGLETRANSLATE(LS2,""en"",""fr"")"),"Mot-clé")</f>
        <v>Mot-clé</v>
      </c>
      <c r="LT3" s="8" t="str">
        <f>IFERROR(__xludf.DUMMYFUNCTION("GOOGLETRANSLATE(LT2,""en"",""fr"")"),"Entrée du MDP")</f>
        <v>Entrée du MDP</v>
      </c>
      <c r="LU3" s="8" t="str">
        <f>IFERROR(__xludf.DUMMYFUNCTION("GOOGLETRANSLATE(LU2,""en"",""fr"")"),"Créer un CDM")</f>
        <v>Créer un CDM</v>
      </c>
      <c r="LV3" s="8" t="str">
        <f>IFERROR(__xludf.DUMMYFUNCTION("GOOGLETRANSLATE(LV2,""en"",""fr"")"),"Nom du schéma d'Achille")</f>
        <v>Nom du schéma d'Achille</v>
      </c>
      <c r="LW3" s="8" t="str">
        <f>IFERROR(__xludf.DUMMYFUNCTION("GOOGLETRANSLATE(LW2,""en"",""fr"")"),"Nom du schéma de résultat")</f>
        <v>Nom du schéma de résultat</v>
      </c>
      <c r="LX3" s="8" t="str">
        <f>IFERROR(__xludf.DUMMYFUNCTION("GOOGLETRANSLATE(LX2,""en"",""fr"")"),"Nom du schéma CDM")</f>
        <v>Nom du schéma CDM</v>
      </c>
      <c r="LY3" s="8" t="str">
        <f>IFERROR(__xludf.DUMMYFUNCTION("GOOGLETRANSLATE(LY2,""en"",""fr"")"),"Nom de connexion CDM")</f>
        <v>Nom de connexion CDM</v>
      </c>
      <c r="LZ3" s="8" t="str">
        <f>IFERROR(__xludf.DUMMYFUNCTION("GOOGLETRANSLATE(LZ2,""en"",""fr"")"),"Connexion CDM")</f>
        <v>Connexion CDM</v>
      </c>
      <c r="MA3" s="8" t="str">
        <f>IFERROR(__xludf.DUMMYFUNCTION("GOOGLETRANSLATE(MA2,""en"",""fr"")"),"Connecter la base de données")</f>
        <v>Connecter la base de données</v>
      </c>
      <c r="MB3" s="8" t="str">
        <f>IFERROR(__xludf.DUMMYFUNCTION("GOOGLETRANSLATE(MB2,""en"",""fr"")"),"Port ")</f>
        <v>Port </v>
      </c>
      <c r="MC3" s="8" t="str">
        <f>IFERROR(__xludf.DUMMYFUNCTION("GOOGLETRANSLATE(MC2,""en"",""fr"")"),"Mot de passe")</f>
        <v>Mot de passe</v>
      </c>
      <c r="MD3" s="8" t="str">
        <f>IFERROR(__xludf.DUMMYFUNCTION("GOOGLETRANSLATE(MD2,""en"",""fr"")"),"Utilisateur")</f>
        <v>Utilisateur</v>
      </c>
      <c r="ME3" s="8" t="str">
        <f>IFERROR(__xludf.DUMMYFUNCTION("GOOGLETRANSLATE(ME2,""en"",""fr"")"),"Nom de la base de données")</f>
        <v>Nom de la base de données</v>
      </c>
      <c r="MF3" s="8" t="str">
        <f>IFERROR(__xludf.DUMMYFUNCTION("GOOGLETRANSLATE(MF2,""en"",""fr"")"),"Hôte")</f>
        <v>Hôte</v>
      </c>
      <c r="MG3" s="8" t="str">
        <f>IFERROR(__xludf.DUMMYFUNCTION("GOOGLETRANSLATE(MG2,""en"",""fr"")"),"Type de base de données")</f>
        <v>Type de base de données</v>
      </c>
      <c r="MH3" s="8" t="str">
        <f>IFERROR(__xludf.DUMMYFUNCTION("GOOGLETRANSLATE(MH2,""en"",""fr"")"),"Personnaliser les commandes d'entraînement")</f>
        <v>Personnaliser les commandes d'entraînement</v>
      </c>
      <c r="MI3" s="8" t="str">
        <f>IFERROR(__xludf.DUMMYFUNCTION("GOOGLETRANSLATE(MI2,""en"",""fr"")"),"Enregistrer les paramètres")</f>
        <v>Enregistrer les paramètres</v>
      </c>
      <c r="MJ3" s="8" t="str">
        <f>IFERROR(__xludf.DUMMYFUNCTION("GOOGLETRANSLATE(MJ2,""en"",""fr"")"),"Annuler")</f>
        <v>Annuler</v>
      </c>
      <c r="MK3" s="8" t="str">
        <f>IFERROR(__xludf.DUMMYFUNCTION("GOOGLETRANSLATE(MK2,""en"",""fr"")"),"Itération verbeuse")</f>
        <v>Itération verbeuse</v>
      </c>
      <c r="ML3" s="8" t="str">
        <f>IFERROR(__xludf.DUMMYFUNCTION("GOOGLETRANSLATE(ML2,""en"",""fr"")"),"Enregistrer les prédictions")</f>
        <v>Enregistrer les prédictions</v>
      </c>
      <c r="MM3" s="8" t="str">
        <f>IFERROR(__xludf.DUMMYFUNCTION("GOOGLETRANSLATE(MM2,""en"",""fr"")"),"Calculer les probabilités de classe")</f>
        <v>Calculer les probabilités de classe</v>
      </c>
      <c r="MN3" s="8" t="str">
        <f>IFERROR(__xludf.DUMMYFUNCTION("GOOGLETRANSLATE(MN2,""en"",""fr"")"),"Construction de cohortes")</f>
        <v>Construction de cohortes</v>
      </c>
      <c r="MO3" s="8" t="str">
        <f>IFERROR(__xludf.DUMMYFUNCTION("GOOGLETRANSLATE(MO2,""en"",""fr"")"),"Les graphiques sont en cours de génération. Ils seront affichés sous peu.")</f>
        <v>Les graphiques sont en cours de génération. Ils seront affichés sous peu.</v>
      </c>
      <c r="MP3" s="8" t="str">
        <f>IFERROR(__xludf.DUMMYFUNCTION("GOOGLETRANSLATE(MP2,""en"",""fr"")"),"Sélectionnez le(s) modèle(s) à entraîner")</f>
        <v>Sélectionnez le(s) modèle(s) à entraîner</v>
      </c>
      <c r="MQ3" s="8" t="str">
        <f>IFERROR(__xludf.DUMMYFUNCTION("GOOGLETRANSLATE(MQ2,""en"",""fr"")"),"Avance")</f>
        <v>Avance</v>
      </c>
      <c r="MR3" s="8" t="str">
        <f>IFERROR(__xludf.DUMMYFUNCTION("GOOGLETRANSLATE(MR2,""en"",""fr"")"),"Inclure l'interception")</f>
        <v>Inclure l'interception</v>
      </c>
      <c r="MS3" s="8" t="str">
        <f>IFERROR(__xludf.DUMMYFUNCTION("GOOGLETRANSLATE(MS2,""en"",""fr"")"),"Options avancées")</f>
        <v>Options avancées</v>
      </c>
      <c r="MT3" s="8" t="str">
        <f>IFERROR(__xludf.DUMMYFUNCTION("GOOGLETRANSLATE(MT2,""en"",""fr"")"),"Modèles de trains")</f>
        <v>Modèles de trains</v>
      </c>
      <c r="MU3" s="8" t="s">
        <v>843</v>
      </c>
      <c r="MV3" s="8" t="str">
        <f>IFERROR(__xludf.DUMMYFUNCTION("GOOGLETRANSLATE(MV2,""en"",""fr"")"),"Forêt aléatoire")</f>
        <v>Forêt aléatoire</v>
      </c>
      <c r="MW3" s="8" t="str">
        <f>IFERROR(__xludf.DUMMYFUNCTION("GOOGLETRANSLATE(MW2,""en"",""fr"")"),"# Prédicteurs à chaque division")</f>
        <v># Prédicteurs à chaque division</v>
      </c>
      <c r="MX3" s="8" t="str">
        <f>IFERROR(__xludf.DUMMYFUNCTION("GOOGLETRANSLATE(MX2,""en"",""fr"")"),"Traitement parallèle")</f>
        <v>Traitement parallèle</v>
      </c>
      <c r="MY3" s="8" t="str">
        <f>IFERROR(__xludf.DUMMYFUNCTION("GOOGLETRANSLATE(MY2,""en"",""fr"")"),"Inclure l'ensemble")</f>
        <v>Inclure l'ensemble</v>
      </c>
      <c r="MZ3" s="8" t="str">
        <f>IFERROR(__xludf.DUMMYFUNCTION("GOOGLETRANSLATE(MZ2,""en"",""fr"")"),"configuration d'entraînement du modèle")</f>
        <v>configuration d'entraînement du modèle</v>
      </c>
      <c r="NA3" s="8" t="str">
        <f>IFERROR(__xludf.DUMMYFUNCTION("GOOGLETRANSLATE(NA2,""en"",""fr"")"),"# Boosting Iterations")</f>
        <v># Boosting Iterations</v>
      </c>
      <c r="NB3" s="8" t="str">
        <f>IFERROR(__xludf.DUMMYFUNCTION("GOOGLETRANSLATE(NB2,""en"",""fr"")"),"Profondeur maximale de l'arbre")</f>
        <v>Profondeur maximale de l'arbre</v>
      </c>
      <c r="NC3" s="8" t="str">
        <f>IFERROR(__xludf.DUMMYFUNCTION("GOOGLETRANSLATE(NC2,""en"",""fr"")"),"taille du nœud terminal")</f>
        <v>taille du nœud terminal</v>
      </c>
      <c r="ND3" s="8" t="str">
        <f>IFERROR(__xludf.DUMMYFUNCTION("GOOGLETRANSLATE(ND2,""en"",""fr"")"),"Rétrécissement (taux d'apprentissage)")</f>
        <v>Rétrécissement (taux d'apprentissage)</v>
      </c>
      <c r="NE3" s="8" t="str">
        <f>IFERROR(__xludf.DUMMYFUNCTION("GOOGLETRANSLATE(NE2,""en"",""fr"")"),"AutoML")</f>
        <v>AutoML</v>
      </c>
      <c r="NF3" s="8" t="str">
        <f>IFERROR(__xludf.DUMMYFUNCTION("GOOGLETRANSLATE(NF2,""en"",""fr"")"),"Schéma CDM")</f>
        <v>Schéma CDM</v>
      </c>
      <c r="NG3" s="8" t="str">
        <f>IFERROR(__xludf.DUMMYFUNCTION("GOOGLETRANSLATE(NG2,""en"",""fr"")"),"Schéma de vocabulaire")</f>
        <v>Schéma de vocabulaire</v>
      </c>
      <c r="NH3" s="8" t="str">
        <f>IFERROR(__xludf.DUMMYFUNCTION("GOOGLETRANSLATE(NH2,""en"",""fr"")"),"Schéma des résultats")</f>
        <v>Schéma des résultats</v>
      </c>
      <c r="NI3" s="8" t="str">
        <f>IFERROR(__xludf.DUMMYFUNCTION("GOOGLETRANSLATE(NI2,""en"",""fr"")"),"Version CDM")</f>
        <v>Version CDM</v>
      </c>
      <c r="NJ3" s="8" t="str">
        <f>IFERROR(__xludf.DUMMYFUNCTION("GOOGLETRANSLATE(NJ2,""en"",""fr"")"),"Type de base de données")</f>
        <v>Type de base de données</v>
      </c>
      <c r="NK3" s="8" t="str">
        <f>IFERROR(__xludf.DUMMYFUNCTION("GOOGLETRANSLATE(NK2,""en"",""fr"")"),"Port")</f>
        <v>Port</v>
      </c>
      <c r="NL3" s="8" t="str">
        <f>IFERROR(__xludf.DUMMYFUNCTION("GOOGLETRANSLATE(NL2,""en"",""fr"")"),"Hôte")</f>
        <v>Hôte</v>
      </c>
      <c r="NM3" s="8" t="str">
        <f>IFERROR(__xludf.DUMMYFUNCTION("GOOGLETRANSLATE(NM2,""en"",""fr"")"),"Nom de la base de données")</f>
        <v>Nom de la base de données</v>
      </c>
      <c r="NN3" s="8" t="str">
        <f>IFERROR(__xludf.DUMMYFUNCTION("GOOGLETRANSLATE(NN2,""en"",""fr"")"),"Utilisateur")</f>
        <v>Utilisateur</v>
      </c>
      <c r="NO3" s="8" t="str">
        <f>IFERROR(__xludf.DUMMYFUNCTION("GOOGLETRANSLATE(NO2,""en"",""fr"")"),"Mot de passe")</f>
        <v>Mot de passe</v>
      </c>
      <c r="NP3" s="8" t="str">
        <f>IFERROR(__xludf.DUMMYFUNCTION("GOOGLETRANSLATE(NP2,""en"",""fr"")"),"Courir Achille")</f>
        <v>Courir Achille</v>
      </c>
      <c r="NQ3" s="8" t="str">
        <f>IFERROR(__xludf.DUMMYFUNCTION("GOOGLETRANSLATE(NQ2,""en"",""fr"")"),"Extraction de caractéristiques")</f>
        <v>Extraction de caractéristiques</v>
      </c>
      <c r="NR3" s="8" t="str">
        <f>IFERROR(__xludf.DUMMYFUNCTION("GOOGLETRANSLATE(NR2,""en"",""fr"")"),"Analyse OHDSI")</f>
        <v>Analyse OHDSI</v>
      </c>
      <c r="NS3" s="8" t="str">
        <f>IFERROR(__xludf.DUMMYFUNCTION("GOOGLETRANSLATE(NS2,""en"",""fr"")"),"# Boosting Iterations")</f>
        <v># Boosting Iterations</v>
      </c>
      <c r="NT3" s="8" t="str">
        <f>IFERROR(__xludf.DUMMYFUNCTION("GOOGLETRANSLATE(NT2,""en"",""fr"")"),"Profondeur maximale de l'arbre")</f>
        <v>Profondeur maximale de l'arbre</v>
      </c>
      <c r="NU3" s="8" t="str">
        <f>IFERROR(__xludf.DUMMYFUNCTION("GOOGLETRANSLATE(NU2,""en"",""fr"")"),"Rétrécissement (taux d'apprentissage)")</f>
        <v>Rétrécissement (taux d'apprentissage)</v>
      </c>
      <c r="NV3" s="8" t="str">
        <f>IFERROR(__xludf.DUMMYFUNCTION("GOOGLETRANSLATE(NV2,""en"",""fr"")"),"Réduction minimale des pertes")</f>
        <v>Réduction minimale des pertes</v>
      </c>
      <c r="NW3" s="8" t="str">
        <f>IFERROR(__xludf.DUMMYFUNCTION("GOOGLETRANSLATE(NW2,""en"",""fr"")"),"Rapport de sous-échantillonnage des colonnes")</f>
        <v>Rapport de sous-échantillonnage des colonnes</v>
      </c>
      <c r="NX3" s="8" t="str">
        <f>IFERROR(__xludf.DUMMYFUNCTION("GOOGLETRANSLATE(NX2,""en"",""fr"")"),"Somme minimale des poids des instances")</f>
        <v>Somme minimale des poids des instances</v>
      </c>
      <c r="NY3" s="8" t="str">
        <f>IFERROR(__xludf.DUMMYFUNCTION("GOOGLETRANSLATE(NY2,""en"",""fr"")"),"Pourcentage du sous-échantillon")</f>
        <v>Pourcentage du sous-échantillon</v>
      </c>
      <c r="NZ3" s="8" t="str">
        <f>IFERROR(__xludf.DUMMYFUNCTION("GOOGLETRANSLATE(NZ2,""en"",""fr"")"),"Indicateurs de performance")</f>
        <v>Indicateurs de performance</v>
      </c>
      <c r="OA3" s="8" t="str">
        <f>IFERROR(__xludf.DUMMYFUNCTION("GOOGLETRANSLATE(OA2,""en"",""fr"")"),"# Boosting Iterations")</f>
        <v># Boosting Iterations</v>
      </c>
      <c r="OB3" s="8" t="str">
        <f>IFERROR(__xludf.DUMMYFUNCTION("GOOGLETRANSLATE(OB2,""en"",""fr"")"),"Régularisation L2")</f>
        <v>Régularisation L2</v>
      </c>
      <c r="OC3" s="8" t="str">
        <f>IFERROR(__xludf.DUMMYFUNCTION("GOOGLETRANSLATE(OC2,""en"",""fr"")"),"Régularisation L1")</f>
        <v>Régularisation L1</v>
      </c>
      <c r="OD3" s="8" t="str">
        <f>IFERROR(__xludf.DUMMYFUNCTION("GOOGLETRANSLATE(OD2,""en"",""fr"")"),"taux d'apprentissage")</f>
        <v>taux d'apprentissage</v>
      </c>
      <c r="OE3" s="8" t="str">
        <f>IFERROR(__xludf.DUMMYFUNCTION("GOOGLETRANSLATE(OE2,""en"",""fr"")"),"Sigma")</f>
        <v>Sigma</v>
      </c>
      <c r="OF3" s="8" t="str">
        <f>IFERROR(__xludf.DUMMYFUNCTION("GOOGLETRANSLATE(OF2,""en"",""fr"")"),"Coût")</f>
        <v>Coût</v>
      </c>
      <c r="OG3" s="8" t="str">
        <f>IFERROR(__xludf.DUMMYFUNCTION("GOOGLETRANSLATE(OG2,""en"",""fr"")"),"Générer un tracé")</f>
        <v>Générer un tracé</v>
      </c>
      <c r="OH3" s="8" t="str">
        <f>IFERROR(__xludf.DUMMYFUNCTION("GOOGLETRANSLATE(OH2,""en"",""fr"")"),"se déconnecter")</f>
        <v>se déconnecter</v>
      </c>
      <c r="OI3" s="8" t="str">
        <f>IFERROR(__xludf.DUMMYFUNCTION("GOOGLETRANSLATE(OI2,""en"",""fr"")"),"Apprentissage profond")</f>
        <v>Apprentissage profond</v>
      </c>
      <c r="OJ3" s="8" t="str">
        <f>IFERROR(__xludf.DUMMYFUNCTION("GOOGLETRANSLATE(OJ2,""en"",""fr"")"),"Accueillir")</f>
        <v>Accueillir</v>
      </c>
      <c r="OK3" s="8" t="str">
        <f>IFERROR(__xludf.DUMMYFUNCTION("GOOGLETRANSLATE(OK2,""en"",""fr"")"),"Automatisation ML avec Pycaret")</f>
        <v>Automatisation ML avec Pycaret</v>
      </c>
      <c r="OL3" s="8" t="str">
        <f>IFERROR(__xludf.DUMMYFUNCTION("GOOGLETRANSLATE(OL2,""en"",""fr"")"),"Coût")</f>
        <v>Coût</v>
      </c>
      <c r="OM3" s="8" t="str">
        <f>IFERROR(__xludf.DUMMYFUNCTION("GOOGLETRANSLATE(OM2,""en"",""fr"")"),"Entraînement")</f>
        <v>Entraînement</v>
      </c>
      <c r="ON3" s="8" t="str">
        <f>IFERROR(__xludf.DUMMYFUNCTION("GOOGLETRANSLATE(ON2,""en"",""fr"")"),"Test")</f>
        <v>Test</v>
      </c>
      <c r="OO3" s="8" t="str">
        <f>IFERROR(__xludf.DUMMYFUNCTION("GOOGLETRANSLATE(OO2,""en"",""fr"")"),"Déploiement du modèle")</f>
        <v>Déploiement du modèle</v>
      </c>
      <c r="OP3" s="8" t="str">
        <f>IFERROR(__xludf.DUMMYFUNCTION("GOOGLETRANSLATE(OP2,""en"",""fr"")"),"Degré polynomial")</f>
        <v>Degré polynomial</v>
      </c>
      <c r="OQ3" s="8" t="str">
        <f>IFERROR(__xludf.DUMMYFUNCTION("GOOGLETRANSLATE(OQ2,""en"",""fr"")"),"Échelle")</f>
        <v>Échelle</v>
      </c>
      <c r="OR3" s="8" t="str">
        <f>IFERROR(__xludf.DUMMYFUNCTION("GOOGLETRANSLATE(OR2,""en"",""fr"")"),"Coût")</f>
        <v>Coût</v>
      </c>
      <c r="OS3" s="8" t="str">
        <f>IFERROR(__xludf.DUMMYFUNCTION("GOOGLETRANSLATE(OS2,""en"",""fr"")"),"Alpha")</f>
        <v>Alpha</v>
      </c>
      <c r="OT3" s="8" t="str">
        <f>IFERROR(__xludf.DUMMYFUNCTION("GOOGLETRANSLATE(OT2,""en"",""fr"")"),"Alpha")</f>
        <v>Alpha</v>
      </c>
      <c r="OU3" s="8" t="str">
        <f>IFERROR(__xludf.DUMMYFUNCTION("GOOGLETRANSLATE(OU2,""en"",""fr"")"),"Alpha")</f>
        <v>Alpha</v>
      </c>
      <c r="OV3" s="8" t="str">
        <f>IFERROR(__xludf.DUMMYFUNCTION("GOOGLETRANSLATE(OV2,""en"",""fr"")"),"Explorez les modèles entraînés")</f>
        <v>Explorez les modèles entraînés</v>
      </c>
      <c r="OW3" s="8" t="str">
        <f>IFERROR(__xludf.DUMMYFUNCTION("GOOGLETRANSLATE(OW2,""en"",""fr"")"),"Sélectionnez le(s) modèle(s)")</f>
        <v>Sélectionnez le(s) modèle(s)</v>
      </c>
      <c r="OX3" s="8" t="str">
        <f>IFERROR(__xludf.DUMMYFUNCTION("GOOGLETRANSLATE(OX2,""en"",""fr"")"),"Plus d'intrigues")</f>
        <v>Plus d'intrigues</v>
      </c>
      <c r="OY3" s="8" t="str">
        <f>IFERROR(__xludf.DUMMYFUNCTION("GOOGLETRANSLATE(OY2,""en"",""fr"")"),"Plus de métriques")</f>
        <v>Plus de métriques</v>
      </c>
      <c r="OZ3" s="8" t="str">
        <f>IFERROR(__xludf.DUMMYFUNCTION("GOOGLETRANSLATE(OZ2,""en"",""fr"")"),"Explorez les modèles entraînés")</f>
        <v>Explorez les modèles entraînés</v>
      </c>
      <c r="PA3" s="8" t="str">
        <f>IFERROR(__xludf.DUMMYFUNCTION("GOOGLETRANSLATE(PA2,""en"",""fr"")"),"Matrice de confusion")</f>
        <v>Matrice de confusion</v>
      </c>
      <c r="PB3" s="8" t="str">
        <f>IFERROR(__xludf.DUMMYFUNCTION("GOOGLETRANSLATE(PB2,""en"",""fr"")"),"Sélectionner la métrique")</f>
        <v>Sélectionner la métrique</v>
      </c>
      <c r="PC3" s="8" t="str">
        <f>IFERROR(__xludf.DUMMYFUNCTION("GOOGLETRANSLATE(PC2,""en"",""fr"")"),"Générer des valeurs SHAP")</f>
        <v>Générer des valeurs SHAP</v>
      </c>
      <c r="PD3" s="8" t="str">
        <f>IFERROR(__xludf.DUMMYFUNCTION("GOOGLETRANSLATE(PD2,""en"",""fr"")"),"Importance variable")</f>
        <v>Importance variable</v>
      </c>
      <c r="PE3" s="8" t="str">
        <f>IFERROR(__xludf.DUMMYFUNCTION("GOOGLETRANSLATE(PE2,""en"",""fr"")"),"Appliquer la sélection")</f>
        <v>Appliquer la sélection</v>
      </c>
      <c r="PF3" s="8" t="str">
        <f>IFERROR(__xludf.DUMMYFUNCTION("GOOGLETRANSLATE(PF2,""en"",""fr"")"),"Tableau des métriques")</f>
        <v>Tableau des métriques</v>
      </c>
      <c r="PG3" s="8" t="str">
        <f>IFERROR(__xludf.DUMMYFUNCTION("GOOGLETRANSLATE(PG2,""en"",""fr"")"),"Graphique des métriques")</f>
        <v>Graphique des métriques</v>
      </c>
      <c r="PH3" s="8" t="str">
        <f>IFERROR(__xludf.DUMMYFUNCTION("GOOGLETRANSLATE(PH2,""en"",""fr"")"),"Courbe ROC/de prédiction")</f>
        <v>Courbe ROC/de prédiction</v>
      </c>
      <c r="PI3" s="8" t="str">
        <f>IFERROR(__xludf.DUMMYFUNCTION("GOOGLETRANSLATE(PI2,""en"",""fr"")"),"Importance des variables basée sur la forme")</f>
        <v>Importance des variables basée sur la forme</v>
      </c>
      <c r="PJ3" s="8" t="str">
        <f>IFERROR(__xludf.DUMMYFUNCTION("GOOGLETRANSLATE(PJ2,""en"",""fr"")"),"Classement de l'importance des variables")</f>
        <v>Classement de l'importance des variables</v>
      </c>
      <c r="PK3" s="8" t="str">
        <f>IFERROR(__xludf.DUMMYFUNCTION("GOOGLETRANSLATE(PK2,""en"",""fr"")"),"Diagramme de dépendance")</f>
        <v>Diagramme de dépendance</v>
      </c>
      <c r="PL3" s="8" t="str">
        <f>IFERROR(__xludf.DUMMYFUNCTION("GOOGLETRANSLATE(PL2,""en"",""fr"")"),"parcelle d'essaim d'abeilles")</f>
        <v>parcelle d'essaim d'abeilles</v>
      </c>
      <c r="PM3" s="8" t="str">
        <f>IFERROR(__xludf.DUMMYFUNCTION("GOOGLETRANSLATE(PM2,""en"",""fr"")"),"Diagramme en cascade")</f>
        <v>Diagramme en cascade</v>
      </c>
      <c r="PN3" s="8" t="str">
        <f>IFERROR(__xludf.DUMMYFUNCTION("GOOGLETRANSLATE(PN2,""en"",""fr"")"),"Diagramme de force")</f>
        <v>Diagramme de force</v>
      </c>
      <c r="PO3" s="8" t="str">
        <f>IFERROR(__xludf.DUMMYFUNCTION("GOOGLETRANSLATE(PO2,""en"",""fr"")"),"Déploiement du modèle")</f>
        <v>Déploiement du modèle</v>
      </c>
      <c r="PP3" s="8" t="str">
        <f>IFERROR(__xludf.DUMMYFUNCTION("GOOGLETRANSLATE(PP2,""en"",""fr"")"),"Résumé")</f>
        <v>Résumé</v>
      </c>
      <c r="PQ3" s="8" t="str">
        <f>IFERROR(__xludf.DUMMYFUNCTION("GOOGLETRANSLATE(PQ2,""en"",""fr"")"),"Télécharger les tracés")</f>
        <v>Télécharger les tracés</v>
      </c>
      <c r="PR3" s="8" t="str">
        <f>IFERROR(__xludf.DUMMYFUNCTION("GOOGLETRANSLATE(PR2,""en"",""fr"")"),"Sélectionner la métrique")</f>
        <v>Sélectionner la métrique</v>
      </c>
      <c r="PS3" s="8" t="str">
        <f>IFERROR(__xludf.DUMMYFUNCTION("GOOGLETRANSLATE(PS2,""en"",""fr"")"),"Sélectionnez le(s) modèle(s)")</f>
        <v>Sélectionnez le(s) modèle(s)</v>
      </c>
      <c r="PT3" s="8" t="str">
        <f>IFERROR(__xludf.DUMMYFUNCTION("GOOGLETRANSLATE(PT2,""en"",""fr"")"),"Sélectionner une ou plusieurs sessions")</f>
        <v>Sélectionner une ou plusieurs sessions</v>
      </c>
      <c r="PU3" s="8" t="str">
        <f>IFERROR(__xludf.DUMMYFUNCTION("GOOGLETRANSLATE(PU2,""en"",""fr"")"),"Déployer le(s) modèle(s) sélectionné(s)")</f>
        <v>Déployer le(s) modèle(s) sélectionné(s)</v>
      </c>
      <c r="PV3" s="8" t="str">
        <f>IFERROR(__xludf.DUMMYFUNCTION("GOOGLETRANSLATE(PV2,""en"",""fr"")"),"Déployer")</f>
        <v>Déployer</v>
      </c>
      <c r="PW3" s="8" t="str">
        <f>IFERROR(__xludf.DUMMYFUNCTION("GOOGLETRANSLATE(PW2,""en"",""fr"")"),"Cliquez d'abord sur la page Source pour vous connecter à une base de données.")</f>
        <v>Cliquez d'abord sur la page Source pour vous connecter à une base de données.</v>
      </c>
      <c r="PX3" s="8" t="str">
        <f>IFERROR(__xludf.DUMMYFUNCTION("GOOGLETRANSLATE(PX2,""en"",""fr"")"),"Filtrer par genre")</f>
        <v>Filtrer par genre</v>
      </c>
      <c r="PY3" s="8" t="str">
        <f>IFERROR(__xludf.DUMMYFUNCTION("GOOGLETRANSLATE(PY2,""en"",""fr"")"),"Modèles de prédiction")</f>
        <v>Modèles de prédiction</v>
      </c>
      <c r="PZ3" s="8" t="str">
        <f>IFERROR(__xludf.DUMMYFUNCTION("GOOGLETRANSLATE(PZ2,""en"",""fr"")"),"Sélectionnez le(s) modèle(s) pour la prédiction")</f>
        <v>Sélectionnez le(s) modèle(s) pour la prédiction</v>
      </c>
      <c r="QA3" s="8" t="str">
        <f>IFERROR(__xludf.DUMMYFUNCTION("GOOGLETRANSLATE(QA2,""en"",""fr"")"),"Données de prédiction saisies")</f>
        <v>Données de prédiction saisies</v>
      </c>
      <c r="QB3" s="8" t="str">
        <f>IFERROR(__xludf.DUMMYFUNCTION("GOOGLETRANSLATE(QB2,""en"",""fr"")"),"Télécharger le modèle de prédiction")</f>
        <v>Télécharger le modèle de prédiction</v>
      </c>
      <c r="QC3" s="8" t="str">
        <f>IFERROR(__xludf.DUMMYFUNCTION("GOOGLETRANSLATE(QC2,""en"",""fr"")"),"Télécharger les données de prédiction")</f>
        <v>Télécharger les données de prédiction</v>
      </c>
      <c r="QD3" s="8" t="str">
        <f>IFERROR(__xludf.DUMMYFUNCTION("GOOGLETRANSLATE(QD2,""en"",""fr"")"),"Télécharger")</f>
        <v>Télécharger</v>
      </c>
      <c r="QE3" s="8" t="str">
        <f>IFERROR(__xludf.DUMMYFUNCTION("GOOGLETRANSLATE(QE2,""en"",""fr"")"),"Prédire")</f>
        <v>Prédire</v>
      </c>
      <c r="QF3" s="8" t="str">
        <f>IFERROR(__xludf.DUMMYFUNCTION("GOOGLETRANSLATE(QF2,""en"",""fr"")"),"Réseau neuronal convolutif")</f>
        <v>Réseau neuronal convolutif</v>
      </c>
      <c r="QG3" s="8" t="str">
        <f>IFERROR(__xludf.DUMMYFUNCTION("GOOGLETRANSLATE(QG2,""en"",""fr"")"),"Transformers")</f>
        <v>Transformers</v>
      </c>
      <c r="QH3" s="8" t="str">
        <f>IFERROR(__xludf.DUMMYFUNCTION("GOOGLETRANSLATE(QH2,""en"",""fr"")"),"Performance et évaluation des trains")</f>
        <v>Performance et évaluation des trains</v>
      </c>
      <c r="QI3" s="8" t="str">
        <f>IFERROR(__xludf.DUMMYFUNCTION("GOOGLETRANSLATE(QI2,""en"",""fr"")"),"Ouvrir le formulaire de saisie de données")</f>
        <v>Ouvrir le formulaire de saisie de données</v>
      </c>
      <c r="QJ3" s="8" t="str">
        <f>IFERROR(__xludf.DUMMYFUNCTION("GOOGLETRANSLATE(QJ2,""en"",""fr"")"),"Données d'entrée non appariées. Télécharger le modèle de prédiction.")</f>
        <v>Données d'entrée non appariées. Télécharger le modèle de prédiction.</v>
      </c>
      <c r="QK3" s="8" t="str">
        <f>IFERROR(__xludf.DUMMYFUNCTION("GOOGLETRANSLATE(QK2,""en"",""fr"")"),"Enregistrer l'entrée")</f>
        <v>Enregistrer l'entrée</v>
      </c>
      <c r="QL3" s="8" t="str">
        <f>IFERROR(__xludf.DUMMYFUNCTION("GOOGLETRANSLATE(QL2,""en"",""fr"")"),"Finition")</f>
        <v>Finition</v>
      </c>
      <c r="QM3" s="8" t="str">
        <f>IFERROR(__xludf.DUMMYFUNCTION("GOOGLETRANSLATE(QM2,""en"",""fr"")"),"Annuler")</f>
        <v>Annuler</v>
      </c>
      <c r="QN3" s="8" t="str">
        <f>IFERROR(__xludf.DUMMYFUNCTION("GOOGLETRANSLATE(QN2,""en"",""fr"")"),"Saisir les données pour la prédiction")</f>
        <v>Saisir les données pour la prédiction</v>
      </c>
      <c r="QO3" s="8" t="str">
        <f>IFERROR(__xludf.DUMMYFUNCTION("GOOGLETRANSLATE(QO2,""en"",""fr"")"),"Ajouter une autre entrée")</f>
        <v>Ajouter une autre entrée</v>
      </c>
      <c r="QP3" s="8" t="str">
        <f>IFERROR(__xludf.DUMMYFUNCTION("GOOGLETRANSLATE(QP2,""en"",""fr"")"),"Erreur de l'API de prédiction. Veuillez réessayer.")</f>
        <v>Erreur de l'API de prédiction. Veuillez réessayer.</v>
      </c>
      <c r="QQ3" s="8" t="str">
        <f>IFERROR(__xludf.DUMMYFUNCTION("GOOGLETRANSLATE(QQ2,""en"",""fr"")"),"Formation du modèle…")</f>
        <v>Formation du modèle…</v>
      </c>
      <c r="QR3" s="8" t="str">
        <f>IFERROR(__xludf.DUMMYFUNCTION("GOOGLETRANSLATE(QR2,""en"",""fr"")"),"Erreur dans l'entraînement du modèle")</f>
        <v>Erreur dans l'entraînement du modèle</v>
      </c>
      <c r="QS3" s="8" t="str">
        <f>IFERROR(__xludf.DUMMYFUNCTION("GOOGLETRANSLATE(QS2,""en"",""fr"")"),"Erreur des métriques du modèle")</f>
        <v>Erreur des métriques du modèle</v>
      </c>
      <c r="QT3" s="8" t="str">
        <f>IFERROR(__xludf.DUMMYFUNCTION("GOOGLETRANSLATE(QT2,""en"",""fr"")"),"Métriques d'entraînement")</f>
        <v>Métriques d'entraînement</v>
      </c>
      <c r="QU3" s="8" t="str">
        <f>IFERROR(__xludf.DUMMYFUNCTION("GOOGLETRANSLATE(QU2,""en"",""fr"")"),"Métriques de test")</f>
        <v>Métriques de test</v>
      </c>
      <c r="QV3" s="8" t="str">
        <f>IFERROR(__xludf.DUMMYFUNCTION("GOOGLETRANSLATE(QV2,""en"",""fr"")"),"Statistiques de publication")</f>
        <v>Statistiques de publication</v>
      </c>
      <c r="QW3" s="8" t="str">
        <f>IFERROR(__xludf.DUMMYFUNCTION("GOOGLETRANSLATE(QW2,""en"",""fr"")"),"Valeurs de forme")</f>
        <v>Valeurs de forme</v>
      </c>
      <c r="QX3" s="8" t="str">
        <f>IFERROR(__xludf.DUMMYFUNCTION("GOOGLETRANSLATE(QX2,""en"",""fr"")"),"Générer des valeurs SHAP")</f>
        <v>Générer des valeurs SHAP</v>
      </c>
      <c r="QY3" s="8" t="str">
        <f>IFERROR(__xludf.DUMMYFUNCTION("GOOGLETRANSLATE(QY2,""en"",""fr"")"),"Téléchargement de données sur la plateforme Nocode")</f>
        <v>Téléchargement de données sur la plateforme Nocode</v>
      </c>
      <c r="QZ3" s="8" t="str">
        <f>IFERROR(__xludf.DUMMYFUNCTION("GOOGLETRANSLATE(QZ2,""en"",""fr"")"),"Déploiement de modèles")</f>
        <v>Déploiement de modèles</v>
      </c>
      <c r="RA3" s="8" t="str">
        <f>IFERROR(__xludf.DUMMYFUNCTION("GOOGLETRANSLATE(RA2,""en"",""fr"")"),"Les modèles n'ont pas pu être déployés, veuillez réessayer :")</f>
        <v>Les modèles n'ont pas pu être déployés, veuillez réessayer :</v>
      </c>
      <c r="RB3" s="8" t="str">
        <f>IFERROR(__xludf.DUMMYFUNCTION("GOOGLETRANSLATE(RB2,""en"",""fr"")"),"Modèles déployés")</f>
        <v>Modèles déployés</v>
      </c>
      <c r="RC3" s="8" t="str">
        <f>IFERROR(__xludf.DUMMYFUNCTION("GOOGLETRANSLATE(RC2,""en"",""fr"")"),"Délai d'accès au point de terminaison expiré. Veuillez réessayer.")</f>
        <v>Délai d'accès au point de terminaison expiré. Veuillez réessayer.</v>
      </c>
      <c r="RD3" s="8" t="str">
        <f>IFERROR(__xludf.DUMMYFUNCTION("GOOGLETRANSLATE(RD2,""en"",""fr"")"),"Tableau de bord")</f>
        <v>Tableau de bord</v>
      </c>
      <c r="RE3" s="8" t="str">
        <f>IFERROR(__xludf.DUMMYFUNCTION("GOOGLETRANSLATE(RE2,""en"",""fr"")"),"Créer un pipeline")</f>
        <v>Créer un pipeline</v>
      </c>
      <c r="RF3" s="8" t="str">
        <f>IFERROR(__xludf.DUMMYFUNCTION("GOOGLETRANSLATE(RF2,""en"",""fr"")"),"Modèle de train")</f>
        <v>Modèle de train</v>
      </c>
      <c r="RG3" s="8" t="str">
        <f>IFERROR(__xludf.DUMMYFUNCTION("GOOGLETRANSLATE(RG2,""en"",""fr"")"),"Faire des prédictions")</f>
        <v>Faire des prédictions</v>
      </c>
      <c r="RH3" s="8" t="str">
        <f>IFERROR(__xludf.DUMMYFUNCTION("GOOGLETRANSLATE(RH2,""en"",""fr"")"),"Voir les offres d'emploi")</f>
        <v>Voir les offres d'emploi</v>
      </c>
      <c r="RI3" s="8" t="str">
        <f>IFERROR(__xludf.DUMMYFUNCTION("GOOGLETRANSLATE(RI2,""en"",""fr"")"),"Afficher les ensembles de données")</f>
        <v>Afficher les ensembles de données</v>
      </c>
      <c r="RJ3" s="8" t="str">
        <f>IFERROR(__xludf.DUMMYFUNCTION("GOOGLETRANSLATE(RJ2,""en"",""fr"")"),"Supprimer la tâche")</f>
        <v>Supprimer la tâche</v>
      </c>
      <c r="RK3" s="8" t="str">
        <f>IFERROR(__xludf.DUMMYFUNCTION("GOOGLETRANSLATE(RK2,""en"",""fr"")"),"Le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L3" s="8" t="str">
        <f>IFERROR(__xludf.DUMMYFUNCTION("GOOGLETRANSLATE(RL2,""en"",""fr"")"),"Le résultat binaire a été transformé en problème de classification")</f>
        <v>Le résultat binaire a été transformé en problème de classification</v>
      </c>
      <c r="RM3" s="8" t="str">
        <f>IFERROR(__xludf.DUMMYFUNCTION("GOOGLETRANSLATE(RM2,""en"",""fr"")"),"Erreur de renommage de variable")</f>
        <v>Erreur de renommage de variable</v>
      </c>
      <c r="RN3" s="8" t="str">
        <f>IFERROR(__xludf.DUMMYFUNCTION("GOOGLETRANSLATE(RN2,""en"",""fr"")"),"Erreur de la variable de recodage")</f>
        <v>Erreur de la variable de recodage</v>
      </c>
      <c r="RO3" s="8" t="str">
        <f>IFERROR(__xludf.DUMMYFUNCTION("GOOGLETRANSLATE(RO2,""en"",""fr"")"),"Vérifiez et réessayez :")</f>
        <v>Vérifiez et réessayez :</v>
      </c>
      <c r="RP3" s="8" t="str">
        <f>IFERROR(__xludf.DUMMYFUNCTION("GOOGLETRANSLATE(RP2,""en"",""fr"")"),"Génération des réponses…")</f>
        <v>Génération des réponses…</v>
      </c>
      <c r="RQ3" s="8" t="str">
        <f>IFERROR(__xludf.DUMMYFUNCTION("GOOGLETRANSLATE(RQ2,""en"",""fr"")"),"Générer des réponses…")</f>
        <v>Générer des réponses…</v>
      </c>
      <c r="RR3" s="8" t="str">
        <f>IFERROR(__xludf.DUMMYFUNCTION("GOOGLETRANSLATE(RR2,""en"",""fr"")"),"Erreur de fractionnement des données :")</f>
        <v>Erreur de fractionnement des données :</v>
      </c>
      <c r="RS3" s="8" t="str">
        <f>IFERROR(__xludf.DUMMYFUNCTION("GOOGLETRANSLATE(RS2,""en"",""fr"")"),"Erreur de traitement :")</f>
        <v>Erreur de traitement :</v>
      </c>
      <c r="RT3" s="8" t="str">
        <f>IFERROR(__xludf.DUMMYFUNCTION("GOOGLETRANSLATE(RT2,""en"",""fr"")"),"k")</f>
        <v>k</v>
      </c>
      <c r="RU3" s="8" t="str">
        <f>IFERROR(__xludf.DUMMYFUNCTION("GOOGLETRANSLATE(RU2,""en"",""fr"")"),"taille")</f>
        <v>taille</v>
      </c>
      <c r="RV3" s="8" t="str">
        <f>IFERROR(__xludf.DUMMYFUNCTION("GOOGLETRANSLATE(RV2,""en"",""fr"")"),"pourriture")</f>
        <v>pourriture</v>
      </c>
      <c r="RW3" s="8" t="str">
        <f>IFERROR(__xludf.DUMMYFUNCTION("GOOGLETRANSLATE(RW2,""en"",""fr"")"),"Dégradation du poids")</f>
        <v>Dégradation du poids</v>
      </c>
      <c r="RX3" s="8" t="str">
        <f>IFERROR(__xludf.DUMMYFUNCTION("GOOGLETRANSLATE(RX2,""en"",""fr"")"),"Configuration du modèle terminée")</f>
        <v>Configuration du modèle terminée</v>
      </c>
      <c r="RY3" s="8" t="str">
        <f>IFERROR(__xludf.DUMMYFUNCTION("GOOGLETRANSLATE(RY2,""en"",""fr"")"),"Ingénierie des fonctionnalités terminée")</f>
        <v>Ingénierie des fonctionnalités terminée</v>
      </c>
      <c r="RZ3" s="8" t="str">
        <f>IFERROR(__xludf.DUMMYFUNCTION("GOOGLETRANSLATE(RZ2,""en"",""fr"")"),"Prétraitement…")</f>
        <v>Prétraitement…</v>
      </c>
      <c r="SA3" s="8" t="str">
        <f>IFERROR(__xludf.DUMMYFUNCTION("GOOGLETRANSLATE(SA2,""en"",""fr"")"),"Sac")</f>
        <v>Sac</v>
      </c>
      <c r="SB3" s="8" t="str">
        <f>IFERROR(__xludf.DUMMYFUNCTION("GOOGLETRANSLATE(SB2,""en"",""fr"")"),"Taille")</f>
        <v>Taille</v>
      </c>
      <c r="SC3" s="8" t="str">
        <f>IFERROR(__xludf.DUMMYFUNCTION("GOOGLETRANSLATE(SC2,""en"",""fr"")"),"Pourriture")</f>
        <v>Pourriture</v>
      </c>
      <c r="SD3" s="8" t="str">
        <f>IFERROR(__xludf.DUMMYFUNCTION("GOOGLETRANSLATE(SD2,""en"",""fr"")"),"#Composants")</f>
        <v>#Composants</v>
      </c>
      <c r="SE3" s="8" t="str">
        <f>IFERROR(__xludf.DUMMYFUNCTION("GOOGLETRANSLATE(SE2,""en"",""fr"")"),"Paramètres de contrôle")</f>
        <v>Paramètres de contrôle</v>
      </c>
      <c r="SF3" s="8" t="str">
        <f>IFERROR(__xludf.DUMMYFUNCTION("GOOGLETRANSLATE(SF2,""en"",""fr"")"),"Paramètres ajustés")</f>
        <v>Paramètres ajustés</v>
      </c>
      <c r="SG3" s="8" t="str">
        <f>IFERROR(__xludf.DUMMYFUNCTION("GOOGLETRANSLATE(SG2,""en"",""fr"")"),"Paramètres")</f>
        <v>Paramètres</v>
      </c>
      <c r="SH3" s="8" t="str">
        <f>IFERROR(__xludf.DUMMYFUNCTION("GOOGLETRANSLATE(SH2,""en"",""fr"")"),"Résultats du téléchargement")</f>
        <v>Résultats du téléchargement</v>
      </c>
      <c r="SI3" s="8" t="str">
        <f>IFERROR(__xludf.DUMMYFUNCTION("GOOGLETRANSLATE(SI2,""en"",""fr"")"),"Sélectionner un dossier")</f>
        <v>Sélectionner un dossier</v>
      </c>
      <c r="SJ3" s="8" t="str">
        <f>IFERROR(__xludf.DUMMYFUNCTION("GOOGLETRANSLATE(SJ2,""en"",""fr"")"),"Dossier de téléchargement")</f>
        <v>Dossier de téléchargement</v>
      </c>
      <c r="SK3" s="8" t="str">
        <f>IFERROR(__xludf.DUMMYFUNCTION("GOOGLETRANSLATE(SK2,""en"",""fr"")"),"Télécharger le dossier au format ZIP")</f>
        <v>Télécharger le dossier au format ZIP</v>
      </c>
      <c r="SL3" s="8"/>
    </row>
    <row r="4" ht="14.25" customHeight="1">
      <c r="A4" s="8" t="s">
        <v>998</v>
      </c>
      <c r="B4" s="7" t="str">
        <f>IFERROR(__xludf.DUMMYFUNCTION("GOOGLETRANSLATE(B2, ""en"", ""sw"")"),"Badilisha lugha")</f>
        <v>Badilisha lugha</v>
      </c>
      <c r="C4" s="7" t="str">
        <f>IFERROR(__xludf.DUMMYFUNCTION("GOOGLETRANSLATE(C2, ""en"", ""sw"")"),"Pakia faili")</f>
        <v>Pakia faili</v>
      </c>
      <c r="D4" s="7" t="str">
        <f>IFERROR(__xludf.DUMMYFUNCTION("GOOGLETRANSLATE(D2, ""en"", ""sw"")"),"Chagua chanzo cha data")</f>
        <v>Chagua chanzo cha data</v>
      </c>
      <c r="E4" s="7" t="str">
        <f>IFERROR(__xludf.DUMMYFUNCTION("GOOGLETRANSLATE(E2, ""en"", ""sw"")"),"Weka alama kwenye kisanduku ili kuona muhtasari wa seti za data zilizopakiwa")</f>
        <v>Weka alama kwenye kisanduku ili kuona muhtasari wa seti za data zilizopakiwa</v>
      </c>
      <c r="F4" s="7" t="str">
        <f>IFERROR(__xludf.DUMMYFUNCTION("GOOGLETRANSLATE(F2, ""en"", ""sw"")"),"Muunganisho wa hifadhidata")</f>
        <v>Muunganisho wa hifadhidata</v>
      </c>
      <c r="G4" s="7" t="str">
        <f>IFERROR(__xludf.DUMMYFUNCTION("GOOGLETRANSLATE(G2, ""en"", ""sw"")"),"Seti za data zilizopakiwa")</f>
        <v>Seti za data zilizopakiwa</v>
      </c>
      <c r="H4" s="7" t="str">
        <f>IFERROR(__xludf.DUMMYFUNCTION("GOOGLETRANSLATE(H2, ""en"", ""sw"")"),"Pakia faili")</f>
        <v>Pakia faili</v>
      </c>
      <c r="I4" s="7" t="str">
        <f>IFERROR(__xludf.DUMMYFUNCTION("GOOGLETRANSLATE(I2, ""en"", ""sw"")"),"Vinjari faili")</f>
        <v>Vinjari faili</v>
      </c>
      <c r="J4" s="7" t="str">
        <f>IFERROR(__xludf.DUMMYFUNCTION("GOOGLETRANSLATE(J2, ""en"", ""sw"")"),"Acha faili")</f>
        <v>Acha faili</v>
      </c>
      <c r="K4" s="7" t="str">
        <f>IFERROR(__xludf.DUMMYFUNCTION("GOOGLETRANSLATE(K2, ""en"", ""sw"")"),"Tafadhali pakia faili inayoungwa mkono")</f>
        <v>Tafadhali pakia faili inayoungwa mkono</v>
      </c>
      <c r="L4" s="7" t="str">
        <f>IFERROR(__xludf.DUMMYFUNCTION("GOOGLETRANSLATE(L2, ""en"", ""sw"")"),"Bandika viungo kwenye faili za aina")</f>
        <v>Bandika viungo kwenye faili za aina</v>
      </c>
      <c r="M4" s="7" t="str">
        <f>IFERROR(__xludf.DUMMYFUNCTION("GOOGLETRANSLATE(M2, ""en"", ""sw"")"),"Jina la utafiti")</f>
        <v>Jina la utafiti</v>
      </c>
      <c r="N4" s="7" t="str">
        <f>IFERROR(__xludf.DUMMYFUNCTION("GOOGLETRANSLATE(N2, ""en"", ""sw"")"),"Nchi ya masomo")</f>
        <v>Nchi ya masomo</v>
      </c>
      <c r="O4" s="7" t="str">
        <f>IFERROR(__xludf.DUMMYFUNCTION("GOOGLETRANSLATE(O2, ""en"", ""sw"")"),"Taarifa za ziada")</f>
        <v>Taarifa za ziada</v>
      </c>
      <c r="P4" s="7" t="str">
        <f>IFERROR(__xludf.DUMMYFUNCTION("GOOGLETRANSLATE(P2, ""en"", ""sw"")"),"Toa muktadha wa utafiti, muundo, n.k., ili kutoa muktadha kwa AI")</f>
        <v>Toa muktadha wa utafiti, muundo, n.k., ili kutoa muktadha kwa AI</v>
      </c>
      <c r="Q4" s="7" t="str">
        <f>IFERROR(__xludf.DUMMYFUNCTION("GOOGLETRANSLATE(Q2, ""en"", ""sw"")"),"Pakia data")</f>
        <v>Pakia data</v>
      </c>
      <c r="R4" s="7" t="str">
        <f>IFERROR(__xludf.DUMMYFUNCTION("GOOGLETRANSLATE(R2, ""en"", ""sw"")"),"Haijatekelezwa bado. Kazi inaendelea!!! Chagua Eneo au URL ...")</f>
        <v>Haijatekelezwa bado. Kazi inaendelea!!! Chagua Eneo au URL ...</v>
      </c>
      <c r="S4" s="7" t="str">
        <f>IFERROR(__xludf.DUMMYFUNCTION("GOOGLETRANSLATE(S2, ""en"", ""sw"")"),"Kutumia URL kwa faili za .xls hakutumiki kwa sasa. Tafadhali pakua na upakie kwa kutumia chaguo la ndani")</f>
        <v>Kutumia URL kwa faili za .xls hakutumiki kwa sasa. Tafadhali pakua na upakie kwa kutumia chaguo la ndani</v>
      </c>
      <c r="T4" s="7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>IFERROR(__xludf.DUMMYFUNCTION("GOOGLETRANSLATE(U2, ""en"", ""sw"")"),"Data imewasilishwa kwa mafanikio!")</f>
        <v>Data imewasilishwa kwa mafanikio!</v>
      </c>
      <c r="V4" s="7" t="str">
        <f>IFERROR(__xludf.DUMMYFUNCTION("GOOGLETRANSLATE(V2, ""en"", ""sw"")"),"Hakuna seti ya data iliyopakiwa bado! Tafadhali pakia data kwanza!!!")</f>
        <v>Hakuna seti ya data iliyopakiwa bado! Tafadhali pakia data kwanza!!!</v>
      </c>
      <c r="W4" s="7" t="str">
        <f>IFERROR(__xludf.DUMMYFUNCTION("GOOGLETRANSLATE(W2, ""en"", ""sw"")"),"Tumia uteuzi")</f>
        <v>Tumia uteuzi</v>
      </c>
      <c r="X4" s="7" t="str">
        <f>IFERROR(__xludf.DUMMYFUNCTION("GOOGLETRANSLATE(X2, ""en"", ""sw"")"),"Chagua data")</f>
        <v>Chagua data</v>
      </c>
      <c r="Y4" s="7" t="str">
        <f>IFERROR(__xludf.DUMMYFUNCTION("GOOGLETRANSLATE(Y2, ""en"", ""sw"")"),"Hakuna seti ya data iliyopakiwa bado! Pakia data kutoka")</f>
        <v>Hakuna seti ya data iliyopakiwa bado! Pakia data kutoka</v>
      </c>
      <c r="Z4" s="7" t="str">
        <f>IFERROR(__xludf.DUMMYFUNCTION("GOOGLETRANSLATE(Z2, ""en"", ""sw"")"),"Muhtasari wa data")</f>
        <v>Muhtasari wa data</v>
      </c>
      <c r="AA4" s="7" t="str">
        <f>IFERROR(__xludf.DUMMYFUNCTION("GOOGLETRANSLATE(AA2, ""en"", ""sw"")"),"Muda wa kupakia")</f>
        <v>Muda wa kupakia</v>
      </c>
      <c r="AB4" s="7" t="str">
        <f>IFERROR(__xludf.DUMMYFUNCTION("GOOGLETRANSLATE(AB2, ""en"", ""sw"")"),"Kuzalisha takwimu za muhtasari")</f>
        <v>Kuzalisha takwimu za muhtasari</v>
      </c>
      <c r="AC4" s="7" t="str">
        <f>IFERROR(__xludf.DUMMYFUNCTION("GOOGLETRANSLATE(AC2, ""en"", ""sw"")"),"Ulichagua")</f>
        <v>Ulichagua</v>
      </c>
      <c r="AD4" s="7" t="str">
        <f>IFERROR(__xludf.DUMMYFUNCTION("GOOGLETRANSLATE(AD2, ""en"", ""sw"")"),"Unaweza kuchagua seti tofauti ya data kutoka")</f>
        <v>Unaweza kuchagua seti tofauti ya data kutoka</v>
      </c>
      <c r="AE4" s="7" t="str">
        <f>IFERROR(__xludf.DUMMYFUNCTION("GOOGLETRANSLATE(AE2, ""en"", ""sw"")"),"Badilisha vitendo ili vitekelezwe")</f>
        <v>Badilisha vitendo ili vitekelezwe</v>
      </c>
      <c r="AF4" s="7" t="str">
        <f>IFERROR(__xludf.DUMMYFUNCTION("GOOGLETRANSLATE(AF2, ""en"", ""sw"")"),"Kukosekana")</f>
        <v>Kukosekana</v>
      </c>
      <c r="AG4" s="7" t="str">
        <f>IFERROR(__xludf.DUMMYFUNCTION("GOOGLETRANSLATE(AG2, ""en"", ""sw"")"),"Chuja")</f>
        <v>Chuja</v>
      </c>
      <c r="AH4" s="7" t="str">
        <f>IFERROR(__xludf.DUMMYFUNCTION("GOOGLETRANSLATE(AH2, ""en"", ""sw"")"),"Onyesha data")</f>
        <v>Onyesha data</v>
      </c>
      <c r="AI4" s="7" t="str">
        <f>IFERROR(__xludf.DUMMYFUNCTION("GOOGLETRANSLATE(AI2, ""en"", ""sw"")"),"Chagua vigezo")</f>
        <v>Chagua vigezo</v>
      </c>
      <c r="AJ4" s="7" t="str">
        <f>IFERROR(__xludf.DUMMYFUNCTION("GOOGLETRANSLATE(AJ2, ""en"", ""sw"")"),"Tumia amri za kichujio cha R kama vile")</f>
        <v>Tumia amri za kichujio cha R kama vile</v>
      </c>
      <c r="AK4" s="7" t="str">
        <f>IFERROR(__xludf.DUMMYFUNCTION("GOOGLETRANSLATE(AK2, ""en"", ""sw"")"),"Hakuna data iliyochaguliwa. Unaweza kuchagua data kutoka")</f>
        <v>Hakuna data iliyochaguliwa. Unaweza kuchagua data kutoka</v>
      </c>
      <c r="AL4" s="7" t="str">
        <f>IFERROR(__xludf.DUMMYFUNCTION("GOOGLETRANSLATE(AL2, ""en"", ""sw"")"),"Tumia kichujio")</f>
        <v>Tumia kichujio</v>
      </c>
      <c r="AM4" s="7" t="str">
        <f>IFERROR(__xludf.DUMMYFUNCTION("GOOGLETRANSLATE(AM2, ""en"", ""sw"")"),"Chagua mandhari ya ggplot2:")</f>
        <v>Chagua mandhari ya ggplot2:</v>
      </c>
      <c r="AN4" s="7" t="str">
        <f>IFERROR(__xludf.DUMMYFUNCTION("GOOGLETRANSLATE(AN2, ""en"", ""sw"")"),"Weka upya kichujio")</f>
        <v>Weka upya kichujio</v>
      </c>
      <c r="AO4" s="7" t="str">
        <f>IFERROR(__xludf.DUMMYFUNCTION("GOOGLETRANSLATE(AO2, ""en"", ""sw"")"),"Chagua kigezo cha kuonyesha")</f>
        <v>Chagua kigezo cha kuonyesha</v>
      </c>
      <c r="AP4" s="7" t="str">
        <f>IFERROR(__xludf.DUMMYFUNCTION("GOOGLETRANSLATE(AP2, ""en"", ""sw"")"),"Tumia CTL + Variable kuchagua nyingi")</f>
        <v>Tumia CTL + Variable kuchagua nyingi</v>
      </c>
      <c r="AQ4" s="7" t="str">
        <f>IFERROR(__xludf.DUMMYFUNCTION("GOOGLETRANSLATE(AQ2, ""en"", ""sw"")"),"Hitilafu katika sheria ya kichujio iliyotolewa. Angalia kama ulibainisha kwa usahihi jina la kigezo au hali hiyo. Ulitoa:")</f>
        <v>Hitilafu katika sheria ya kichujio iliyotolewa. Angalia kama ulibainisha kwa usahihi jina la kigezo au hali hiyo. Ulitoa:</v>
      </c>
      <c r="AR4" s="7" t="str">
        <f>IFERROR(__xludf.DUMMYFUNCTION("GOOGLETRANSLATE(AR2, ""en"", ""sw"")"),"Vichujio vya sasa")</f>
        <v>Vichujio vya sasa</v>
      </c>
      <c r="AS4" s="7" t="str">
        <f>IFERROR(__xludf.DUMMYFUNCTION("GOOGLETRANSLATE(AS2, ""en"", ""sw"")"),"Seti ya data ya sasa")</f>
        <v>Seti ya data ya sasa</v>
      </c>
      <c r="AT4" s="7" t="str">
        <f>IFERROR(__xludf.DUMMYFUNCTION("GOOGLETRANSLATE(AT2, ""en"", ""sw"")"),"Thamani zinazokosekana (%)")</f>
        <v>Thamani zinazokosekana (%)</v>
      </c>
      <c r="AU4" s="7" t="str">
        <f>IFERROR(__xludf.DUMMYFUNCTION("GOOGLETRANSLATE(AU2, ""en"", ""sw"")"),"Gundua haraka")</f>
        <v>Gundua haraka</v>
      </c>
      <c r="AV4" s="7" t="str">
        <f>IFERROR(__xludf.DUMMYFUNCTION("GOOGLETRANSLATE(AV2, ""en"", ""sw"")"),"Ugunduzi wa data haraka")</f>
        <v>Ugunduzi wa data haraka</v>
      </c>
      <c r="AW4" s="7" t="str">
        <f>IFERROR(__xludf.DUMMYFUNCTION("GOOGLETRANSLATE(AW2, ""en"", ""sw"")"),"Sasisha na Ubadilishe data")</f>
        <v>Sasisha na Ubadilishe data</v>
      </c>
      <c r="AX4" s="7" t="str">
        <f>IFERROR(__xludf.DUMMYFUNCTION("GOOGLETRANSLATE(AX2, ""en"", ""sw"")"),"Hubadilisha data iliyopakiwa kulingana na vichujio na chaguo, ndani na chini!")</f>
        <v>Hubadilisha data iliyopakiwa kulingana na vichujio na chaguo, ndani na chini!</v>
      </c>
      <c r="AY4" s="7" t="str">
        <f>IFERROR(__xludf.DUMMYFUNCTION("GOOGLETRANSLATE(AY2, ""en"", ""sw"")"),"Data imesasishwa na kuandikwa upya kwa mafanikio")</f>
        <v>Data imesasishwa na kuandikwa upya kwa mafanikio</v>
      </c>
      <c r="AZ4" s="7" t="str">
        <f>IFERROR(__xludf.DUMMYFUNCTION("GOOGLETRANSLATE(AZ2, ""en"", ""sw"")"),"Chagua kigezo cha kubadilisha")</f>
        <v>Chagua kigezo cha kubadilisha</v>
      </c>
      <c r="BA4" s="7" t="str">
        <f>IFERROR(__xludf.DUMMYFUNCTION("GOOGLETRANSLATE(BA2, ""en"", ""sw"")"),"Badilisha aina")</f>
        <v>Badilisha aina</v>
      </c>
      <c r="BB4" s="7" t="str">
        <f>IFERROR(__xludf.DUMMYFUNCTION("GOOGLETRANSLATE(BB2, ""en"", ""sw"")"),"Aina inayoweza kubadilika")</f>
        <v>Aina inayoweza kubadilika</v>
      </c>
      <c r="BC4" s="7" t="str">
        <f>IFERROR(__xludf.DUMMYFUNCTION("GOOGLETRANSLATE(BC2, ""en"", ""sw"")"),"Tumia mabadiliko")</f>
        <v>Tumia mabadiliko</v>
      </c>
      <c r="BD4" s="7" t="str">
        <f>IFERROR(__xludf.DUMMYFUNCTION("GOOGLETRANSLATE(BD2, ""en"", ""sw"")"),"Kumbukumbu za mabadiliko ya aina zinazobadilika")</f>
        <v>Kumbukumbu za mabadiliko ya aina zinazobadilika</v>
      </c>
      <c r="BE4" s="7" t="str">
        <f>IFERROR(__xludf.DUMMYFUNCTION("GOOGLETRANSLATE(BE2, ""en"", ""sw"")"),"Badilisha jina la kigezo")</f>
        <v>Badilisha jina la kigezo</v>
      </c>
      <c r="BF4" s="7" t="str">
        <f>IFERROR(__xludf.DUMMYFUNCTION("GOOGLETRANSLATE(BF2, ""en"", ""sw"")"),"URL ya Mwenyeji wa Hifadhidata")</f>
        <v>URL ya Mwenyeji wa Hifadhidata</v>
      </c>
      <c r="BG4" s="7" t="str">
        <f>IFERROR(__xludf.DUMMYFUNCTION("GOOGLETRANSLATE(BG2, ""en"", ""sw"")"),"Bandika URL ya Hifadhidata, Jina la Mpangishaji au anwani ya IP")</f>
        <v>Bandika URL ya Hifadhidata, Jina la Mpangishaji au anwani ya IP</v>
      </c>
      <c r="BH4" s="7" t="str">
        <f>IFERROR(__xludf.DUMMYFUNCTION("GOOGLETRANSLATE(BH2, ""en"", ""sw"")"),"Kumbukumbu za kubadilisha majina zinazobadilika")</f>
        <v>Kumbukumbu za kubadilisha majina zinazobadilika</v>
      </c>
      <c r="BI4" s="7" t="str">
        <f>IFERROR(__xludf.DUMMYFUNCTION("GOOGLETRANSLATE(BI2, ""en"", ""sw"")"),"Rekodi thamani upya")</f>
        <v>Rekodi thamani upya</v>
      </c>
      <c r="BJ4" s="7" t="str">
        <f>IFERROR(__xludf.DUMMYFUNCTION("GOOGLETRANSLATE(BJ2, ""en"", ""sw"")"),"Chagua lebo ya zamani")</f>
        <v>Chagua lebo ya zamani</v>
      </c>
      <c r="BK4" s="7" t="str">
        <f>IFERROR(__xludf.DUMMYFUNCTION("GOOGLETRANSLATE(BK2, ""en"", ""sw"")"),"Ingiza lebo mpya")</f>
        <v>Ingiza lebo mpya</v>
      </c>
      <c r="BL4" s="7" t="str">
        <f>IFERROR(__xludf.DUMMYFUNCTION("GOOGLETRANSLATE(BL2, ""en"", ""sw"")"),"Andika lebo mpya. Kwa lebo nyingi, tenganisha na , au ;")</f>
        <v>Andika lebo mpya. Kwa lebo nyingi, tenganisha na , au ;</v>
      </c>
      <c r="BM4" s="7" t="str">
        <f>IFERROR(__xludf.DUMMYFUNCTION("GOOGLETRANSLATE(BM2, ""en"", ""sw"")"),"Lebo za vigeu zilizowekwa upya")</f>
        <v>Lebo za vigeu zilizowekwa upya</v>
      </c>
      <c r="BN4" s="7" t="str">
        <f>IFERROR(__xludf.DUMMYFUNCTION("GOOGLETRANSLATE(BN2, ""en"", ""sw"")"),"Shughulikia thamani zinazokosekana")</f>
        <v>Shughulikia thamani zinazokosekana</v>
      </c>
      <c r="BO4" s="7" t="str">
        <f>IFERROR(__xludf.DUMMYFUNCTION("GOOGLETRANSLATE(BO2, ""en"", ""sw"")"),"Thamani zinazokosekana (%)")</f>
        <v>Thamani zinazokosekana (%)</v>
      </c>
      <c r="BP4" s="7" t="str">
        <f>IFERROR(__xludf.DUMMYFUNCTION("GOOGLETRANSLATE(BP2, ""en"", ""sw"")"),"Rejesha thamani hadi zisipo")</f>
        <v>Rejesha thamani hadi zisipo</v>
      </c>
      <c r="BQ4" s="7" t="str">
        <f>IFERROR(__xludf.DUMMYFUNCTION("GOOGLETRANSLATE(BQ2, ""en"", ""sw"")"),"Chagua chaguo moja:")</f>
        <v>Chagua chaguo moja:</v>
      </c>
      <c r="BR4" s="7" t="str">
        <f>IFERROR(__xludf.DUMMYFUNCTION("GOOGLETRANSLATE(BR2, ""en"", ""sw"")"),"Jinsi ya kugawa thamani zinazokosekana")</f>
        <v>Jinsi ya kugawa thamani zinazokosekana</v>
      </c>
      <c r="BS4" s="7" t="str">
        <f>IFERROR(__xludf.DUMMYFUNCTION("GOOGLETRANSLATE(BS2, ""en"", ""sw"")"),"Mifumo inayotegemea R ya kuingiza (chaguo-msingi """") k.m. ^\\ | Nyingine | lebo$")</f>
        <v>Mifumo inayotegemea R ya kuingiza (chaguo-msingi "") k.m. ^\\ | Nyingine | lebo$</v>
      </c>
      <c r="BT4" s="7" t="str">
        <f>IFERROR(__xludf.DUMMYFUNCTION("GOOGLETRANSLATE(BT2, ""en"", ""sw"")"),"Chagua thamani moja au zaidi")</f>
        <v>Chagua thamani moja au zaidi</v>
      </c>
      <c r="BU4" s="7" t="str">
        <f>IFERROR(__xludf.DUMMYFUNCTION("GOOGLETRANSLATE(BU2, ""en"", ""sw"")"),"Thamani za kategoria")</f>
        <v>Thamani za kategoria</v>
      </c>
      <c r="BV4" s="7" t="str">
        <f>IFERROR(__xludf.DUMMYFUNCTION("GOOGLETRANSLATE(BV2, ""en"", ""sw"")"),"Thamani za nambari")</f>
        <v>Thamani za nambari</v>
      </c>
      <c r="BW4" s="7" t="str">
        <f>IFERROR(__xludf.DUMMYFUNCTION("GOOGLETRANSLATE(BW2, ""en"", ""sw"")"),"Tenganisha thamani nyingi kwa kutumia , au ;. Kwa masafa, ingiza kwenye thamani mbili, zilizotengwa , au ;")</f>
        <v>Tenganisha thamani nyingi kwa kutumia , au ;. Kwa masafa, ingiza kwenye thamani mbili, zilizotengwa , au ;</v>
      </c>
      <c r="BX4" s="7" t="str">
        <f>IFERROR(__xludf.DUMMYFUNCTION("GOOGLETRANSLATE(BX2, ""en"", ""sw"")"),"Imeunda kumbukumbu ya thamani zinazokosekana")</f>
        <v>Imeunda kumbukumbu ya thamani zinazokosekana</v>
      </c>
      <c r="BY4" s="7" t="str">
        <f>IFERROR(__xludf.DUMMYFUNCTION("GOOGLETRANSLATE(BY2, ""en"", ""sw"")"),"Thamani zilizokosekana zimerekebishwa")</f>
        <v>Thamani zilizokosekana zimerekebishwa</v>
      </c>
      <c r="BZ4" s="7" t="str">
        <f>IFERROR(__xludf.DUMMYFUNCTION("GOOGLETRANSLATE(BZ2, ""en"", ""sw"")"),"Data inayokosekana hutambuliwaje?")</f>
        <v>Data inayokosekana hutambuliwaje?</v>
      </c>
      <c r="CA4" s="7" t="str">
        <f>IFERROR(__xludf.DUMMYFUNCTION("GOOGLETRANSLATE(CA2, ""en"", ""sw"")"),"K.m., Haijulikani au Haipo")</f>
        <v>K.m., Haijulikani au Haipo</v>
      </c>
      <c r="CB4" s="7" t="str">
        <f>IFERROR(__xludf.DUMMYFUNCTION("GOOGLETRANSLATE(CB2, ""en"", ""sw"")"),"-999999999")</f>
        <v>-999999999</v>
      </c>
      <c r="CC4" s="7" t="str">
        <f>IFERROR(__xludf.DUMMYFUNCTION("GOOGLETRANSLATE(CC2, ""en"", ""sw"")"),"Thamani ya nambari")</f>
        <v>Thamani ya nambari</v>
      </c>
      <c r="CD4" s="7" t="str">
        <f>IFERROR(__xludf.DUMMYFUNCTION("GOOGLETRANSLATE(CD2, ""en"", ""sw"")"),"Thamani ya kategoria")</f>
        <v>Thamani ya kategoria</v>
      </c>
      <c r="CE4" s="7" t="str">
        <f>IFERROR(__xludf.DUMMYFUNCTION("GOOGLETRANSLATE(CE2, ""en"", ""sw"")"),"Angalia kama masafa (kiwango cha juu, cha chini)")</f>
        <v>Angalia kama masafa (kiwango cha juu, cha chini)</v>
      </c>
      <c r="CF4" s="7" t="str">
        <f>IFERROR(__xludf.DUMMYFUNCTION("GOOGLETRANSLATE(CF2, ""en"", ""sw"")"),"Tenganisha kategoria nyingi na ; au ,. Kategoria zilizobainishwa lazima ziwe kwenye data")</f>
        <v>Tenganisha kategoria nyingi na ; au ,. Kategoria zilizobainishwa lazima ziwe kwenye data</v>
      </c>
      <c r="CG4" s="7" t="str">
        <f>IFERROR(__xludf.DUMMYFUNCTION("GOOGLETRANSLATE(CG2, ""en"", ""sw"")"),"Tambua vitu vya nje")</f>
        <v>Tambua vitu vya nje</v>
      </c>
      <c r="CH4" s="7" t="str">
        <f>IFERROR(__xludf.DUMMYFUNCTION("GOOGLETRANSLATE(CH2, ""en"", ""sw"")"),"Chagua chaguo moja:")</f>
        <v>Chagua chaguo moja:</v>
      </c>
      <c r="CI4" s="7" t="str">
        <f>IFERROR(__xludf.DUMMYFUNCTION("GOOGLETRANSLATE(CI2, ""en"", ""sw"")"),"Nje (wa nje)")</f>
        <v>Nje (wa nje)</v>
      </c>
      <c r="CJ4" s="7" t="str">
        <f>IFERROR(__xludf.DUMMYFUNCTION("GOOGLETRANSLATE(CJ2, ""en"", ""sw"")"),"Hakuna")</f>
        <v>Hakuna</v>
      </c>
      <c r="CK4" s="7" t="str">
        <f>IFERROR(__xludf.DUMMYFUNCTION("GOOGLETRANSLATE(CK2, ""en"", ""sw"")"),"Mbinu ya marekebisho")</f>
        <v>Mbinu ya marekebisho</v>
      </c>
      <c r="CL4" s="7" t="str">
        <f>IFERROR(__xludf.DUMMYFUNCTION("GOOGLETRANSLATE(CL2, ""en"", ""sw"")"),"Ingiza nambari")</f>
        <v>Ingiza nambari</v>
      </c>
      <c r="CM4" s="7" t="str">
        <f>IFERROR(__xludf.DUMMYFUNCTION("GOOGLETRANSLATE(CM2, ""en"", ""sw"")"),"Chagua chaguo moja:")</f>
        <v>Chagua chaguo moja:</v>
      </c>
      <c r="CN4" s="7" t="str">
        <f>IFERROR(__xludf.DUMMYFUNCTION("GOOGLETRANSLATE(CN2, ""en"", ""sw"")"),"Vipimo vya nje vilivyorekebishwa")</f>
        <v>Vipimo vya nje vilivyorekebishwa</v>
      </c>
      <c r="CO4" s="7" t="str">
        <f>IFERROR(__xludf.DUMMYFUNCTION("GOOGLETRANSLATE(CO2, ""en"", ""sw"")"),"Mchoro wa data iliyopotea")</f>
        <v>Mchoro wa data iliyopotea</v>
      </c>
      <c r="CP4" s="7" t="str">
        <f>IFERROR(__xludf.DUMMYFUNCTION("GOOGLETRANSLATE(CP2, ""en"", ""sw"")"),"Dhibiti data")</f>
        <v>Dhibiti data</v>
      </c>
      <c r="CQ4" s="7" t="str">
        <f>IFERROR(__xludf.DUMMYFUNCTION("GOOGLETRANSLATE(CQ2, ""en"", ""sw"")"),"Muhtasari")</f>
        <v>Muhtasari</v>
      </c>
      <c r="CR4" s="7" t="str">
        <f>IFERROR(__xludf.DUMMYFUNCTION("GOOGLETRANSLATE(CR2, ""en"", ""sw"")"),"Gundua")</f>
        <v>Gundua</v>
      </c>
      <c r="CS4" s="7" t="str">
        <f>IFERROR(__xludf.DUMMYFUNCTION("GOOGLETRANSLATE(CS2, ""en"", ""sw"")"),"Toleo la Programu: v.26.01.1")</f>
        <v>Toleo la Programu: v.26.01.1</v>
      </c>
      <c r="CT4" s="7" t="str">
        <f>IFERROR(__xludf.DUMMYFUNCTION("GOOGLETRANSLATE(CT2, ""en"", ""sw"")"),"Kituo cha Utafiti wa Idadi ya Watu na Afya cha Afrika")</f>
        <v>Kituo cha Utafiti wa Idadi ya Watu na Afya cha Afrika</v>
      </c>
      <c r="CU4" s="7" t="str">
        <f>IFERROR(__xludf.DUMMYFUNCTION("GOOGLETRANSLATE(CU2, ""en"", ""sw"")"),"Haki zote zimehifadhiwa")</f>
        <v>Haki zote zimehifadhiwa</v>
      </c>
      <c r="CV4" s="7" t="str">
        <f>IFERROR(__xludf.DUMMYFUNCTION("GOOGLETRANSLATE(CV2, ""en"", ""sw"")"),"hakimiliki")</f>
        <v>hakimiliki</v>
      </c>
      <c r="CW4" s="7" t="str">
        <f>IFERROR(__xludf.DUMMYFUNCTION("GOOGLETRANSLATE(CW2, ""en"", ""sw"")"),"Wasiliana Nasi")</f>
        <v>Wasiliana Nasi</v>
      </c>
      <c r="CX4" s="7" t="str">
        <f>IFERROR(__xludf.DUMMYFUNCTION("GOOGLETRANSLATE(CX2, ""en"", ""sw"")"),"Badilisha")</f>
        <v>Badilisha</v>
      </c>
      <c r="CY4" s="7" t="str">
        <f>IFERROR(__xludf.DUMMYFUNCTION("GOOGLETRANSLATE(CY2, ""en"", ""sw"")"),"Jukwaa la APHRC AUTOML HAKUNA MSIMBO")</f>
        <v>Jukwaa la APHRC AUTOML HAKUNA MSIMBO</v>
      </c>
      <c r="CZ4" s="7" t="str">
        <f>IFERROR(__xludf.DUMMYFUNCTION("GOOGLETRANSLATE(CZ2, ""en"", ""sw"")"),"Nyumbani")</f>
        <v>Nyumbani</v>
      </c>
      <c r="DA4" s="7" t="str">
        <f>IFERROR(__xludf.DUMMYFUNCTION("GOOGLETRANSLATE(DA2, ""en"", ""sw"")"),"Data chanzo")</f>
        <v>Data chanzo</v>
      </c>
      <c r="DB4" s="7" t="str">
        <f>IFERROR(__xludf.DUMMYFUNCTION("GOOGLETRANSLATE(DB2, ""en"", ""sw"")"),"Dhibiti data")</f>
        <v>Dhibiti data</v>
      </c>
      <c r="DC4" s="7" t="str">
        <f>IFERROR(__xludf.DUMMYFUNCTION("GOOGLETRANSLATE(DC2, ""en"", ""sw"")"),"Muhtasari")</f>
        <v>Muhtasari</v>
      </c>
      <c r="DD4" s="7" t="str">
        <f>IFERROR(__xludf.DUMMYFUNCTION("GOOGLETRANSLATE(DD2, ""en"", ""sw"")"),"Gundua")</f>
        <v>Gundua</v>
      </c>
      <c r="DE4" s="7" t="str">
        <f>IFERROR(__xludf.DUMMYFUNCTION("GOOGLETRANSLATE(DE2, ""en"", ""sw"")"),"Badilisha")</f>
        <v>Badilisha</v>
      </c>
      <c r="DF4" s="7" t="str">
        <f>IFERROR(__xludf.DUMMYFUNCTION("GOOGLETRANSLATE(DF2, ""en"", ""sw"")"),"Muda")</f>
        <v>Muda</v>
      </c>
      <c r="DG4" s="7" t="str">
        <f>IFERROR(__xludf.DUMMYFUNCTION("GOOGLETRANSLATE(DG2, ""en"", ""sw"")"),"Mjenzi wa Kundi")</f>
        <v>Mjenzi wa Kundi</v>
      </c>
      <c r="DH4" s="7" t="str">
        <f>IFERROR(__xludf.DUMMYFUNCTION("GOOGLETRANSLATE(DH2, ""en"", ""sw"")"),"Unganisha data")</f>
        <v>Unganisha data</v>
      </c>
      <c r="DI4" s="7" t="str">
        <f>IFERROR(__xludf.DUMMYFUNCTION("GOOGLETRANSLATE(DI2, ""en"", ""sw"")"),"Ongeza safu mlalo")</f>
        <v>Ongeza safu mlalo</v>
      </c>
      <c r="DJ4" s="7" t="str">
        <f>IFERROR(__xludf.DUMMYFUNCTION("GOOGLETRANSLATE(DJ2, ""en"", ""sw"")"),"Ongeza safu wima")</f>
        <v>Ongeza safu wima</v>
      </c>
      <c r="DK4" s="7" t="str">
        <f>IFERROR(__xludf.DUMMYFUNCTION("GOOGLETRANSLATE(DK2, ""en"", ""sw"")"),"Taswira ya data")</f>
        <v>Taswira ya data</v>
      </c>
      <c r="DL4" s="7" t="str">
        <f>IFERROR(__xludf.DUMMYFUNCTION("GOOGLETRANSLATE(DL2, ""en"", ""sw"")"),"Otomatiki")</f>
        <v>Otomatiki</v>
      </c>
      <c r="DM4" s="7" t="str">
        <f>IFERROR(__xludf.DUMMYFUNCTION("GOOGLETRANSLATE(DM2, ""en"", ""sw"")"),"Maalum")</f>
        <v>Maalum</v>
      </c>
      <c r="DN4" s="7" t="str">
        <f>IFERROR(__xludf.DUMMYFUNCTION("GOOGLETRANSLATE(DN2, ""en"", ""sw"")"),"Nambari")</f>
        <v>Nambari</v>
      </c>
      <c r="DO4" s="7" t="str">
        <f>IFERROR(__xludf.DUMMYFUNCTION("GOOGLETRANSLATE(DO2, ""en"", ""sw"")"),"Kategoria")</f>
        <v>Kategoria</v>
      </c>
      <c r="DP4" s="7" t="str">
        <f>IFERROR(__xludf.DUMMYFUNCTION("GOOGLETRANSLATE(DP2, ""en"", ""sw"")"),"Kujifunza kwa mashine")</f>
        <v>Kujifunza kwa mashine</v>
      </c>
      <c r="DQ4" s="7" t="str">
        <f>IFERROR(__xludf.DUMMYFUNCTION("GOOGLETRANSLATE(DQ2, ""en"", ""sw"")"),"Anzisha")</f>
        <v>Anzisha</v>
      </c>
      <c r="DR4" s="7" t="str">
        <f>IFERROR(__xludf.DUMMYFUNCTION("GOOGLETRANSLATE(DR2, ""en"", ""sw"")"),"Mjenzi wa Kundi")</f>
        <v>Mjenzi wa Kundi</v>
      </c>
      <c r="DS4" s="7" t="str">
        <f>IFERROR(__xludf.DUMMYFUNCTION("GOOGLETRANSLATE(DS2, ""en"", ""sw"")"),"Vipengele vya uhandisi")</f>
        <v>Vipengele vya uhandisi</v>
      </c>
      <c r="DT4" s="7" t="str">
        <f>IFERROR(__xludf.DUMMYFUNCTION("GOOGLETRANSLATE(DT2, ""en"", ""sw"")"),"Mfano wa treni")</f>
        <v>Mfano wa treni</v>
      </c>
      <c r="DU4" s="7" t="str">
        <f>IFERROR(__xludf.DUMMYFUNCTION("GOOGLETRANSLATE(DU2, ""en"", ""sw"")"),"Thibitisha na tumia modeli")</f>
        <v>Thibitisha na tumia modeli</v>
      </c>
      <c r="DV4" s="7" t="str">
        <f>IFERROR(__xludf.DUMMYFUNCTION("GOOGLETRANSLATE(DV2, ""en"", ""sw"")"),"Bashiri/ainisha")</f>
        <v>Bashiri/ainisha</v>
      </c>
      <c r="DW4" s="7" t="str">
        <f>IFERROR(__xludf.DUMMYFUNCTION("GOOGLETRANSLATE(DW2, ""en"", ""sw"")"),"Rasilimali za ziada")</f>
        <v>Rasilimali za ziada</v>
      </c>
      <c r="DX4" s="7" t="str">
        <f>IFERROR(__xludf.DUMMYFUNCTION("GOOGLETRANSLATE(DX2, ""en"", ""sw"")"),"Muunganisho wa hifadhidata umefanikiwa")</f>
        <v>Muunganisho wa hifadhidata umefanikiwa</v>
      </c>
      <c r="DY4" s="7" t="str">
        <f>IFERROR(__xludf.DUMMYFUNCTION("GOOGLETRANSLATE(DY2, ""en"", ""sw"")"),"Chanzo cha data")</f>
        <v>Chanzo cha data</v>
      </c>
      <c r="DZ4" s="7" t="str">
        <f>IFERROR(__xludf.DUMMYFUNCTION("GOOGLETRANSLATE(DZ2, ""en"", ""sw"")"),"Chagua moja")</f>
        <v>Chagua moja</v>
      </c>
      <c r="EA4" s="7" t="str">
        <f>IFERROR(__xludf.DUMMYFUNCTION("GOOGLETRANSLATE(EA2, ""en"", ""sw"")"),"Data mpya")</f>
        <v>Data mpya</v>
      </c>
      <c r="EB4" s="7" t="str">
        <f>IFERROR(__xludf.DUMMYFUNCTION("GOOGLETRANSLATE(EB2, ""en"", ""sw"")"),"Chagua data")</f>
        <v>Chagua data</v>
      </c>
      <c r="EC4" s="7" t="str">
        <f>IFERROR(__xludf.DUMMYFUNCTION("GOOGLETRANSLATE(EC2, ""en"", ""sw"")"),"Ongeza seti ya pili ya data kutoka")</f>
        <v>Ongeza seti ya pili ya data kutoka</v>
      </c>
      <c r="ED4" s="7" t="str">
        <f>IFERROR(__xludf.DUMMYFUNCTION("GOOGLETRANSLATE(ED2, ""en"", ""sw"")"),"Vigezo vilivyolingana")</f>
        <v>Vigezo vilivyolingana</v>
      </c>
      <c r="EE4" s="7" t="str">
        <f>IFERROR(__xludf.DUMMYFUNCTION("GOOGLETRANSLATE(EE2, ""en"", ""sw"")"),"Vigezo vilivyolingana (kitambulisho)")</f>
        <v>Vigezo vilivyolingana (kitambulisho)</v>
      </c>
      <c r="EF4" s="7" t="str">
        <f>IFERROR(__xludf.DUMMYFUNCTION("GOOGLETRANSLATE(EF2, ""en"", ""sw"")"),"Endelea kuchanganya safu/safu wima")</f>
        <v>Endelea kuchanganya safu/safu wima</v>
      </c>
      <c r="EG4" s="7" t="str">
        <f>IFERROR(__xludf.DUMMYFUNCTION("GOOGLETRANSLATE(EG2, ""en"", ""sw"")"),"Hakuna vigezo vinavyolingana. NA itatumika kujaza vigezo visivyo na kifani. Unaweza kulinganisha vigezo mwenyewe")</f>
        <v>Hakuna vigezo vinavyolingana. NA itatumika kujaza vigezo visivyo na kifani. Unaweza kulinganisha vigezo mwenyewe</v>
      </c>
      <c r="EH4" s="7" t="str">
        <f>IFERROR(__xludf.DUMMYFUNCTION("GOOGLETRANSLATE(EH2, ""en"", ""sw"")"),"Ulinganisho unaobadilika")</f>
        <v>Ulinganisho unaobadilika</v>
      </c>
      <c r="EI4" s="7" t="str">
        <f>IFERROR(__xludf.DUMMYFUNCTION("GOOGLETRANSLATE(EI2, ""en"", ""sw"")"),"Jinsi ya kuchanganya data mpya na ile iliyochaguliwa tayari ...")</f>
        <v>Jinsi ya kuchanganya data mpya na ile iliyochaguliwa tayari ...</v>
      </c>
      <c r="EJ4" s="7" t="str">
        <f>IFERROR(__xludf.DUMMYFUNCTION("GOOGLETRANSLATE(EJ2, ""en"", ""sw"")"),"Vigezo vya data vya msingi")</f>
        <v>Vigezo vya data vya msingi</v>
      </c>
      <c r="EK4" s="7" t="str">
        <f>IFERROR(__xludf.DUMMYFUNCTION("GOOGLETRANSLATE(EK2, ""en"", ""sw"")"),"Vigezo vipya vya data")</f>
        <v>Vigezo vipya vya data</v>
      </c>
      <c r="EL4" s="7" t="str">
        <f>IFERROR(__xludf.DUMMYFUNCTION("GOOGLETRANSLATE(EL2, ""en"", ""sw"")"),"Muundo")</f>
        <v>Muundo</v>
      </c>
      <c r="EM4" s="7" t="str">
        <f>IFERROR(__xludf.DUMMYFUNCTION("GOOGLETRANSLATE(EM2, ""en"", ""sw"")"),"Muhtasari")</f>
        <v>Muhtasari</v>
      </c>
      <c r="EN4" s="7" t="str">
        <f>IFERROR(__xludf.DUMMYFUNCTION("GOOGLETRANSLATE(EN2, ""en"", ""sw"")"),"Kupunguza uzito")</f>
        <v>Kupunguza uzito</v>
      </c>
      <c r="EO4" s="7" t="str">
        <f>IFERROR(__xludf.DUMMYFUNCTION("GOOGLETRANSLATE(EO2, ""en"", ""sw"")"),"Sehemu Hii Inamruhusu Mtumiaji Kuzalisha Matokeo Yanayotarajiwa kutoka kwa Vigezo Vilivyochaguliwa")</f>
        <v>Sehemu Hii Inamruhusu Mtumiaji Kuzalisha Matokeo Yanayotarajiwa kutoka kwa Vigezo Vilivyochaguliwa</v>
      </c>
      <c r="EP4" s="7" t="str">
        <f>IFERROR(__xludf.DUMMYFUNCTION("GOOGLETRANSLATE(EP2, ""en"", ""sw"")"),"Aina ya Kuonekana")</f>
        <v>Aina ya Kuonekana</v>
      </c>
      <c r="EQ4" s="7" t="str">
        <f>IFERROR(__xludf.DUMMYFUNCTION("GOOGLETRANSLATE(EQ2, ""en"", ""sw"")"),"Chaguzi za jedwali")</f>
        <v>Chaguzi za jedwali</v>
      </c>
      <c r="ER4" s="7" t="str">
        <f>IFERROR(__xludf.DUMMYFUNCTION("GOOGLETRANSLATE(ER2, ""en"", ""sw"")"),"Chagua kigezo cha Kipimo/hesabu")</f>
        <v>Chagua kigezo cha Kipimo/hesabu</v>
      </c>
      <c r="ES4" s="7" t="str">
        <f>IFERROR(__xludf.DUMMYFUNCTION("GOOGLETRANSLATE(ES2, ""en"", ""sw"")"),"Chagua kigezo cha Strata")</f>
        <v>Chagua kigezo cha Strata</v>
      </c>
      <c r="ET4" s="7" t="str">
        <f>IFERROR(__xludf.DUMMYFUNCTION("GOOGLETRANSLATE(ET2, ""en"", ""sw"")"),"Chagua kigezo cha safu wima")</f>
        <v>Chagua kigezo cha safu wima</v>
      </c>
      <c r="EU4" s="7" t="str">
        <f>IFERROR(__xludf.DUMMYFUNCTION("GOOGLETRANSLATE(EU2, ""en"", ""sw"")"),"Unda kichupo cha msalaba")</f>
        <v>Unda kichupo cha msalaba</v>
      </c>
      <c r="EV4" s="7" t="str">
        <f>IFERROR(__xludf.DUMMYFUNCTION("GOOGLETRANSLATE(EV2, ""en"", ""sw"")"),"Pakua jedwali")</f>
        <v>Pakua jedwali</v>
      </c>
      <c r="EW4" s="7" t="str">
        <f>IFERROR(__xludf.DUMMYFUNCTION("GOOGLETRANSLATE(EW2, ""en"", ""sw"")"),"Chaguo zaidi za meza")</f>
        <v>Chaguo zaidi za meza</v>
      </c>
      <c r="EX4" s="7" t="str">
        <f>IFERROR(__xludf.DUMMYFUNCTION("GOOGLETRANSLATE(EX2, ""en"", ""sw"")"),"Ripoti nambari")</f>
        <v>Ripoti nambari</v>
      </c>
      <c r="EY4" s="7" t="str">
        <f>IFERROR(__xludf.DUMMYFUNCTION("GOOGLETRANSLATE(EY2, ""en"", ""sw"")"),"Muhtasari wa nambari")</f>
        <v>Muhtasari wa nambari</v>
      </c>
      <c r="EZ4" s="7" t="str">
        <f>IFERROR(__xludf.DUMMYFUNCTION("GOOGLETRANSLATE(EZ2, ""en"", ""sw"")"),"Ongeza thamani ya p")</f>
        <v>Ongeza thamani ya p</v>
      </c>
      <c r="FA4" s="7" t="str">
        <f>IFERROR(__xludf.DUMMYFUNCTION("GOOGLETRANSLATE(FA2, ""en"", ""sw"")"),"Ongeza muda wa kujiamini")</f>
        <v>Ongeza muda wa kujiamini</v>
      </c>
      <c r="FB4" s="7" t="str">
        <f>IFERROR(__xludf.DUMMYFUNCTION("GOOGLETRANSLATE(FB2, ""en"", ""sw"")"),"Punguza thamani zinazokosekana")</f>
        <v>Punguza thamani zinazokosekana</v>
      </c>
      <c r="FC4" s="7" t="str">
        <f>IFERROR(__xludf.DUMMYFUNCTION("GOOGLETRANSLATE(FC2, ""en"", ""sw"")"),"Manukuu ya jedwali")</f>
        <v>Manukuu ya jedwali</v>
      </c>
      <c r="FD4" s="7" t="str">
        <f>IFERROR(__xludf.DUMMYFUNCTION("GOOGLETRANSLATE(FD2, ""en"", ""sw"")"),"Chaguo za data")</f>
        <v>Chaguo za data</v>
      </c>
      <c r="FE4" s="7" t="str">
        <f>IFERROR(__xludf.DUMMYFUNCTION("GOOGLETRANSLATE(FE2, ""en"", ""sw"")"),"Chagua seti ya data")</f>
        <v>Chagua seti ya data</v>
      </c>
      <c r="FF4" s="7" t="str">
        <f>IFERROR(__xludf.DUMMYFUNCTION("GOOGLETRANSLATE(FF2, ""en"", ""sw"")"),"Chaguzi za njama")</f>
        <v>Chaguzi za njama</v>
      </c>
      <c r="FG4" s="7" t="str">
        <f>IFERROR(__xludf.DUMMYFUNCTION("GOOGLETRANSLATE(FG2, ""en"", ""sw"")"),"Chagua kigezo kwenye mhimili wa x")</f>
        <v>Chagua kigezo kwenye mhimili wa x</v>
      </c>
      <c r="FH4" s="7" t="str">
        <f>IFERROR(__xludf.DUMMYFUNCTION("GOOGLETRANSLATE(FH2, ""en"", ""sw"")"),"Chagua kigezo kwenye mhimili wa y")</f>
        <v>Chagua kigezo kwenye mhimili wa y</v>
      </c>
      <c r="FI4" s="7" t="str">
        <f>IFERROR(__xludf.DUMMYFUNCTION("GOOGLETRANSLATE(FI2, ""en"", ""sw"")"),"Kichwa cha hadithi")</f>
        <v>Kichwa cha hadithi</v>
      </c>
      <c r="FJ4" s="7" t="str">
        <f>IFERROR(__xludf.DUMMYFUNCTION("GOOGLETRANSLATE(FJ2, ""en"", ""sw"")"),"Lebo ya mhimili wa X")</f>
        <v>Lebo ya mhimili wa X</v>
      </c>
      <c r="FK4" s="7" t="str">
        <f>IFERROR(__xludf.DUMMYFUNCTION("GOOGLETRANSLATE(FK2, ""en"", ""sw"")"),"Lebo ya mhimili Y")</f>
        <v>Lebo ya mhimili Y</v>
      </c>
      <c r="FL4" s="7" t="str">
        <f>IFERROR(__xludf.DUMMYFUNCTION("GOOGLETRANSLATE(FL2, ""en"", ""sw"")"),"Unda njama")</f>
        <v>Unda njama</v>
      </c>
      <c r="FM4" s="7" t="str">
        <f>IFERROR(__xludf.DUMMYFUNCTION("GOOGLETRANSLATE(FM2, ""en"", ""sw"")"),"Pakua")</f>
        <v>Pakua</v>
      </c>
      <c r="FN4" s="7" t="str">
        <f>IFERROR(__xludf.DUMMYFUNCTION("GOOGLETRANSLATE(FN2, ""en"", ""sw"")"),"Chaguo zaidi za njama")</f>
        <v>Chaguo zaidi za njama</v>
      </c>
      <c r="FO4" s="7" t="str">
        <f>IFERROR(__xludf.DUMMYFUNCTION("GOOGLETRANSLATE(FO2, ""en"", ""sw"")"),"Badilisha hadi donati")</f>
        <v>Badilisha hadi donati</v>
      </c>
      <c r="FP4" s="7" t="str">
        <f>IFERROR(__xludf.DUMMYFUNCTION("GOOGLETRANSLATE(FP2, ""en"", ""sw"")"),"Chagua kigezo cha rangi")</f>
        <v>Chagua kigezo cha rangi</v>
      </c>
      <c r="FQ4" s="7" t="str">
        <f>IFERROR(__xludf.DUMMYFUNCTION("GOOGLETRANSLATE(FQ2, ""en"", ""sw"")"),"Chagua kigezo cha kikundi")</f>
        <v>Chagua kigezo cha kikundi</v>
      </c>
      <c r="FR4" s="7" t="str">
        <f>IFERROR(__xludf.DUMMYFUNCTION("GOOGLETRANSLATE(FR2, ""en"", ""sw"")"),"Mwelekeo wa kuona")</f>
        <v>Mwelekeo wa kuona</v>
      </c>
      <c r="FS4" s="7" t="str">
        <f>IFERROR(__xludf.DUMMYFUNCTION("GOOGLETRANSLATE(FS2, ""en"", ""sw"")"),"Onyesha muda wa kujiamini")</f>
        <v>Onyesha muda wa kujiamini</v>
      </c>
      <c r="FT4" s="7" t="str">
        <f>IFERROR(__xludf.DUMMYFUNCTION("GOOGLETRANSLATE(FT2, ""en"", ""sw"")"),"Kiwango cha muda wa kujiamini")</f>
        <v>Kiwango cha muda wa kujiamini</v>
      </c>
      <c r="FU4" s="7" t="str">
        <f>IFERROR(__xludf.DUMMYFUNCTION("GOOGLETRANSLATE(FU2, ""en"", ""sw"")"),"Chagua kiungo cha mstari")</f>
        <v>Chagua kiungo cha mstari</v>
      </c>
      <c r="FV4" s="7" t="str">
        <f>IFERROR(__xludf.DUMMYFUNCTION("GOOGLETRANSLATE(FV2, ""en"", ""sw"")"),"Ongeza aina ya mstari")</f>
        <v>Ongeza aina ya mstari</v>
      </c>
      <c r="FW4" s="7" t="str">
        <f>IFERROR(__xludf.DUMMYFUNCTION("GOOGLETRANSLATE(FW2, ""en"", ""sw"")"),"Ongeza pointi")</f>
        <v>Ongeza pointi</v>
      </c>
      <c r="FX4" s="7" t="str">
        <f>IFERROR(__xludf.DUMMYFUNCTION("GOOGLETRANSLATE(FX2, ""en"", ""sw"")"),"Aina ya muhtasari wa kigezo Y")</f>
        <v>Aina ya muhtasari wa kigezo Y</v>
      </c>
      <c r="FY4" s="7" t="str">
        <f>IFERROR(__xludf.DUMMYFUNCTION("GOOGLETRANSLATE(FY2, ""en"", ""sw"")"),"Nafasi ya cheo")</f>
        <v>Nafasi ya cheo</v>
      </c>
      <c r="FZ4" s="7" t="str">
        <f>IFERROR(__xludf.DUMMYFUNCTION("GOOGLETRANSLATE(FZ2, ""en"", ""sw"")"),"Ukubwa wa kichwa cha mhimili")</f>
        <v>Ukubwa wa kichwa cha mhimili</v>
      </c>
      <c r="GA4" s="7" t="str">
        <f>IFERROR(__xludf.DUMMYFUNCTION("GOOGLETRANSLATE(GA2, ""en"", ""sw"")"),"Ukubwa wa kichwa cha sehemu")</f>
        <v>Ukubwa wa kichwa cha sehemu</v>
      </c>
      <c r="GB4" s="7" t="str">
        <f>IFERROR(__xludf.DUMMYFUNCTION("GOOGLETRANSLATE(GB2, ""en"", ""sw"")"),"Ukubwa wa maandishi ya mhimili")</f>
        <v>Ukubwa wa maandishi ya mhimili</v>
      </c>
      <c r="GC4" s="7" t="str">
        <f>IFERROR(__xludf.DUMMYFUNCTION("GOOGLETRANSLATE(GC2, ""en"", ""sw"")"),"Ukubwa wa lebo ya data")</f>
        <v>Ukubwa wa lebo ya data</v>
      </c>
      <c r="GD4" s="7" t="str">
        <f>IFERROR(__xludf.DUMMYFUNCTION("GOOGLETRANSLATE(GD2, ""en"", ""sw"")"),"Pembe ya maandishi ya mhimili wa X")</f>
        <v>Pembe ya maandishi ya mhimili wa X</v>
      </c>
      <c r="GE4" s="7" t="str">
        <f>IFERROR(__xludf.DUMMYFUNCTION("GOOGLETRANSLATE(GE2, ""en"", ""sw"")"),"Kichwa cha hadithi")</f>
        <v>Kichwa cha hadithi</v>
      </c>
      <c r="GF4" s="7" t="str">
        <f>IFERROR(__xludf.DUMMYFUNCTION("GOOGLETRANSLATE(GF2, ""en"", ""sw"")"),"Imepangwa kwa mrundikano")</f>
        <v>Imepangwa kwa mrundikano</v>
      </c>
      <c r="GG4" s="7" t="str">
        <f>IFERROR(__xludf.DUMMYFUNCTION("GOOGLETRANSLATE(GG2, ""en"", ""sw"")"),"Ongeza msongamano")</f>
        <v>Ongeza msongamano</v>
      </c>
      <c r="GH4" s="7" t="str">
        <f>IFERROR(__xludf.DUMMYFUNCTION("GOOGLETRANSLATE(GH2, ""en"", ""sw"")"),"Ukubwa wa kichwa cha habari")</f>
        <v>Ukubwa wa kichwa cha habari</v>
      </c>
      <c r="GI4" s="7" t="str">
        <f>IFERROR(__xludf.DUMMYFUNCTION("GOOGLETRANSLATE(GI2, ""en"", ""sw"")"),"Upana wa upau")</f>
        <v>Upana wa upau</v>
      </c>
      <c r="GJ4" s="7" t="str">
        <f>IFERROR(__xludf.DUMMYFUNCTION("GOOGLETRANSLATE(GJ2, ""en"", ""sw"")"),"Upana wa pipa la takataka")</f>
        <v>Upana wa pipa la takataka</v>
      </c>
      <c r="GK4" s="7" t="str">
        <f>IFERROR(__xludf.DUMMYFUNCTION("GOOGLETRANSLATE(GK2, ""en"", ""sw"")"),"Ukubwa wa mstari")</f>
        <v>Ukubwa wa mstari</v>
      </c>
      <c r="GL4" s="7" t="str">
        <f>IFERROR(__xludf.DUMMYFUNCTION("GOOGLETRANSLATE(GL2, ""en"", ""sw"")"),"Chagua aina ya mstari")</f>
        <v>Chagua aina ya mstari</v>
      </c>
      <c r="GM4" s="7" t="str">
        <f>IFERROR(__xludf.DUMMYFUNCTION("GOOGLETRANSLATE(GM2, ""en"", ""sw"")"),"Ongeza maumbo")</f>
        <v>Ongeza maumbo</v>
      </c>
      <c r="GN4" s="7" t="str">
        <f>IFERROR(__xludf.DUMMYFUNCTION("GOOGLETRANSLATE(GN2, ""en"", ""sw"")"),"Chagua umbo")</f>
        <v>Chagua umbo</v>
      </c>
      <c r="GO4" s="7" t="str">
        <f>IFERROR(__xludf.DUMMYFUNCTION("GOOGLETRANSLATE(GO2, ""en"", ""sw"")"),"Ongeza laini")</f>
        <v>Ongeza laini</v>
      </c>
      <c r="GP4" s="7" t="str">
        <f>IFERROR(__xludf.DUMMYFUNCTION("GOOGLETRANSLATE(GP2, ""en"", ""sw"")"),"Ondoa histogramu")</f>
        <v>Ondoa histogramu</v>
      </c>
      <c r="GQ4" s="7" t="str">
        <f>IFERROR(__xludf.DUMMYFUNCTION("GOOGLETRANSLATE(GQ2, ""en"", ""sw"")"),"Chagua rangi")</f>
        <v>Chagua rangi</v>
      </c>
      <c r="GR4" s="7" t="str">
        <f>IFERROR(__xludf.DUMMYFUNCTION("GOOGLETRANSLATE(GR2, ""en"", ""sw"")"),"Chagua kifurushi cha rangi")</f>
        <v>Chagua kifurushi cha rangi</v>
      </c>
      <c r="GS4" s="7" t="str">
        <f>IFERROR(__xludf.DUMMYFUNCTION("GOOGLETRANSLATE(GS2, ""en"", ""sw"")"),"Kiwanja cha baa")</f>
        <v>Kiwanja cha baa</v>
      </c>
      <c r="GT4" s="7" t="str">
        <f>IFERROR(__xludf.DUMMYFUNCTION("GOOGLETRANSLATE(GT2, ""en"", ""sw"")"),"Muhtasari wa Kina")</f>
        <v>Muhtasari wa Kina</v>
      </c>
      <c r="GU4" s="7" t="str">
        <f>IFERROR(__xludf.DUMMYFUNCTION("GOOGLETRANSLATE(GU2, ""en"", ""sw"")"),"Ongeza safu mlalo")</f>
        <v>Ongeza safu mlalo</v>
      </c>
      <c r="GV4" s="7" t="str">
        <f>IFERROR(__xludf.DUMMYFUNCTION("GOOGLETRANSLATE(GV2, ""en"", ""sw"")"),"Unda kigezo cha kitambulisho")</f>
        <v>Unda kigezo cha kitambulisho</v>
      </c>
      <c r="GW4" s="7" t="str">
        <f>IFERROR(__xludf.DUMMYFUNCTION("GOOGLETRANSLATE(GW2, ""en"", ""sw"")"),"Taswira maalum ya data")</f>
        <v>Taswira maalum ya data</v>
      </c>
      <c r="GX4" s="7" t="str">
        <f>IFERROR(__xludf.DUMMYFUNCTION("GOOGLETRANSLATE(GX2, ""en"", ""sw"")"),"Safu na safu wima zilizoongezwa")</f>
        <v>Safu na safu wima zilizoongezwa</v>
      </c>
      <c r="GY4" s="7" t="str">
        <f>IFERROR(__xludf.DUMMYFUNCTION("GOOGLETRANSLATE(GY2, ""en"", ""sw"")"),"Chagua kigezo kutoka kwa msingi na seti mpya za data")</f>
        <v>Chagua kigezo kutoka kwa msingi na seti mpya za data</v>
      </c>
      <c r="GZ4" s="7" t="str">
        <f>IFERROR(__xludf.DUMMYFUNCTION("GOOGLETRANSLATE(GZ2, ""en"", ""sw"")"),"Chagua ili ilingane")</f>
        <v>Chagua ili ilingane</v>
      </c>
      <c r="HA4" s="7" t="str">
        <f>IFERROR(__xludf.DUMMYFUNCTION("GOOGLETRANSLATE(HA2, ""en"", ""sw"")"),"Linganisha vigezo vilivyochaguliwa")</f>
        <v>Linganisha vigezo vilivyochaguliwa</v>
      </c>
      <c r="HB4" s="7" t="str">
        <f>IFERROR(__xludf.DUMMYFUNCTION("GOOGLETRANSLATE(HB2, ""en"", ""sw"")"),"Unganisha seti za data")</f>
        <v>Unganisha seti za data</v>
      </c>
      <c r="HC4" s="7" t="str">
        <f>IFERROR(__xludf.DUMMYFUNCTION("GOOGLETRANSLATE(HC2, ""en"", ""sw"")"),"Aina ya Hifadhidata")</f>
        <v>Aina ya Hifadhidata</v>
      </c>
      <c r="HD4" s="7" t="str">
        <f>IFERROR(__xludf.DUMMYFUNCTION("GOOGLETRANSLATE(HD2, ""en"", ""sw"")"),"Mwenyeji wa Hifadhidata")</f>
        <v>Mwenyeji wa Hifadhidata</v>
      </c>
      <c r="HE4" s="7" t="str">
        <f>IFERROR(__xludf.DUMMYFUNCTION("GOOGLETRANSLATE(HE2, ""en"", ""sw"")"),"Jina la hifadhidata")</f>
        <v>Jina la hifadhidata</v>
      </c>
      <c r="HF4" s="7" t="str">
        <f>IFERROR(__xludf.DUMMYFUNCTION("GOOGLETRANSLATE(HF2, ""en"", ""sw"")"),"Mtumiaji wa Hifadhidata")</f>
        <v>Mtumiaji wa Hifadhidata</v>
      </c>
      <c r="HG4" s="7" t="str">
        <f>IFERROR(__xludf.DUMMYFUNCTION("GOOGLETRANSLATE(HG2, ""en"", ""sw"")"),"Nenosiri la hifadhidata")</f>
        <v>Nenosiri la hifadhidata</v>
      </c>
      <c r="HH4" s="7" t="str">
        <f>IFERROR(__xludf.DUMMYFUNCTION("GOOGLETRANSLATE(HH2, ""en"", ""sw"")"),"Lango la hifadhidata")</f>
        <v>Lango la hifadhidata</v>
      </c>
      <c r="HI4" s="7" t="str">
        <f>IFERROR(__xludf.DUMMYFUNCTION("GOOGLETRANSLATE(HI2, ""en"", ""sw"")"),"Ingiza anwani yako ya mwenyeji/IP ya hifadhidata")</f>
        <v>Ingiza anwani yako ya mwenyeji/IP ya hifadhidata</v>
      </c>
      <c r="HJ4" s="7" t="str">
        <f>IFERROR(__xludf.DUMMYFUNCTION("GOOGLETRANSLATE(HJ2, ""en"", ""sw"")"),"Ingiza jina la hifadhidata yako")</f>
        <v>Ingiza jina la hifadhidata yako</v>
      </c>
      <c r="HK4" s="7" t="str">
        <f>IFERROR(__xludf.DUMMYFUNCTION("GOOGLETRANSLATE(HK2, ""en"", ""sw"")"),"Ingiza Mtumiaji wa hifadhidata yako")</f>
        <v>Ingiza Mtumiaji wa hifadhidata yako</v>
      </c>
      <c r="HL4" s="7" t="str">
        <f>IFERROR(__xludf.DUMMYFUNCTION("GOOGLETRANSLATE(HL2, ""en"", ""sw"")"),"Ingiza nenosiri lako la hifadhidata")</f>
        <v>Ingiza nenosiri lako la hifadhidata</v>
      </c>
      <c r="HM4" s="7" t="str">
        <f>IFERROR(__xludf.DUMMYFUNCTION("GOOGLETRANSLATE(HM2, ""en"", ""sw"")"),"Ingiza lango lako la hifadhidata")</f>
        <v>Ingiza lango lako la hifadhidata</v>
      </c>
      <c r="HN4" s="7" t="str">
        <f>IFERROR(__xludf.DUMMYFUNCTION("GOOGLETRANSLATE(HN2, ""en"", ""sw"")"),"Andika Hoja Hapa")</f>
        <v>Andika Hoja Hapa</v>
      </c>
      <c r="HO4" s="7" t="str">
        <f>IFERROR(__xludf.DUMMYFUNCTION("GOOGLETRANSLATE(HO2, ""en"", ""sw"")"),"Hoja Maalum")</f>
        <v>Hoja Maalum</v>
      </c>
      <c r="HP4" s="7" t="str">
        <f>IFERROR(__xludf.DUMMYFUNCTION("GOOGLETRANSLATE(HP2, ""en"", ""sw"")"),"Endesha Hoja")</f>
        <v>Endesha Hoja</v>
      </c>
      <c r="HQ4" s="7" t="str">
        <f>IFERROR(__xludf.DUMMYFUNCTION("GOOGLETRANSLATE(HQ2, ""en"", ""sw"")"),"Orodha ya Mipango")</f>
        <v>Orodha ya Mipango</v>
      </c>
      <c r="HR4" s="7" t="str">
        <f>IFERROR(__xludf.DUMMYFUNCTION("GOOGLETRANSLATE(HR2, ""en"", ""sw"")"),"Orodha ya Majedwali")</f>
        <v>Orodha ya Majedwali</v>
      </c>
      <c r="HS4" s="7" t="str">
        <f>IFERROR(__xludf.DUMMYFUNCTION("GOOGLETRANSLATE(HS2, ""en"", ""sw"")"),"Unganisha")</f>
        <v>Unganisha</v>
      </c>
      <c r="HT4" s="7" t="str">
        <f>IFERROR(__xludf.DUMMYFUNCTION("GOOGLETRANSLATE(HT2, ""en"", ""sw"")"),"Tenganisha")</f>
        <v>Tenganisha</v>
      </c>
      <c r="HU4" s="7" t="str">
        <f>IFERROR(__xludf.DUMMYFUNCTION("GOOGLETRANSLATE(HU2, ""en"", ""sw"")"),"Pakia rekodi za hifadhidata")</f>
        <v>Pakia rekodi za hifadhidata</v>
      </c>
      <c r="HV4" s="7" t="str">
        <f>IFERROR(__xludf.DUMMYFUNCTION("GOOGLETRANSLATE(HV2, ""en"", ""sw"")"),"Andika kigezo cha kitambulisho")</f>
        <v>Andika kigezo cha kitambulisho</v>
      </c>
      <c r="HW4" s="7" t="str">
        <f>IFERROR(__xludf.DUMMYFUNCTION("GOOGLETRANSLATE(HW2, ""en"", ""sw"")"),"Muunganisho wa hifadhidata umeshindwa, Thibitisha kuwa Seva ya Kupangisha, Jina la Mtumiaji na Nenosiri ni sahihi")</f>
        <v>Muunganisho wa hifadhidata umeshindwa, Thibitisha kuwa Seva ya Kupangisha, Jina la Mtumiaji na Nenosiri ni sahihi</v>
      </c>
      <c r="HX4" s="7" t="str">
        <f>IFERROR(__xludf.DUMMYFUNCTION("GOOGLETRANSLATE(HX2, ""en"", ""sw"")"),"Muunganisho wa hifadhidata ya MySQL bado haujatekelezwa")</f>
        <v>Muunganisho wa hifadhidata ya MySQL bado haujatekelezwa</v>
      </c>
      <c r="HY4" s="7" t="str">
        <f>IFERROR(__xludf.DUMMYFUNCTION("GOOGLETRANSLATE(HY2, ""en"", ""sw"")"),"Tafadhali anzisha muunganisho wa hifadhidata kabla ya kuendesha hoja")</f>
        <v>Tafadhali anzisha muunganisho wa hifadhidata kabla ya kuendesha hoja</v>
      </c>
      <c r="HZ4" s="7" t="str">
        <f>IFERROR(__xludf.DUMMYFUNCTION("GOOGLETRANSLATE(HZ2, ""en"", ""sw"")"),"Angalia Sintaksia yako ya SQL")</f>
        <v>Angalia Sintaksia yako ya SQL</v>
      </c>
      <c r="IA4" s="7" t="str">
        <f>IFERROR(__xludf.DUMMYFUNCTION("GOOGLETRANSLATE(IA2, ""en"", ""sw"")"),"Maswali ya Utafiti")</f>
        <v>Maswali ya Utafiti</v>
      </c>
      <c r="IB4" s="7" t="str">
        <f>IFERROR(__xludf.DUMMYFUNCTION("GOOGLETRANSLATE(IB2, ""en"", ""sw"")"),"Kuzalisha maswali yanayowezekana ya utafiti")</f>
        <v>Kuzalisha maswali yanayowezekana ya utafiti</v>
      </c>
      <c r="IC4" s="7" t="str">
        <f>IFERROR(__xludf.DUMMYFUNCTION("GOOGLETRANSLATE(IC2, ""en"", ""sw"")"),"Ufunguo wa API uliohifadhiwa umegunduliwa. Endelea na utafiti wa kuunda maswali")</f>
        <v>Ufunguo wa API uliohifadhiwa umegunduliwa. Endelea na utafiti wa kuunda maswali</v>
      </c>
      <c r="ID4" s="7" t="str">
        <f>IFERROR(__xludf.DUMMYFUNCTION("GOOGLETRANSLATE(ID2, ""en"", ""sw"")"),"Ongeza Ufunguo wa API ya Gemini")</f>
        <v>Ongeza Ufunguo wa API ya Gemini</v>
      </c>
      <c r="IE4" s="7" t="str">
        <f>IFERROR(__xludf.DUMMYFUNCTION("GOOGLETRANSLATE(IE2, ""en"", ""sw"")"),"Bandika kitufe cha API")</f>
        <v>Bandika kitufe cha API</v>
      </c>
      <c r="IF4" s="7" t="str">
        <f>IFERROR(__xludf.DUMMYFUNCTION("GOOGLETRANSLATE(IF2, ""en"", ""sw"")"),"Tuma API")</f>
        <v>Tuma API</v>
      </c>
      <c r="IG4" s="7" t="str">
        <f>IFERROR(__xludf.DUMMYFUNCTION("GOOGLETRANSLATE(IG2, ""en"", ""sw"")"),"Hakuna API? Tengeneza kutoka")</f>
        <v>Hakuna API? Tengeneza kutoka</v>
      </c>
      <c r="IH4" s="7" t="str">
        <f>IFERROR(__xludf.DUMMYFUNCTION("GOOGLETRANSLATE(IH2, ""en"", ""sw"")"),"Hapa")</f>
        <v>Hapa</v>
      </c>
      <c r="II4" s="7" t="str">
        <f>IFERROR(__xludf.DUMMYFUNCTION("GOOGLETRANSLATE(II2, ""en"", ""sw"")"),"API imehifadhiwa kwa ufanisi")</f>
        <v>API imehifadhiwa kwa ufanisi</v>
      </c>
      <c r="IJ4" s="7" t="str">
        <f>IFERROR(__xludf.DUMMYFUNCTION("GOOGLETRANSLATE(IJ2, ""en"", ""sw"")"),"Badilisha vidokezo vya ziada")</f>
        <v>Badilisha vidokezo vya ziada</v>
      </c>
      <c r="IK4" s="7" t="str">
        <f>IFERROR(__xludf.DUMMYFUNCTION("GOOGLETRANSLATE(IK2, ""en"", ""sw"")"),"Ongeza kichwa")</f>
        <v>Ongeza kichwa</v>
      </c>
      <c r="IL4" s="7" t="str">
        <f>IFERROR(__xludf.DUMMYFUNCTION("GOOGLETRANSLATE(IL2, ""en"", ""sw"")"),"Ongeza maelezo ya usuli")</f>
        <v>Ongeza maelezo ya usuli</v>
      </c>
      <c r="IM4" s="7" t="str">
        <f>IFERROR(__xludf.DUMMYFUNCTION("GOOGLETRANSLATE(IM2, ""en"", ""sw"")"),"Ongeza malengo")</f>
        <v>Ongeza malengo</v>
      </c>
      <c r="IN4" s="7" t="str">
        <f>IFERROR(__xludf.DUMMYFUNCTION("GOOGLETRANSLATE(IN2, ""en"", ""sw"")"),"Pendekeza uchambuzi")</f>
        <v>Pendekeza uchambuzi</v>
      </c>
      <c r="IO4" s="7" t="str">
        <f>IFERROR(__xludf.DUMMYFUNCTION("GOOGLETRANSLATE(IO2, ""en"", ""sw"")"),"Tengeneza")</f>
        <v>Tengeneza</v>
      </c>
      <c r="IP4" s="7" t="str">
        <f>IFERROR(__xludf.DUMMYFUNCTION("GOOGLETRANSLATE(IP2, ""en"", ""sw"")"),"Maswali yanayowezekana ya utafiti")</f>
        <v>Maswali yanayowezekana ya utafiti</v>
      </c>
      <c r="IQ4" s="7" t="str">
        <f>IFERROR(__xludf.DUMMYFUNCTION("GOOGLETRANSLATE(IQ2, ""en"", ""sw"")"),"Hitilafu imetokea wakati wa kutoa maswali ya utafiti. Angalia muunganisho wako wa intaneti au jaribu baadaye")</f>
        <v>Hitilafu imetokea wakati wa kutoa maswali ya utafiti. Angalia muunganisho wako wa intaneti au jaribu baadaye</v>
      </c>
      <c r="IR4" s="7" t="str">
        <f>IFERROR(__xludf.DUMMYFUNCTION("GOOGLETRANSLATE(IR2, ""en"", ""sw"")"),"Data ina matokeo ya riba?")</f>
        <v>Data ina matokeo ya riba?</v>
      </c>
      <c r="IS4" s="7" t="str">
        <f>IFERROR(__xludf.DUMMYFUNCTION("GOOGLETRANSLATE(IS2, ""en"", ""sw"")"),"Chagua moja")</f>
        <v>Chagua moja</v>
      </c>
      <c r="IT4" s="7" t="str">
        <f>IFERROR(__xludf.DUMMYFUNCTION("GOOGLETRANSLATE(IT2, ""en"", ""sw"")"),"Chagua matokeo ya maslahi")</f>
        <v>Chagua matokeo ya maslahi</v>
      </c>
      <c r="IU4" s="7" t="str">
        <f>IFERROR(__xludf.DUMMYFUNCTION("GOOGLETRANSLATE(IU2, ""en"", ""sw"")"),"Mbinu za uchambuzi zilizopendekezwa")</f>
        <v>Mbinu za uchambuzi zilizopendekezwa</v>
      </c>
      <c r="IV4" s="7" t="str">
        <f>IFERROR(__xludf.DUMMYFUNCTION("GOOGLETRANSLATE(IV2, ""en"", ""sw"")"),"Chagua rangi")</f>
        <v>Chagua rangi</v>
      </c>
      <c r="IW4" s="7" t="str">
        <f>IFERROR(__xludf.DUMMYFUNCTION("GOOGLETRANSLATE(IW2, ""en"", ""sw"")"),"Chagua chaguo moja")</f>
        <v>Chagua chaguo moja</v>
      </c>
      <c r="IX4" s="7" t="str">
        <f>IFERROR(__xludf.DUMMYFUNCTION("GOOGLETRANSLATE(IX2, ""en"", ""sw"")"),"Aina ya uchambuzi")</f>
        <v>Aina ya uchambuzi</v>
      </c>
      <c r="IY4" s="7" t="str">
        <f>IFERROR(__xludf.DUMMYFUNCTION("GOOGLETRANSLATE(IY2, ""en"", ""sw"")"),"Kazi Inayosimamiwa")</f>
        <v>Kazi Inayosimamiwa</v>
      </c>
      <c r="IZ4" s="7" t="str">
        <f>IFERROR(__xludf.DUMMYFUNCTION("GOOGLETRANSLATE(IZ2, ""en"", ""sw"")"),"Haijasimamiwa")</f>
        <v>Haijasimamiwa</v>
      </c>
      <c r="JA4" s="7" t="str">
        <f>IFERROR(__xludf.DUMMYFUNCTION("GOOGLETRANSLATE(JA2, ""en"", ""sw"")"),"Kazi inaendelea")</f>
        <v>Kazi inaendelea</v>
      </c>
      <c r="JB4" s="7" t="str">
        <f>IFERROR(__xludf.DUMMYFUNCTION("GOOGLETRANSLATE(JB2, ""en"", ""sw"")"),"Kazi inaendelea")</f>
        <v>Kazi inaendelea</v>
      </c>
      <c r="JC4" s="7" t="str">
        <f>IFERROR(__xludf.DUMMYFUNCTION("GOOGLETRANSLATE(JC2, ""en"", ""sw"")"),"Hakuna kigezo cha nambari katika data. Badilisha aina au chagua kazi nyingine")</f>
        <v>Hakuna kigezo cha nambari katika data. Badilisha aina au chagua kazi nyingine</v>
      </c>
      <c r="JD4" s="7" t="str">
        <f>IFERROR(__xludf.DUMMYFUNCTION("GOOGLETRANSLATE(JD2, ""en"", ""sw"")"),"Chagua kigezo lengwa")</f>
        <v>Chagua kigezo lengwa</v>
      </c>
      <c r="JE4" s="7" t="str">
        <f>IFERROR(__xludf.DUMMYFUNCTION("GOOGLETRANSLATE(JE2, ""en"", ""sw"")"),"Lengo/Matokeo")</f>
        <v>Lengo/Matokeo</v>
      </c>
      <c r="JF4" s="7" t="str">
        <f>IFERROR(__xludf.DUMMYFUNCTION("GOOGLETRANSLATE(JF2, ""en"", ""sw"")"),"Uwiano wa Treni/Jaribio")</f>
        <v>Uwiano wa Treni/Jaribio</v>
      </c>
      <c r="JG4" s="7" t="str">
        <f>IFERROR(__xludf.DUMMYFUNCTION("GOOGLETRANSLATE(JG2, ""en"", ""sw"")"),"Kitambulisho cha Kipindi")</f>
        <v>Kitambulisho cha Kipindi</v>
      </c>
      <c r="JH4" s="7" t="str">
        <f>IFERROR(__xludf.DUMMYFUNCTION("GOOGLETRANSLATE(JH2, ""en"", ""sw"")"),"Ingiza Kitambulisho cha kipindi")</f>
        <v>Ingiza Kitambulisho cha kipindi</v>
      </c>
      <c r="JI4" s="7" t="str">
        <f>IFERROR(__xludf.DUMMYFUNCTION("GOOGLETRANSLATE(JI2, ""en"", ""sw"")"),"Tafadhali Subiri!!!")</f>
        <v>Tafadhali Subiri!!!</v>
      </c>
      <c r="JJ4" s="7" t="str">
        <f>IFERROR(__xludf.DUMMYFUNCTION("GOOGLETRANSLATE(JJ2, ""en"", ""sw"")"),"Kichupo cha msalaba kinatayarishwa. Kitaonyeshwa hivi karibuni.")</f>
        <v>Kichupo cha msalaba kinatayarishwa. Kitaonyeshwa hivi karibuni.</v>
      </c>
      <c r="JK4" s="7" t="str">
        <f>IFERROR(__xludf.DUMMYFUNCTION("GOOGLETRANSLATE(JK2, ""en"", ""sw"")"),"Anzisha")</f>
        <v>Anzisha</v>
      </c>
      <c r="JL4" s="7" t="str">
        <f>IFERROR(__xludf.DUMMYFUNCTION("GOOGLETRANSLATE(JL2, ""en"", ""sw"")"),"Mchoro unatayarishwa. Utaonyeshwa hivi karibuni.")</f>
        <v>Mchoro unatayarishwa. Utaonyeshwa hivi karibuni.</v>
      </c>
      <c r="JM4" s="7" t="str">
        <f>IFERROR(__xludf.DUMMYFUNCTION("GOOGLETRANSLATE(JM2, ""en"", ""sw"")"),"Vigezo vilivyotengwa")</f>
        <v>Vigezo vilivyotengwa</v>
      </c>
      <c r="JN4" s="7" t="str">
        <f>IFERROR(__xludf.DUMMYFUNCTION("GOOGLETRANSLATE(JN2, ""en"", ""sw"")"),"Chagua vigezo vya kutenganisha")</f>
        <v>Chagua vigezo vya kutenganisha</v>
      </c>
      <c r="JO4" s="7" t="str">
        <f>IFERROR(__xludf.DUMMYFUNCTION("GOOGLETRANSLATE(JO2, ""en"", ""sw"")"),"Sasisha njama")</f>
        <v>Sasisha njama</v>
      </c>
      <c r="JP4" s="7" t="str">
        <f>IFERROR(__xludf.DUMMYFUNCTION("GOOGLETRANSLATE(JP2, ""en"", ""sw"")"),"Sasisha jedwali la msalaba")</f>
        <v>Sasisha jedwali la msalaba</v>
      </c>
      <c r="JQ4" s="7" t="str">
        <f>IFERROR(__xludf.DUMMYFUNCTION("GOOGLETRANSLATE(JQ2, ""en"", ""sw"")"),"Weka vigezo vya mpangilio wa uunganisho")</f>
        <v>Weka vigezo vya mpangilio wa uunganisho</v>
      </c>
      <c r="JR4" s="7" t="str">
        <f>IFERROR(__xludf.DUMMYFUNCTION("GOOGLETRANSLATE(JR2, ""en"", ""sw"")"),"Weka vigezo vya njama ya bivariate")</f>
        <v>Weka vigezo vya njama ya bivariate</v>
      </c>
      <c r="JS4" s="7" t="str">
        <f>IFERROR(__xludf.DUMMYFUNCTION("GOOGLETRANSLATE(JS2, ""en"", ""sw"")"),"Chagua kigezo cha matokeo")</f>
        <v>Chagua kigezo cha matokeo</v>
      </c>
      <c r="JT4" s="7" t="str">
        <f>IFERROR(__xludf.DUMMYFUNCTION("GOOGLETRANSLATE(JT2, ""en"", ""sw"")"),"Chagua kigezo cha maelezo")</f>
        <v>Chagua kigezo cha maelezo</v>
      </c>
      <c r="JU4" s="7" t="str">
        <f>IFERROR(__xludf.DUMMYFUNCTION("GOOGLETRANSLATE(JU2, ""en"", ""sw"")"),"Chagua vigezo vya nambari")</f>
        <v>Chagua vigezo vya nambari</v>
      </c>
      <c r="JV4" s="7" t="str">
        <f>IFERROR(__xludf.DUMMYFUNCTION("GOOGLETRANSLATE(JV2, ""en"", ""sw"")"),"Safu wima ina kategoria za ziada")</f>
        <v>Safu wima ina kategoria za ziada</v>
      </c>
      <c r="JW4" s="7" t="str">
        <f>IFERROR(__xludf.DUMMYFUNCTION("GOOGLETRANSLATE(JW2, ""en"", ""sw"")"),"Chagua safu wima yenye kategoria 20 au chini ya hapo na ujaribu tena!!!")</f>
        <v>Chagua safu wima yenye kategoria 20 au chini ya hapo na ujaribu tena!!!</v>
      </c>
      <c r="JX4" s="7" t="str">
        <f>IFERROR(__xludf.DUMMYFUNCTION("GOOGLETRANSLATE(JX2, ""en"", ""sw"")"),"Kikomo cha juu cha vigezo kimezidi!!!")</f>
        <v>Kikomo cha juu cha vigezo kimezidi!!!</v>
      </c>
      <c r="JY4" s="7" t="str">
        <f>IFERROR(__xludf.DUMMYFUNCTION("GOOGLETRANSLATE(JY2, ""en"", ""sw"")"),"Chagua vigezo 5 au chini yake na ujaribu tena")</f>
        <v>Chagua vigezo 5 au chini yake na ujaribu tena</v>
      </c>
      <c r="JZ4" s="7" t="str">
        <f>IFERROR(__xludf.DUMMYFUNCTION("GOOGLETRANSLATE(JZ2, ""en"", ""sw"")"),"Mbinu ya kuhesabu data inayokosekana")</f>
        <v>Mbinu ya kuhesabu data inayokosekana</v>
      </c>
      <c r="KA4" s="7" t="str">
        <f>IFERROR(__xludf.DUMMYFUNCTION("GOOGLETRANSLATE(KA2, ""en"", ""sw"")"),"Chagua njia")</f>
        <v>Chagua njia</v>
      </c>
      <c r="KB4" s="7" t="str">
        <f>IFERROR(__xludf.DUMMYFUNCTION("GOOGLETRANSLATE(KB2, ""en"", ""sw"")"),"Chagua kigezo cha ouctome")</f>
        <v>Chagua kigezo cha ouctome</v>
      </c>
      <c r="KC4" s="7" t="str">
        <f>IFERROR(__xludf.DUMMYFUNCTION("GOOGLETRANSLATE(KC2, ""en"", ""sw"")"),"Chagua rangi")</f>
        <v>Chagua rangi</v>
      </c>
      <c r="KD4" s="7" t="str">
        <f>IFERROR(__xludf.DUMMYFUNCTION("GOOGLETRANSLATE(KD2, ""en"", ""sw"")"),"Chagua vigezo vya nambari")</f>
        <v>Chagua vigezo vya nambari</v>
      </c>
      <c r="KE4" s="7" t="str">
        <f>IFERROR(__xludf.DUMMYFUNCTION("GOOGLETRANSLATE(KE2, ""en"", ""sw"")"),"Ripoti inaandaliwa kwa ajili ya kupunguzwa. Itapunguzwa muda mfupi ujao")</f>
        <v>Ripoti inaandaliwa kwa ajili ya kupunguzwa. Itapunguzwa muda mfupi ujao</v>
      </c>
      <c r="KF4" s="7" t="str">
        <f>IFERROR(__xludf.DUMMYFUNCTION("GOOGLETRANSLATE(KF2, ""en"", ""sw"")"),"Ubinafsishaji wa Corrplot")</f>
        <v>Ubinafsishaji wa Corrplot</v>
      </c>
      <c r="KG4" s="7" t="str">
        <f>IFERROR(__xludf.DUMMYFUNCTION("GOOGLETRANSLATE(KG2, ""en"", ""sw"")"),"Ubinafsishaji wa njama mbili")</f>
        <v>Ubinafsishaji wa njama mbili</v>
      </c>
      <c r="KH4" s="7" t="str">
        <f>IFERROR(__xludf.DUMMYFUNCTION("GOOGLETRANSLATE(KH2, ""en"", ""sw"")"),"Kichwa cha hadithi")</f>
        <v>Kichwa cha hadithi</v>
      </c>
      <c r="KI4" s="7" t="str">
        <f>IFERROR(__xludf.DUMMYFUNCTION("GOOGLETRANSLATE(KI2, ""en"", ""sw"")"),"Chagua vigezo vya maelezo")</f>
        <v>Chagua vigezo vya maelezo</v>
      </c>
      <c r="KJ4" s="7" t="str">
        <f>IFERROR(__xludf.DUMMYFUNCTION("GOOGLETRANSLATE(KJ2, ""en"", ""sw"")"),"Thamani ya mbegu")</f>
        <v>Thamani ya mbegu</v>
      </c>
      <c r="KK4" s="7" t="str">
        <f>IFERROR(__xludf.DUMMYFUNCTION("GOOGLETRANSLATE(KK2, ""en"", ""sw"")"),"Pakua")</f>
        <v>Pakua</v>
      </c>
      <c r="KL4" s="7" t="str">
        <f>IFERROR(__xludf.DUMMYFUNCTION("GOOGLETRANSLATE(KL2, ""en"", ""sw"")"),"Ina kigezo cha matokeo/taget")</f>
        <v>Ina kigezo cha matokeo/taget</v>
      </c>
      <c r="KM4" s="7" t="str">
        <f>IFERROR(__xludf.DUMMYFUNCTION("GOOGLETRANSLATE(KM2, ""en"", ""sw"")"),"Chagua aina ya modeli")</f>
        <v>Chagua aina ya modeli</v>
      </c>
      <c r="KN4" s="7" t="str">
        <f>IFERROR(__xludf.DUMMYFUNCTION("GOOGLETRANSLATE(KN2, ""en"", ""sw"")"),"Urejeshaji")</f>
        <v>Urejeshaji</v>
      </c>
      <c r="KO4" s="7" t="str">
        <f>IFERROR(__xludf.DUMMYFUNCTION("GOOGLETRANSLATE(KO2, ""en"", ""sw"")"),"Uainishaji")</f>
        <v>Uainishaji</v>
      </c>
      <c r="KP4" s="7" t="str">
        <f>IFERROR(__xludf.DUMMYFUNCTION("GOOGLETRANSLATE(KP2, ""en"", ""sw"")"),"Chagua mfumo wa uundaji wa modeli")</f>
        <v>Chagua mfumo wa uundaji wa modeli</v>
      </c>
      <c r="KQ4" s="7" t="str">
        <f>IFERROR(__xludf.DUMMYFUNCTION("GOOGLETRANSLATE(KQ2, ""en"", ""sw"")"),"Ubora wa Ushahidi")</f>
        <v>Ubora wa Ushahidi</v>
      </c>
      <c r="KR4" s="7" t="str">
        <f>IFERROR(__xludf.DUMMYFUNCTION("GOOGLETRANSLATE(KR2, ""en"", ""sw"")"),"Pakua ripoti")</f>
        <v>Pakua ripoti</v>
      </c>
      <c r="KS4" s="7" t="str">
        <f>IFERROR(__xludf.DUMMYFUNCTION("GOOGLETRANSLATE(KS2, ""en"", ""sw"")"),"Uchambuzi wa OMOP")</f>
        <v>Uchambuzi wa OMOP</v>
      </c>
      <c r="KT4" s="7" t="str">
        <f>IFERROR(__xludf.DUMMYFUNCTION("GOOGLETRANSLATE(KT2, ""en"", ""sw"")"),"Usindikaji wa awali")</f>
        <v>Usindikaji wa awali</v>
      </c>
      <c r="KU4" s="7" t="str">
        <f>IFERROR(__xludf.DUMMYFUNCTION("GOOGLETRANSLATE(KU2, ""en"", ""sw"")"),"Uhandisi wa vipengele")</f>
        <v>Uhandisi wa vipengele</v>
      </c>
      <c r="KV4" s="7" t="str">
        <f>IFERROR(__xludf.DUMMYFUNCTION("GOOGLETRANSLATE(KV2, ""en"", ""sw"")"),"Hitimisha thamani zinazokosekana")</f>
        <v>Hitimisha thamani zinazokosekana</v>
      </c>
      <c r="KW4" s="7" t="str">
        <f>IFERROR(__xludf.DUMMYFUNCTION("GOOGLETRANSLATE(KW2, ""en"", ""sw"")"),"Fanya Hatua za FE")</f>
        <v>Fanya Hatua za FE</v>
      </c>
      <c r="KX4" s="7" t="str">
        <f>IFERROR(__xludf.DUMMYFUNCTION("GOOGLETRANSLATE(KX2, ""en"", ""sw"")"),"Perfrom PCA")</f>
        <v>Perfrom PCA</v>
      </c>
      <c r="KY4" s="7" t="str">
        <f>IFERROR(__xludf.DUMMYFUNCTION("GOOGLETRANSLATE(KY2, ""en"", ""sw"")"),"Uchambuzi wa Achilles")</f>
        <v>Uchambuzi wa Achilles</v>
      </c>
      <c r="KZ4" s="7" t="str">
        <f>IFERROR(__xludf.DUMMYFUNCTION("GOOGLETRANSLATE(KZ2, ""en"", ""sw"")"),"Darasa la sampuli ya juu")</f>
        <v>Darasa la sampuli ya juu</v>
      </c>
      <c r="LA4" s="7" t="str">
        <f>IFERROR(__xludf.DUMMYFUNCTION("GOOGLETRANSLATE(LA2, ""en"", ""sw"")"),"Unda maelezo ya Muunganisho")</f>
        <v>Unda maelezo ya Muunganisho</v>
      </c>
      <c r="LB4" s="7" t="str">
        <f>IFERROR(__xludf.DUMMYFUNCTION("GOOGLETRANSLATE(LB2, ""en"", ""sw"")"),"Chagua kundi")</f>
        <v>Chagua kundi</v>
      </c>
      <c r="LC4" s="7" t="str">
        <f>IFERROR(__xludf.DUMMYFUNCTION("GOOGLETRANSLATE(LC2, ""en"", ""sw"")"),"Tumia Uteuzi")</f>
        <v>Tumia Uteuzi</v>
      </c>
      <c r="LD4" s="7" t="str">
        <f>IFERROR(__xludf.DUMMYFUNCTION("GOOGLETRANSLATE(LD2, ""en"", ""sw"")"),"Kichujio cha uhusiano")</f>
        <v>Kichujio cha uhusiano</v>
      </c>
      <c r="LE4" s="7" t="str">
        <f>IFERROR(__xludf.DUMMYFUNCTION("GOOGLETRANSLATE(LE2, ""en"", ""sw"")"),"Mbinu ya data ya kugawanya")</f>
        <v>Mbinu ya data ya kugawanya</v>
      </c>
      <c r="LF4" s="7" t="str">
        <f>IFERROR(__xludf.DUMMYFUNCTION("GOOGLETRANSLATE(LF2, ""en"", ""sw"")"),"Kutumia Vitambulisho vya Dhana")</f>
        <v>Kutumia Vitambulisho vya Dhana</v>
      </c>
      <c r="LG4" s="7" t="str">
        <f>IFERROR(__xludf.DUMMYFUNCTION("GOOGLETRANSLATE(LG2, ""en"", ""sw"")"),"Uchanganuzi wa Aphrodite")</f>
        <v>Uchanganuzi wa Aphrodite</v>
      </c>
      <c r="LH4" s="7" t="str">
        <f>IFERROR(__xludf.DUMMYFUNCTION("GOOGLETRANSLATE(LH2, ""en"", ""sw"")"),"Idadi ya mikunjo ya uthibitisho mtambuka")</f>
        <v>Idadi ya mikunjo ya uthibitisho mtambuka</v>
      </c>
      <c r="LI4" s="7" t="str">
        <f>IFERROR(__xludf.DUMMYFUNCTION("GOOGLETRANSLATE(LI2, ""en"", ""sw"")"),"Chagua kipimo cha tathmini")</f>
        <v>Chagua kipimo cha tathmini</v>
      </c>
      <c r="LJ4" s="7" t="str">
        <f>IFERROR(__xludf.DUMMYFUNCTION("GOOGLETRANSLATE(LJ2, ""en"", ""sw"")"),"Mbinu ya uthibitishaji mtambuka")</f>
        <v>Mbinu ya uthibitishaji mtambuka</v>
      </c>
      <c r="LK4" s="7" t="str">
        <f>IFERROR(__xludf.DUMMYFUNCTION("GOOGLETRANSLATE(LK2, ""en"", ""sw"")"),"Idadi ya marudio")</f>
        <v>Idadi ya marudio</v>
      </c>
      <c r="LL4" s="7" t="str">
        <f>IFERROR(__xludf.DUMMYFUNCTION("GOOGLETRANSLATE(LL2, ""en"", ""sw"")"),"Idadi ya mikunjo au marudio ya sampuli upya")</f>
        <v>Idadi ya mikunjo au marudio ya sampuli upya</v>
      </c>
      <c r="LM4" s="7" t="str">
        <f>IFERROR(__xludf.DUMMYFUNCTION("GOOGLETRANSLATE(LM2, ""en"", ""sw"")"),"Muhtasari wa usindikaji wa awali")</f>
        <v>Muhtasari wa usindikaji wa awali</v>
      </c>
      <c r="LN4" s="7" t="str">
        <f>IFERROR(__xludf.DUMMYFUNCTION("GOOGLETRANSLATE(LN2, ""en"", ""sw"")"),"Mbinu ya uthibitishaji mtambuka")</f>
        <v>Mbinu ya uthibitishaji mtambuka</v>
      </c>
      <c r="LO4" s="7" t="str">
        <f>IFERROR(__xludf.DUMMYFUNCTION("GOOGLETRANSLATE(LO2, ""en"", ""sw"")"),"Mbinu ya utafutaji")</f>
        <v>Mbinu ya utafutaji</v>
      </c>
      <c r="LP4" s="7" t="str">
        <f>IFERROR(__xludf.DUMMYFUNCTION("GOOGLETRANSLATE(LP2, ""en"", ""sw"")"),"Tengeneza")</f>
        <v>Tengeneza</v>
      </c>
      <c r="LQ4" s="7" t="str">
        <f>IFERROR(__xludf.DUMMYFUNCTION("GOOGLETRANSLATE(LQ2, ""en"", ""sw"")"),"Tarehe ya kuanza kwa tukio")</f>
        <v>Tarehe ya kuanza kwa tukio</v>
      </c>
      <c r="LR4" s="7" t="str">
        <f>IFERROR(__xludf.DUMMYFUNCTION("GOOGLETRANSLATE(LR2, ""en"", ""sw"")"),"Jina la Kundi")</f>
        <v>Jina la Kundi</v>
      </c>
      <c r="LS4" s="7" t="str">
        <f>IFERROR(__xludf.DUMMYFUNCTION("GOOGLETRANSLATE(LS2, ""en"", ""sw"")"),"Neno muhimu")</f>
        <v>Neno muhimu</v>
      </c>
      <c r="LT4" s="7" t="str">
        <f>IFERROR(__xludf.DUMMYFUNCTION("GOOGLETRANSLATE(LT2, ""en"", ""sw"")"),"Ingizo la CDM")</f>
        <v>Ingizo la CDM</v>
      </c>
      <c r="LU4" s="7" t="str">
        <f>IFERROR(__xludf.DUMMYFUNCTION("GOOGLETRANSLATE(LU2, ""en"", ""sw"")"),"Unda CDM")</f>
        <v>Unda CDM</v>
      </c>
      <c r="LV4" s="7" t="str">
        <f>IFERROR(__xludf.DUMMYFUNCTION("GOOGLETRANSLATE(LV2, ""en"", ""sw"")"),"Jina la Mpango wa Achilles")</f>
        <v>Jina la Mpango wa Achilles</v>
      </c>
      <c r="LW4" s="7" t="str">
        <f>IFERROR(__xludf.DUMMYFUNCTION("GOOGLETRANSLATE(LW2, ""en"", ""sw"")"),"Jina la Mpango wa Matokeo")</f>
        <v>Jina la Mpango wa Matokeo</v>
      </c>
      <c r="LX4" s="7" t="str">
        <f>IFERROR(__xludf.DUMMYFUNCTION("GOOGLETRANSLATE(LX2, ""en"", ""sw"")"),"Jina la Mpango wa CDM")</f>
        <v>Jina la Mpango wa CDM</v>
      </c>
      <c r="LY4" s="7" t="str">
        <f>IFERROR(__xludf.DUMMYFUNCTION("GOOGLETRANSLATE(LY2, ""en"", ""sw"")"),"Jina la muunganisho wa CDM")</f>
        <v>Jina la muunganisho wa CDM</v>
      </c>
      <c r="LZ4" s="7" t="str">
        <f>IFERROR(__xludf.DUMMYFUNCTION("GOOGLETRANSLATE(LZ2, ""en"", ""sw"")"),"Muunganisho wa CDM")</f>
        <v>Muunganisho wa CDM</v>
      </c>
      <c r="MA4" s="7" t="str">
        <f>IFERROR(__xludf.DUMMYFUNCTION("GOOGLETRANSLATE(MA2, ""en"", ""sw"")"),"Unganisha DB")</f>
        <v>Unganisha DB</v>
      </c>
      <c r="MB4" s="7" t="str">
        <f>IFERROR(__xludf.DUMMYFUNCTION("GOOGLETRANSLATE(MB2, ""en"", ""sw"")"),"Bandari")</f>
        <v>Bandari</v>
      </c>
      <c r="MC4" s="7" t="str">
        <f>IFERROR(__xludf.DUMMYFUNCTION("GOOGLETRANSLATE(MC2, ""en"", ""sw"")"),"Nenosiri")</f>
        <v>Nenosiri</v>
      </c>
      <c r="MD4" s="7" t="str">
        <f>IFERROR(__xludf.DUMMYFUNCTION("GOOGLETRANSLATE(MD2, ""en"", ""sw"")"),"Mtumiaji")</f>
        <v>Mtumiaji</v>
      </c>
      <c r="ME4" s="7" t="str">
        <f>IFERROR(__xludf.DUMMYFUNCTION("GOOGLETRANSLATE(ME2, ""en"", ""sw"")"),"Jina la Hifadhidata")</f>
        <v>Jina la Hifadhidata</v>
      </c>
      <c r="MF4" s="7" t="str">
        <f>IFERROR(__xludf.DUMMYFUNCTION("GOOGLETRANSLATE(MF2, ""en"", ""sw"")"),"Mwenyeji")</f>
        <v>Mwenyeji</v>
      </c>
      <c r="MG4" s="7" t="str">
        <f>IFERROR(__xludf.DUMMYFUNCTION("GOOGLETRANSLATE(MG2, ""en"", ""sw"")"),"Aina ya Hifadhidata")</f>
        <v>Aina ya Hifadhidata</v>
      </c>
      <c r="MH4" s="7" t="str">
        <f>IFERROR(__xludf.DUMMYFUNCTION("GOOGLETRANSLATE(MH2, ""en"", ""sw"")"),"Badilisha vidhibiti vya mafunzo")</f>
        <v>Badilisha vidhibiti vya mafunzo</v>
      </c>
      <c r="MI4" s="7" t="str">
        <f>IFERROR(__xludf.DUMMYFUNCTION("GOOGLETRANSLATE(MI2, ""en"", ""sw"")"),"Hifadhi mipangilio")</f>
        <v>Hifadhi mipangilio</v>
      </c>
      <c r="MJ4" s="7" t="str">
        <f>IFERROR(__xludf.DUMMYFUNCTION("GOOGLETRANSLATE(MJ2, ""en"", ""sw"")"),"Ghairi")</f>
        <v>Ghairi</v>
      </c>
      <c r="MK4" s="7" t="str">
        <f>IFERROR(__xludf.DUMMYFUNCTION("GOOGLETRANSLATE(MK2, ""en"", ""sw"")"),"Urudiaji wa maneno")</f>
        <v>Urudiaji wa maneno</v>
      </c>
      <c r="ML4" s="7" t="str">
        <f>IFERROR(__xludf.DUMMYFUNCTION("GOOGLETRANSLATE(ML2, ""en"", ""sw"")"),"Hifadhi utabiri")</f>
        <v>Hifadhi utabiri</v>
      </c>
      <c r="MM4" s="7" t="str">
        <f>IFERROR(__xludf.DUMMYFUNCTION("GOOGLETRANSLATE(MM2, ""en"", ""sw"")"),"Hesabu uwezekano wa darasa")</f>
        <v>Hesabu uwezekano wa darasa</v>
      </c>
      <c r="MN4" s="7" t="str">
        <f>IFERROR(__xludf.DUMMYFUNCTION("GOOGLETRANSLATE(MN2, ""en"", ""sw"")"),"Ujenzi wa Kundi")</f>
        <v>Ujenzi wa Kundi</v>
      </c>
      <c r="MO4" s="7" t="str">
        <f>IFERROR(__xludf.DUMMYFUNCTION("GOOGLETRANSLATE(MO2, ""en"", ""sw"")"),"Vielelezo vinatengenezwa. Vitaonyeshwa hivi karibuni")</f>
        <v>Vielelezo vinatengenezwa. Vitaonyeshwa hivi karibuni</v>
      </c>
      <c r="MP4" s="7" t="str">
        <f>IFERROR(__xludf.DUMMYFUNCTION("GOOGLETRANSLATE(MP2, ""en"", ""sw"")"),"Chagua modeli za kufunza")</f>
        <v>Chagua modeli za kufunza</v>
      </c>
      <c r="MQ4" s="7" t="str">
        <f>IFERROR(__xludf.DUMMYFUNCTION("GOOGLETRANSLATE(MQ2, ""en"", ""sw"")"),"Mapema")</f>
        <v>Mapema</v>
      </c>
      <c r="MR4" s="7" t="str">
        <f>IFERROR(__xludf.DUMMYFUNCTION("GOOGLETRANSLATE(MR2, ""en"", ""sw"")"),"Jumuisha kukatiza")</f>
        <v>Jumuisha kukatiza</v>
      </c>
      <c r="MS4" s="7" t="str">
        <f>IFERROR(__xludf.DUMMYFUNCTION("GOOGLETRANSLATE(MS2, ""en"", ""sw"")"),"Chaguo za mapema")</f>
        <v>Chaguo za mapema</v>
      </c>
      <c r="MT4" s="7" t="str">
        <f>IFERROR(__xludf.DUMMYFUNCTION("GOOGLETRANSLATE(MT2, ""en"", ""sw"")"),"Mifumo ya treni")</f>
        <v>Mifumo ya treni</v>
      </c>
      <c r="MU4" s="7" t="str">
        <f>IFERROR(__xludf.DUMMYFUNCTION("GOOGLETRANSLATE(MU2, ""en"", ""sw"")"),"Taswira ya OMOP")</f>
        <v>Taswira ya OMOP</v>
      </c>
      <c r="MV4" s="7" t="str">
        <f>IFERROR(__xludf.DUMMYFUNCTION("GOOGLETRANSLATE(MV2, ""en"", ""sw"")"),"Msitu wa nasibu")</f>
        <v>Msitu wa nasibu</v>
      </c>
      <c r="MW4" s="7" t="str">
        <f>IFERROR(__xludf.DUMMYFUNCTION("GOOGLETRANSLATE(MW2, ""en"", ""sw"")"),"# Vitabiri katika kila mgawanyiko")</f>
        <v># Vitabiri katika kila mgawanyiko</v>
      </c>
      <c r="MX4" s="7" t="str">
        <f>IFERROR(__xludf.DUMMYFUNCTION("GOOGLETRANSLATE(MX2, ""en"", ""sw"")"),"Usindikaji sambamba")</f>
        <v>Usindikaji sambamba</v>
      </c>
      <c r="MY4" s="7" t="str">
        <f>IFERROR(__xludf.DUMMYFUNCTION("GOOGLETRANSLATE(MY2, ""en"", ""sw"")"),"Jumuisha kikundi")</f>
        <v>Jumuisha kikundi</v>
      </c>
      <c r="MZ4" s="7" t="str">
        <f>IFERROR(__xludf.DUMMYFUNCTION("GOOGLETRANSLATE(MZ2, ""en"", ""sw"")"),"Usanidi wa mafunzo ya modeli")</f>
        <v>Usanidi wa mafunzo ya modeli</v>
      </c>
      <c r="NA4" s="7" t="str">
        <f>IFERROR(__xludf.DUMMYFUNCTION("GOOGLETRANSLATE(NA2, ""en"", ""sw"")"),"# Kuongeza Marudio")</f>
        <v># Kuongeza Marudio</v>
      </c>
      <c r="NB4" s="7" t="str">
        <f>IFERROR(__xludf.DUMMYFUNCTION("GOOGLETRANSLATE(NB2, ""en"", ""sw"")"),"Kina cha Juu cha Mti")</f>
        <v>Kina cha Juu cha Mti</v>
      </c>
      <c r="NC4" s="7" t="str">
        <f>IFERROR(__xludf.DUMMYFUNCTION("GOOGLETRANSLATE(NC2, ""en"", ""sw"")"),"Ukubwa wa Nodi ya Kituo ndani")</f>
        <v>Ukubwa wa Nodi ya Kituo ndani</v>
      </c>
      <c r="ND4" s="7" t="str">
        <f>IFERROR(__xludf.DUMMYFUNCTION("GOOGLETRANSLATE(ND2, ""en"", ""sw"")"),"Kupungua (Kiwango cha Kujifunza)")</f>
        <v>Kupungua (Kiwango cha Kujifunza)</v>
      </c>
      <c r="NE4" s="7" t="str">
        <f>IFERROR(__xludf.DUMMYFUNCTION("GOOGLETRANSLATE(NE2, ""en"", ""sw"")"),"AutoML")</f>
        <v>AutoML</v>
      </c>
      <c r="NF4" s="7" t="str">
        <f>IFERROR(__xludf.DUMMYFUNCTION("GOOGLETRANSLATE(NF2, ""en"", ""sw"")"),"Mpango wa CDM")</f>
        <v>Mpango wa CDM</v>
      </c>
      <c r="NG4" s="7" t="str">
        <f>IFERROR(__xludf.DUMMYFUNCTION("GOOGLETRANSLATE(NG2, ""en"", ""sw"")"),"Mpango wa Msamiati")</f>
        <v>Mpango wa Msamiati</v>
      </c>
      <c r="NH4" s="7" t="str">
        <f>IFERROR(__xludf.DUMMYFUNCTION("GOOGLETRANSLATE(NH2, ""en"", ""sw"")"),"Mpango wa Matokeo")</f>
        <v>Mpango wa Matokeo</v>
      </c>
      <c r="NI4" s="7" t="str">
        <f>IFERROR(__xludf.DUMMYFUNCTION("GOOGLETRANSLATE(NI2, ""en"", ""sw"")"),"Toleo la CDM")</f>
        <v>Toleo la CDM</v>
      </c>
      <c r="NJ4" s="7" t="str">
        <f>IFERROR(__xludf.DUMMYFUNCTION("GOOGLETRANSLATE(NJ2, ""en"", ""sw"")"),"Aina ya Hifadhidata")</f>
        <v>Aina ya Hifadhidata</v>
      </c>
      <c r="NK4" s="7" t="str">
        <f>IFERROR(__xludf.DUMMYFUNCTION("GOOGLETRANSLATE(NK2, ""en"", ""sw"")"),"Bandari")</f>
        <v>Bandari</v>
      </c>
      <c r="NL4" s="7" t="str">
        <f>IFERROR(__xludf.DUMMYFUNCTION("GOOGLETRANSLATE(NL2, ""en"", ""sw"")"),"Mwenyeji")</f>
        <v>Mwenyeji</v>
      </c>
      <c r="NM4" s="7" t="str">
        <f>IFERROR(__xludf.DUMMYFUNCTION("GOOGLETRANSLATE(NM2, ""en"", ""sw"")"),"Jina la Hifadhidata")</f>
        <v>Jina la Hifadhidata</v>
      </c>
      <c r="NN4" s="7" t="str">
        <f>IFERROR(__xludf.DUMMYFUNCTION("GOOGLETRANSLATE(NN2, ""en"", ""sw"")"),"Mtumiaji")</f>
        <v>Mtumiaji</v>
      </c>
      <c r="NO4" s="7" t="str">
        <f>IFERROR(__xludf.DUMMYFUNCTION("GOOGLETRANSLATE(NO2, ""en"", ""sw"")"),"Nenosiri")</f>
        <v>Nenosiri</v>
      </c>
      <c r="NP4" s="7" t="str">
        <f>IFERROR(__xludf.DUMMYFUNCTION("GOOGLETRANSLATE(NP2, ""en"", ""sw"")"),"Kimbia Achilles")</f>
        <v>Kimbia Achilles</v>
      </c>
      <c r="NQ4" s="7" t="str">
        <f>IFERROR(__xludf.DUMMYFUNCTION("GOOGLETRANSLATE(NQ2, ""en"", ""sw"")"),"Uchimbaji wa Vipengele")</f>
        <v>Uchimbaji wa Vipengele</v>
      </c>
      <c r="NR4" s="7" t="str">
        <f>IFERROR(__xludf.DUMMYFUNCTION("GOOGLETRANSLATE(NR2, ""en"", ""sw"")"),"Uchambuzi wa OHDSI")</f>
        <v>Uchambuzi wa OHDSI</v>
      </c>
      <c r="NS4" s="7" t="str">
        <f>IFERROR(__xludf.DUMMYFUNCTION("GOOGLETRANSLATE(NS2, ""en"", ""sw"")"),"# Kuongeza Marudio")</f>
        <v># Kuongeza Marudio</v>
      </c>
      <c r="NT4" s="7" t="str">
        <f>IFERROR(__xludf.DUMMYFUNCTION("GOOGLETRANSLATE(NT2, ""en"", ""sw"")"),"Kina cha Juu cha Mti")</f>
        <v>Kina cha Juu cha Mti</v>
      </c>
      <c r="NU4" s="7" t="str">
        <f>IFERROR(__xludf.DUMMYFUNCTION("GOOGLETRANSLATE(NU2, ""en"", ""sw"")"),"Kupungua (Kiwango cha Kujifunza)")</f>
        <v>Kupungua (Kiwango cha Kujifunza)</v>
      </c>
      <c r="NV4" s="7" t="str">
        <f>IFERROR(__xludf.DUMMYFUNCTION("GOOGLETRANSLATE(NV2, ""en"", ""sw"")"),"Kupunguza Hasara ya Chini")</f>
        <v>Kupunguza Hasara ya Chini</v>
      </c>
      <c r="NW4" s="7" t="str">
        <f>IFERROR(__xludf.DUMMYFUNCTION("GOOGLETRANSLATE(NW2, ""en"", ""sw"")"),"Uwiano wa Sampuli Ndogo ya Safuwima")</f>
        <v>Uwiano wa Sampuli Ndogo ya Safuwima</v>
      </c>
      <c r="NX4" s="7" t="str">
        <f>IFERROR(__xludf.DUMMYFUNCTION("GOOGLETRANSLATE(NX2, ""en"", ""sw"")"),"Jumla ya Chini ya Uzito wa Mfano")</f>
        <v>Jumla ya Chini ya Uzito wa Mfano</v>
      </c>
      <c r="NY4" s="7" t="str">
        <f>IFERROR(__xludf.DUMMYFUNCTION("GOOGLETRANSLATE(NY2, ""en"", ""sw"")"),"Asilimia ya Sampuli Ndogo")</f>
        <v>Asilimia ya Sampuli Ndogo</v>
      </c>
      <c r="NZ4" s="7" t="str">
        <f>IFERROR(__xludf.DUMMYFUNCTION("GOOGLETRANSLATE(NZ2, ""en"", ""sw"")"),"Vipimo vya utendaji")</f>
        <v>Vipimo vya utendaji</v>
      </c>
      <c r="OA4" s="7" t="str">
        <f>IFERROR(__xludf.DUMMYFUNCTION("GOOGLETRANSLATE(OA2, ""en"", ""sw"")"),"# Kuongeza Marudio")</f>
        <v># Kuongeza Marudio</v>
      </c>
      <c r="OB4" s="7" t="str">
        <f>IFERROR(__xludf.DUMMYFUNCTION("GOOGLETRANSLATE(OB2, ""en"", ""sw"")"),"Urekebishaji wa L2")</f>
        <v>Urekebishaji wa L2</v>
      </c>
      <c r="OC4" s="7" t="str">
        <f>IFERROR(__xludf.DUMMYFUNCTION("GOOGLETRANSLATE(OC2, ""en"", ""sw"")"),"Urekebishaji wa L1")</f>
        <v>Urekebishaji wa L1</v>
      </c>
      <c r="OD4" s="7" t="str">
        <f>IFERROR(__xludf.DUMMYFUNCTION("GOOGLETRANSLATE(OD2, ""en"", ""sw"")"),"Kiwango cha kujifunza")</f>
        <v>Kiwango cha kujifunza</v>
      </c>
      <c r="OE4" s="7" t="str">
        <f>IFERROR(__xludf.DUMMYFUNCTION("GOOGLETRANSLATE(OE2, ""en"", ""sw"")"),"Sigma")</f>
        <v>Sigma</v>
      </c>
      <c r="OF4" s="7" t="str">
        <f>IFERROR(__xludf.DUMMYFUNCTION("GOOGLETRANSLATE(OF2, ""en"", ""sw"")"),"Gharama")</f>
        <v>Gharama</v>
      </c>
      <c r="OG4" s="7" t="str">
        <f>IFERROR(__xludf.DUMMYFUNCTION("GOOGLETRANSLATE(OG2, ""en"", ""sw"")"),"Tengeneza njama")</f>
        <v>Tengeneza njama</v>
      </c>
      <c r="OH4" s="7" t="str">
        <f>IFERROR(__xludf.DUMMYFUNCTION("GOOGLETRANSLATE(OH2, ""en"", ""sw"")"),"Toka")</f>
        <v>Toka</v>
      </c>
      <c r="OI4" s="7" t="str">
        <f>IFERROR(__xludf.DUMMYFUNCTION("GOOGLETRANSLATE(OI2, ""en"", ""sw"")"),"Kujifunza kwa kina")</f>
        <v>Kujifunza kwa kina</v>
      </c>
      <c r="OJ4" s="7" t="str">
        <f>IFERROR(__xludf.DUMMYFUNCTION("GOOGLETRANSLATE(OJ2, ""en"", ""sw"")"),"Karibu")</f>
        <v>Karibu</v>
      </c>
      <c r="OK4" s="7" t="str">
        <f>IFERROR(__xludf.DUMMYFUNCTION("GOOGLETRANSLATE(OK2, ""en"", ""sw"")"),"Automl na Pycaret")</f>
        <v>Automl na Pycaret</v>
      </c>
      <c r="OL4" s="7" t="str">
        <f>IFERROR(__xludf.DUMMYFUNCTION("GOOGLETRANSLATE(OL2, ""en"", ""sw"")"),"Gharama")</f>
        <v>Gharama</v>
      </c>
      <c r="OM4" s="7" t="str">
        <f>IFERROR(__xludf.DUMMYFUNCTION("GOOGLETRANSLATE(OM2, ""en"", ""sw"")"),"Mafunzo")</f>
        <v>Mafunzo</v>
      </c>
      <c r="ON4" s="7" t="str">
        <f>IFERROR(__xludf.DUMMYFUNCTION("GOOGLETRANSLATE(ON2, ""en"", ""sw"")"),"Mtihani")</f>
        <v>Mtihani</v>
      </c>
      <c r="OO4" s="7" t="str">
        <f>IFERROR(__xludf.DUMMYFUNCTION("GOOGLETRANSLATE(OO2, ""en"", ""sw"")"),"Utekelezaji wa modeli")</f>
        <v>Utekelezaji wa modeli</v>
      </c>
      <c r="OP4" s="7" t="str">
        <f>IFERROR(__xludf.DUMMYFUNCTION("GOOGLETRANSLATE(OP2, ""en"", ""sw"")"),"Shahada ya polinomia")</f>
        <v>Shahada ya polinomia</v>
      </c>
      <c r="OQ4" s="7" t="str">
        <f>IFERROR(__xludf.DUMMYFUNCTION("GOOGLETRANSLATE(OQ2, ""en"", ""sw"")"),"Kipimo")</f>
        <v>Kipimo</v>
      </c>
      <c r="OR4" s="7" t="str">
        <f>IFERROR(__xludf.DUMMYFUNCTION("GOOGLETRANSLATE(OR2, ""en"", ""sw"")"),"Gharama")</f>
        <v>Gharama</v>
      </c>
      <c r="OS4" s="8" t="str">
        <f>IFERROR(__xludf.DUMMYFUNCTION("GOOGLETRANSLATE(OS3,""en"",""fr"")"),"Alpha")</f>
        <v>Alpha</v>
      </c>
      <c r="OT4" s="8" t="str">
        <f>IFERROR(__xludf.DUMMYFUNCTION("GOOGLETRANSLATE(OT3,""en"",""fr"")"),"Alpha")</f>
        <v>Alpha</v>
      </c>
      <c r="OU4" s="7" t="str">
        <f>IFERROR(__xludf.DUMMYFUNCTION("GOOGLETRANSLATE(OU2, ""en"", ""sw"")"),"Alfa")</f>
        <v>Alfa</v>
      </c>
      <c r="OV4" s="7" t="str">
        <f>IFERROR(__xludf.DUMMYFUNCTION("GOOGLETRANSLATE(OV2, ""en"", ""sw"")"),"Chunguza mifumo iliyofunzwa")</f>
        <v>Chunguza mifumo iliyofunzwa</v>
      </c>
      <c r="OW4" s="7" t="str">
        <f>IFERROR(__xludf.DUMMYFUNCTION("GOOGLETRANSLATE(OW2, ""en"", ""sw"")"),"Chagua modeli (modeli)")</f>
        <v>Chagua modeli (modeli)</v>
      </c>
      <c r="OX4" s="7" t="str">
        <f>IFERROR(__xludf.DUMMYFUNCTION("GOOGLETRANSLATE(OX2, ""en"", ""sw"")"),"Viwanja zaidi")</f>
        <v>Viwanja zaidi</v>
      </c>
      <c r="OY4" s="7" t="str">
        <f>IFERROR(__xludf.DUMMYFUNCTION("GOOGLETRANSLATE(OY2, ""en"", ""sw"")"),"Vipimo zaidi")</f>
        <v>Vipimo zaidi</v>
      </c>
      <c r="OZ4" s="7" t="str">
        <f>IFERROR(__xludf.DUMMYFUNCTION("GOOGLETRANSLATE(OZ2, ""en"", ""sw"")"),"Chunguza mifumo iliyofunzwa")</f>
        <v>Chunguza mifumo iliyofunzwa</v>
      </c>
      <c r="PA4" s="7" t="str">
        <f>IFERROR(__xludf.DUMMYFUNCTION("GOOGLETRANSLATE(PA2, ""en"", ""sw"")"),"Matrix ya mkanganyiko")</f>
        <v>Matrix ya mkanganyiko</v>
      </c>
      <c r="PB4" s="7" t="str">
        <f>IFERROR(__xludf.DUMMYFUNCTION("GOOGLETRANSLATE(PB2, ""en"", ""sw"")"),"Chagua kipimo")</f>
        <v>Chagua kipimo</v>
      </c>
      <c r="PC4" s="7" t="str">
        <f>IFERROR(__xludf.DUMMYFUNCTION("GOOGLETRANSLATE(PC2, ""en"", ""sw"")"),"Tengeneza thamani za SHAP")</f>
        <v>Tengeneza thamani za SHAP</v>
      </c>
      <c r="PD4" s="7" t="str">
        <f>IFERROR(__xludf.DUMMYFUNCTION("GOOGLETRANSLATE(PD2, ""en"", ""sw"")"),"Umuhimu unaobadilika")</f>
        <v>Umuhimu unaobadilika</v>
      </c>
      <c r="PE4" s="7" t="str">
        <f>IFERROR(__xludf.DUMMYFUNCTION("GOOGLETRANSLATE(PE2, ""en"", ""sw"")"),"Tumia uteuzi")</f>
        <v>Tumia uteuzi</v>
      </c>
      <c r="PF4" s="7" t="str">
        <f>IFERROR(__xludf.DUMMYFUNCTION("GOOGLETRANSLATE(PF2, ""en"", ""sw"")"),"Jedwali la vipimo")</f>
        <v>Jedwali la vipimo</v>
      </c>
      <c r="PG4" s="7" t="str">
        <f>IFERROR(__xludf.DUMMYFUNCTION("GOOGLETRANSLATE(PG2, ""en"", ""sw"")"),"Mchoro wa vipimo")</f>
        <v>Mchoro wa vipimo</v>
      </c>
      <c r="PH4" s="7" t="str">
        <f>IFERROR(__xludf.DUMMYFUNCTION("GOOGLETRANSLATE(PH2, ""en"", ""sw"")"),"ROC/Mchoro wa utabiri")</f>
        <v>ROC/Mchoro wa utabiri</v>
      </c>
      <c r="PI4" s="7" t="str">
        <f>IFERROR(__xludf.DUMMYFUNCTION("GOOGLETRANSLATE(PI2, ""en"", ""sw"")"),"Umuhimu wa kigezo unaotegemea umbo")</f>
        <v>Umuhimu wa kigezo unaotegemea umbo</v>
      </c>
      <c r="PJ4" s="7" t="str">
        <f>IFERROR(__xludf.DUMMYFUNCTION("GOOGLETRANSLATE(PJ2, ""en"", ""sw"")"),"Ukadiriaji wa umuhimu unaobadilika")</f>
        <v>Ukadiriaji wa umuhimu unaobadilika</v>
      </c>
      <c r="PK4" s="7" t="str">
        <f>IFERROR(__xludf.DUMMYFUNCTION("GOOGLETRANSLATE(PK2, ""en"", ""sw"")"),"Mpango wa utegemezi")</f>
        <v>Mpango wa utegemezi</v>
      </c>
      <c r="PL4" s="7" t="str">
        <f>IFERROR(__xludf.DUMMYFUNCTION("GOOGLETRANSLATE(PL2, ""en"", ""sw"")"),"Kiwanja cha nyuki")</f>
        <v>Kiwanja cha nyuki</v>
      </c>
      <c r="PM4" s="7" t="str">
        <f>IFERROR(__xludf.DUMMYFUNCTION("GOOGLETRANSLATE(PM2, ""en"", ""sw"")"),"Kiwanja cha maporomoko ya maji")</f>
        <v>Kiwanja cha maporomoko ya maji</v>
      </c>
      <c r="PN4" s="7" t="str">
        <f>IFERROR(__xludf.DUMMYFUNCTION("GOOGLETRANSLATE(PN2, ""en"", ""sw"")"),"Mpango wa nguvu")</f>
        <v>Mpango wa nguvu</v>
      </c>
      <c r="PO4" s="7" t="str">
        <f>IFERROR(__xludf.DUMMYFUNCTION("GOOGLETRANSLATE(PO2, ""en"", ""sw"")"),"Utekelezaji wa modeli")</f>
        <v>Utekelezaji wa modeli</v>
      </c>
      <c r="PP4" s="7" t="str">
        <f>IFERROR(__xludf.DUMMYFUNCTION("GOOGLETRANSLATE(PP2, ""en"", ""sw"")"),"Muhtasari")</f>
        <v>Muhtasari</v>
      </c>
      <c r="PQ4" s="7"/>
      <c r="PR4" s="7" t="str">
        <f>IFERROR(__xludf.DUMMYFUNCTION("GOOGLETRANSLATE(PR2, ""en"", ""sw"")"),"Chagua kipimo")</f>
        <v>Chagua kipimo</v>
      </c>
      <c r="PS4" s="7" t="str">
        <f>IFERROR(__xludf.DUMMYFUNCTION("GOOGLETRANSLATE(PS2, ""en"", ""sw"")"),"Chagua modeli (modeli)")</f>
        <v>Chagua modeli (modeli)</v>
      </c>
      <c r="PT4" s="7" t="str">
        <f>IFERROR(__xludf.DUMMYFUNCTION("GOOGLETRANSLATE(PT2, ""en"", ""sw"")"),"Chagua kipindi(vipindi)")</f>
        <v>Chagua kipindi(vipindi)</v>
      </c>
      <c r="PU4" s="7" t="str">
        <f>IFERROR(__xludf.DUMMYFUNCTION("GOOGLETRANSLATE(PU2, ""en"", ""sw"")"),"Tumia modeli zilizochaguliwa")</f>
        <v>Tumia modeli zilizochaguliwa</v>
      </c>
      <c r="PV4" s="7" t="str">
        <f>IFERROR(__xludf.DUMMYFUNCTION("GOOGLETRANSLATE(PV2, ""en"", ""sw"")"),"Tumia")</f>
        <v>Tumia</v>
      </c>
      <c r="PW4" s="7" t="str">
        <f>IFERROR(__xludf.DUMMYFUNCTION("GOOGLETRANSLATE(PW2, ""en"", ""sw"")"),"Bofya ili kuunganisha kwenye hifadhidata katika ukurasa wa Chanzo kwanza")</f>
        <v>Bofya ili kuunganisha kwenye hifadhidata katika ukurasa wa Chanzo kwanza</v>
      </c>
      <c r="PX4" s="7" t="str">
        <f>IFERROR(__xludf.DUMMYFUNCTION("GOOGLETRANSLATE(PX2, ""en"", ""sw"")"),"Chuja kwa Jinsia")</f>
        <v>Chuja kwa Jinsia</v>
      </c>
      <c r="PY4" s="7" t="str">
        <f>IFERROR(__xludf.DUMMYFUNCTION("GOOGLETRANSLATE(PY2, ""en"", ""sw"")"),"Mifumo ya utabiri")</f>
        <v>Mifumo ya utabiri</v>
      </c>
      <c r="PZ4" s="7" t="str">
        <f>IFERROR(__xludf.DUMMYFUNCTION("GOOGLETRANSLATE(PZ2, ""en"", ""sw"")"),"Chagua modeli kwa ajili ya utabiri")</f>
        <v>Chagua modeli kwa ajili ya utabiri</v>
      </c>
      <c r="QA4" s="7" t="str">
        <f>IFERROR(__xludf.DUMMYFUNCTION("GOOGLETRANSLATE(QA2, ""en"", ""sw"")"),"Ingizo la data ya utabiri")</f>
        <v>Ingizo la data ya utabiri</v>
      </c>
      <c r="QB4" s="7" t="str">
        <f>IFERROR(__xludf.DUMMYFUNCTION("GOOGLETRANSLATE(QB2, ""en"", ""sw"")"),"Pakua kiolezo cha utabiri")</f>
        <v>Pakua kiolezo cha utabiri</v>
      </c>
      <c r="QC4" s="7" t="str">
        <f>IFERROR(__xludf.DUMMYFUNCTION("GOOGLETRANSLATE(QC2, ""en"", ""sw"")"),"Data ya utabiri wa pakia")</f>
        <v>Data ya utabiri wa pakia</v>
      </c>
      <c r="QD4" s="7" t="str">
        <f>IFERROR(__xludf.DUMMYFUNCTION("GOOGLETRANSLATE(QD2, ""en"", ""sw"")"),"Pakia")</f>
        <v>Pakia</v>
      </c>
      <c r="QE4" s="7" t="str">
        <f>IFERROR(__xludf.DUMMYFUNCTION("GOOGLETRANSLATE(QE2, ""en"", ""sw"")"),"Bashiri")</f>
        <v>Bashiri</v>
      </c>
      <c r="QF4" s="7" t="str">
        <f>IFERROR(__xludf.DUMMYFUNCTION("GOOGLETRANSLATE(QF2, ""en"", ""sw"")"),"Mtandao wa Neva wa Convolutional")</f>
        <v>Mtandao wa Neva wa Convolutional</v>
      </c>
      <c r="QG4" s="7" t="str">
        <f>IFERROR(__xludf.DUMMYFUNCTION("GOOGLETRANSLATE(QG2, ""en"", ""sw"")"),"Transfoma")</f>
        <v>Transfoma</v>
      </c>
      <c r="QH4" s="7" t="str">
        <f>IFERROR(__xludf.DUMMYFUNCTION("GOOGLETRANSLATE(QH2, ""en"", ""sw"")"),"Utendaji na Tathmini ya Treni")</f>
        <v>Utendaji na Tathmini ya Treni</v>
      </c>
      <c r="QI4" s="7" t="str">
        <f>IFERROR(__xludf.DUMMYFUNCTION("GOOGLETRANSLATE(QI2, ""en"", ""sw"")"),"Fungua Fomu ya Kuingiza Data")</f>
        <v>Fungua Fomu ya Kuingiza Data</v>
      </c>
      <c r="QJ4" s="7" t="str">
        <f>IFERROR(__xludf.DUMMYFUNCTION("GOOGLETRANSLATE(QJ2, ""en"", ""sw"")"),"Data ya ingizo isiyolingana. Pakua kiolezo cha utabiri.")</f>
        <v>Data ya ingizo isiyolingana. Pakua kiolezo cha utabiri.</v>
      </c>
      <c r="QK4" s="7" t="str">
        <f>IFERROR(__xludf.DUMMYFUNCTION("GOOGLETRANSLATE(QK2, ""en"", ""sw"")"),"Hifadhi Ingizo")</f>
        <v>Hifadhi Ingizo</v>
      </c>
      <c r="QL4" s="7" t="str">
        <f>IFERROR(__xludf.DUMMYFUNCTION("GOOGLETRANSLATE(QL2, ""en"", ""sw"")"),"Maliza")</f>
        <v>Maliza</v>
      </c>
      <c r="QM4" s="7" t="str">
        <f>IFERROR(__xludf.DUMMYFUNCTION("GOOGLETRANSLATE(QM2, ""en"", ""sw"")"),"Ghairi")</f>
        <v>Ghairi</v>
      </c>
      <c r="QN4" s="7" t="str">
        <f>IFERROR(__xludf.DUMMYFUNCTION("GOOGLETRANSLATE(QN2, ""en"", ""sw"")"),"Ingiza Data kwa Utabiri")</f>
        <v>Ingiza Data kwa Utabiri</v>
      </c>
      <c r="QO4" s="7" t="str">
        <f>IFERROR(__xludf.DUMMYFUNCTION("GOOGLETRANSLATE(QO2, ""en"", ""sw"")"),"Ongeza ingizo lingine")</f>
        <v>Ongeza ingizo lingine</v>
      </c>
      <c r="QP4" s="7" t="str">
        <f>IFERROR(__xludf.DUMMYFUNCTION("GOOGLETRANSLATE(QP2, ""en"", ""sw"")"),"Hitilafu ya API ya utabiri. Jaribu tena:")</f>
        <v>Hitilafu ya API ya utabiri. Jaribu tena:</v>
      </c>
      <c r="QQ4" s="7" t="str">
        <f>IFERROR(__xludf.DUMMYFUNCTION("GOOGLETRANSLATE(QQ2, ""en"", ""sw"")"),"Mafunzo ya kielelezo ...")</f>
        <v>Mafunzo ya kielelezo ...</v>
      </c>
      <c r="QR4" s="7" t="str">
        <f>IFERROR(__xludf.DUMMYFUNCTION("GOOGLETRANSLATE(QR2, ""en"", ""sw"")"),"Hitilafu katika mafunzo ya modeli")</f>
        <v>Hitilafu katika mafunzo ya modeli</v>
      </c>
      <c r="QS4" s="7" t="str">
        <f>IFERROR(__xludf.DUMMYFUNCTION("GOOGLETRANSLATE(QS2, ""en"", ""sw"")"),"Hitilafu ya vipimo vya modeli")</f>
        <v>Hitilafu ya vipimo vya modeli</v>
      </c>
      <c r="QT4" s="7" t="str">
        <f>IFERROR(__xludf.DUMMYFUNCTION("GOOGLETRANSLATE(QT2, ""en"", ""sw"")"),"Vipimo vya treni")</f>
        <v>Vipimo vya treni</v>
      </c>
      <c r="QU4" s="7" t="str">
        <f>IFERROR(__xludf.DUMMYFUNCTION("GOOGLETRANSLATE(QU2, ""en"", ""sw"")"),"Vipimo vya majaribio")</f>
        <v>Vipimo vya majaribio</v>
      </c>
      <c r="QV4" s="7" t="str">
        <f>IFERROR(__xludf.DUMMYFUNCTION("GOOGLETRANSLATE(QV2, ""en"", ""sw"")"),"Vipimo vya baada")</f>
        <v>Vipimo vya baada</v>
      </c>
      <c r="QW4" s="7" t="str">
        <f>IFERROR(__xludf.DUMMYFUNCTION("GOOGLETRANSLATE(QW2, ""en"", ""sw"")"),"Thamani za umbo")</f>
        <v>Thamani za umbo</v>
      </c>
      <c r="QX4" s="7" t="str">
        <f>IFERROR(__xludf.DUMMYFUNCTION("GOOGLETRANSLATE(QX2, ""en"", ""sw"")"),"Kuzalisha thamani za SHAP")</f>
        <v>Kuzalisha thamani za SHAP</v>
      </c>
      <c r="QY4" s="7" t="str">
        <f>IFERROR(__xludf.DUMMYFUNCTION("GOOGLETRANSLATE(QY2, ""en"", ""sw"")"),"Kupakia data kwenye Jukwaa la Nocode")</f>
        <v>Kupakia data kwenye Jukwaa la Nocode</v>
      </c>
      <c r="QZ4" s="7" t="str">
        <f>IFERROR(__xludf.DUMMYFUNCTION("GOOGLETRANSLATE(QZ2, ""en"", ""sw"")"),"Kusambaza modeli")</f>
        <v>Kusambaza modeli</v>
      </c>
      <c r="RA4" s="7" t="str">
        <f>IFERROR(__xludf.DUMMYFUNCTION("GOOGLETRANSLATE(RA2, ""en"", ""sw"")"),"Mifumo haikuweza kutekelezwa, jaribu tena:")</f>
        <v>Mifumo haikuweza kutekelezwa, jaribu tena:</v>
      </c>
      <c r="RB4" s="7" t="str">
        <f>IFERROR(__xludf.DUMMYFUNCTION("GOOGLETRANSLATE(RB2, ""en"", ""sw"")"),"Mifumo iliyotumika")</f>
        <v>Mifumo iliyotumika</v>
      </c>
      <c r="RC4" s="7" t="str">
        <f>IFERROR(__xludf.DUMMYFUNCTION("GOOGLETRANSLATE(RC2, ""en"", ""sw"")"),"Muda wa ufikiaji wa sehemu ya mwisho umeisha. Jaribu tena")</f>
        <v>Muda wa ufikiaji wa sehemu ya mwisho umeisha. Jaribu tena</v>
      </c>
      <c r="RD4" s="7" t="str">
        <f>IFERROR(__xludf.DUMMYFUNCTION("GOOGLETRANSLATE(RD2, ""en"", ""sw"")"),"Dashibodi")</f>
        <v>Dashibodi</v>
      </c>
      <c r="RE4" s="7" t="str">
        <f>IFERROR(__xludf.DUMMYFUNCTION("GOOGLETRANSLATE(RE2, ""en"", ""sw"")"),"Unda Bomba")</f>
        <v>Unda Bomba</v>
      </c>
      <c r="RF4" s="7" t="str">
        <f>IFERROR(__xludf.DUMMYFUNCTION("GOOGLETRANSLATE(RF2, ""en"", ""sw"")"),"Mfano wa Treni")</f>
        <v>Mfano wa Treni</v>
      </c>
      <c r="RG4" s="7" t="str">
        <f>IFERROR(__xludf.DUMMYFUNCTION("GOOGLETRANSLATE(RG2, ""en"", ""sw"")"),"Tengeneza Utabiri")</f>
        <v>Tengeneza Utabiri</v>
      </c>
      <c r="RH4" s="7" t="str">
        <f>IFERROR(__xludf.DUMMYFUNCTION("GOOGLETRANSLATE(RH2, ""en"", ""sw"")"),"Tazama Kazi")</f>
        <v>Tazama Kazi</v>
      </c>
      <c r="RI4" s="7" t="str">
        <f>IFERROR(__xludf.DUMMYFUNCTION("GOOGLETRANSLATE(RI2, ""en"", ""sw"")"),"Tazama Seti za Data")</f>
        <v>Tazama Seti za Data</v>
      </c>
      <c r="RJ4" s="7" t="str">
        <f>IFERROR(__xludf.DUMMYFUNCTION("GOOGLETRANSLATE(RJ2, ""en"", ""sw"")"),"Futa Kazi")</f>
        <v>Futa Kazi</v>
      </c>
      <c r="RK4" s="7" t="str">
        <f>IFERROR(__xludf.DUMMYFUNCTION("GOOGLETRANSLATE(RK2, ""en"", ""sw"")"),"Viwango vya kipekee vya matokeo yaliyochaguliwa ni chini ya 2. Jaribu kigezo kingine kama matokeo")</f>
        <v>Viwango vya kipekee vya matokeo yaliyochaguliwa ni chini ya 2. Jaribu kigezo kingine kama matokeo</v>
      </c>
      <c r="RL4" s="7" t="str">
        <f>IFERROR(__xludf.DUMMYFUNCTION("GOOGLETRANSLATE(RL2, ""en"", ""sw"")"),"Matokeo ya binary yamebadilishwa kuwa tatizo la uainishaji")</f>
        <v>Matokeo ya binary yamebadilishwa kuwa tatizo la uainishaji</v>
      </c>
      <c r="RM4" s="7" t="str">
        <f>IFERROR(__xludf.DUMMYFUNCTION("GOOGLETRANSLATE(RM2, ""en"", ""sw"")"),"Hitilafu ya kubadilisha jina la kigezo")</f>
        <v>Hitilafu ya kubadilisha jina la kigezo</v>
      </c>
      <c r="RN4" s="7" t="str">
        <f>IFERROR(__xludf.DUMMYFUNCTION("GOOGLETRANSLATE(RN2, ""en"", ""sw"")"),"Hitilafu ya kigezo cha msimbo upya")</f>
        <v>Hitilafu ya kigezo cha msimbo upya</v>
      </c>
      <c r="RO4" s="7" t="str">
        <f>IFERROR(__xludf.DUMMYFUNCTION("GOOGLETRANSLATE(RO2, ""en"", ""sw"")"),"Angalia na ujaribu tena:")</f>
        <v>Angalia na ujaribu tena:</v>
      </c>
      <c r="RP4" s="7" t="str">
        <f>IFERROR(__xludf.DUMMYFUNCTION("GOOGLETRANSLATE(RP2, ""en"", ""sw"")"),"Kuzalisha majibu ..")</f>
        <v>Kuzalisha majibu ..</v>
      </c>
      <c r="RQ4" s="7" t="str">
        <f>IFERROR(__xludf.DUMMYFUNCTION("GOOGLETRANSLATE(RQ2, ""en"", ""sw"")"),"Inazalisha majibu ...")</f>
        <v>Inazalisha majibu ...</v>
      </c>
      <c r="RR4" s="7" t="str">
        <f>IFERROR(__xludf.DUMMYFUNCTION("GOOGLETRANSLATE(RR2, ""en"", ""sw"")"),"Hitilafu ya kugawanya data:")</f>
        <v>Hitilafu ya kugawanya data:</v>
      </c>
      <c r="RS4" s="7" t="str">
        <f>IFERROR(__xludf.DUMMYFUNCTION("GOOGLETRANSLATE(RS2, ""en"", ""sw"")"),"Hitilafu ya usindikaji:")</f>
        <v>Hitilafu ya usindikaji:</v>
      </c>
      <c r="RT4" s="7" t="str">
        <f>IFERROR(__xludf.DUMMYFUNCTION("GOOGLETRANSLATE(RT2, ""en"", ""sw"")"),"k")</f>
        <v>k</v>
      </c>
      <c r="RU4" s="7" t="str">
        <f>IFERROR(__xludf.DUMMYFUNCTION("GOOGLETRANSLATE(RU2, ""en"", ""sw"")"),"ukubwa")</f>
        <v>ukubwa</v>
      </c>
      <c r="RV4" s="7" t="str">
        <f>IFERROR(__xludf.DUMMYFUNCTION("GOOGLETRANSLATE(RV2, ""en"", ""sw"")"),"kuoza")</f>
        <v>kuoza</v>
      </c>
      <c r="RW4" s="7" t="str">
        <f>IFERROR(__xludf.DUMMYFUNCTION("GOOGLETRANSLATE(RW2, ""en"", ""sw"")"),"Kupungua kwa uzito")</f>
        <v>Kupungua kwa uzito</v>
      </c>
      <c r="RX4" s="7" t="str">
        <f>IFERROR(__xludf.DUMMYFUNCTION("GOOGLETRANSLATE(RX2, ""en"", ""sw"")"),"Usanidi wa modeli umekamilika")</f>
        <v>Usanidi wa modeli umekamilika</v>
      </c>
      <c r="RY4" s="7" t="str">
        <f>IFERROR(__xludf.DUMMYFUNCTION("GOOGLETRANSLATE(RY2, ""en"", ""sw"")"),"Uhandisi wa vipengele umekamilika")</f>
        <v>Uhandisi wa vipengele umekamilika</v>
      </c>
      <c r="RZ4" s="7" t="str">
        <f>IFERROR(__xludf.DUMMYFUNCTION("GOOGLETRANSLATE(RZ2, ""en"", ""sw"")"),"Usindikaji wa awali ...")</f>
        <v>Usindikaji wa awali ...</v>
      </c>
      <c r="SA4" s="7" t="str">
        <f>IFERROR(__xludf.DUMMYFUNCTION("GOOGLETRANSLATE(SA2, ""en"", ""sw"")"),"Mfuko")</f>
        <v>Mfuko</v>
      </c>
      <c r="SB4" s="7" t="str">
        <f>IFERROR(__xludf.DUMMYFUNCTION("GOOGLETRANSLATE(SB2, ""en"", ""sw"")"),"Ukubwa")</f>
        <v>Ukubwa</v>
      </c>
      <c r="SC4" s="7" t="str">
        <f>IFERROR(__xludf.DUMMYFUNCTION("GOOGLETRANSLATE(SC2, ""en"", ""sw"")"),"Kuoza")</f>
        <v>Kuoza</v>
      </c>
      <c r="SD4" s="7" t="str">
        <f>IFERROR(__xludf.DUMMYFUNCTION("GOOGLETRANSLATE(SD2, ""en"", ""sw"")"),"#Vipengele")</f>
        <v>#Vipengele</v>
      </c>
      <c r="SE4" s="7" t="str">
        <f>IFERROR(__xludf.DUMMYFUNCTION("GOOGLETRANSLATE(SE2, ""en"", ""sw"")"),"Vigezo vya udhibiti")</f>
        <v>Vigezo vya udhibiti</v>
      </c>
      <c r="SF4" s="7" t="str">
        <f>IFERROR(__xludf.DUMMYFUNCTION("GOOGLETRANSLATE(SF2, ""en"", ""sw"")"),"Vigezo vilivyorekebishwa")</f>
        <v>Vigezo vilivyorekebishwa</v>
      </c>
      <c r="SG4" s="7" t="str">
        <f>IFERROR(__xludf.DUMMYFUNCTION("GOOGLETRANSLATE(SG2, ""en"", ""sw"")"),"Vigezo")</f>
        <v>Vigezo</v>
      </c>
      <c r="SH4" s="7" t="str">
        <f>IFERROR(__xludf.DUMMYFUNCTION("GOOGLETRANSLATE(SH2, ""en"", ""sw"")"),"Pakua matokeo")</f>
        <v>Pakua matokeo</v>
      </c>
      <c r="SI4" s="7" t="str">
        <f>IFERROR(__xludf.DUMMYFUNCTION("GOOGLETRANSLATE(SI2, ""en"", ""sw"")"),"Chagua folda")</f>
        <v>Chagua folda</v>
      </c>
      <c r="SJ4" s="7" t="str">
        <f>IFERROR(__xludf.DUMMYFUNCTION("GOOGLETRANSLATE(SJ2, ""en"", ""sw"")"),"Inapakua folda")</f>
        <v>Inapakua folda</v>
      </c>
      <c r="SK4" s="7" t="str">
        <f>IFERROR(__xludf.DUMMYFUNCTION("GOOGLETRANSLATE(SK2, ""en"", ""sw"")"),"Pakua folda kama ZIP")</f>
        <v>Pakua folda kama ZIP</v>
      </c>
      <c r="SL4" s="7"/>
    </row>
    <row r="5" ht="14.25" customHeight="1">
      <c r="A5" s="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  <c r="SG5" s="7"/>
      <c r="SH5" s="7"/>
      <c r="SI5" s="7"/>
      <c r="SJ5" s="7"/>
      <c r="SK5" s="7"/>
      <c r="SL5" s="7"/>
    </row>
    <row r="6" ht="14.25" customHeight="1">
      <c r="A6" s="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  <c r="SL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  <c r="SL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  <c r="SL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  <c r="SG9" s="7"/>
      <c r="SH9" s="7"/>
      <c r="SI9" s="7"/>
      <c r="SJ9" s="7"/>
      <c r="SK9" s="7"/>
      <c r="SL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  <c r="SG10" s="7"/>
      <c r="SH10" s="7"/>
      <c r="SI10" s="7"/>
      <c r="SJ10" s="7"/>
      <c r="SK10" s="7"/>
      <c r="SL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  <c r="SG11" s="7"/>
      <c r="SH11" s="7"/>
      <c r="SI11" s="7"/>
      <c r="SJ11" s="7"/>
      <c r="SK11" s="7"/>
      <c r="SL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  <c r="SG12" s="7"/>
      <c r="SH12" s="7"/>
      <c r="SI12" s="7"/>
      <c r="SJ12" s="7"/>
      <c r="SK12" s="7"/>
      <c r="SL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  <c r="RZ13" s="7"/>
      <c r="SA13" s="7"/>
      <c r="SB13" s="7"/>
      <c r="SC13" s="7"/>
      <c r="SD13" s="7"/>
      <c r="SE13" s="7"/>
      <c r="SF13" s="7"/>
      <c r="SG13" s="7"/>
      <c r="SH13" s="7"/>
      <c r="SI13" s="7"/>
      <c r="SJ13" s="7"/>
      <c r="SK13" s="7"/>
      <c r="SL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  <c r="RZ14" s="7"/>
      <c r="SA14" s="7"/>
      <c r="SB14" s="7"/>
      <c r="SC14" s="7"/>
      <c r="SD14" s="7"/>
      <c r="SE14" s="7"/>
      <c r="SF14" s="7"/>
      <c r="SG14" s="7"/>
      <c r="SH14" s="7"/>
      <c r="SI14" s="7"/>
      <c r="SJ14" s="7"/>
      <c r="SK14" s="7"/>
      <c r="SL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  <c r="RZ15" s="7"/>
      <c r="SA15" s="7"/>
      <c r="SB15" s="7"/>
      <c r="SC15" s="7"/>
      <c r="SD15" s="7"/>
      <c r="SE15" s="7"/>
      <c r="SF15" s="7"/>
      <c r="SG15" s="7"/>
      <c r="SH15" s="7"/>
      <c r="SI15" s="7"/>
      <c r="SJ15" s="7"/>
      <c r="SK15" s="7"/>
      <c r="SL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  <c r="RZ16" s="7"/>
      <c r="SA16" s="7"/>
      <c r="SB16" s="7"/>
      <c r="SC16" s="7"/>
      <c r="SD16" s="7"/>
      <c r="SE16" s="7"/>
      <c r="SF16" s="7"/>
      <c r="SG16" s="7"/>
      <c r="SH16" s="7"/>
      <c r="SI16" s="7"/>
      <c r="SJ16" s="7"/>
      <c r="SK16" s="7"/>
      <c r="SL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  <c r="RZ17" s="7"/>
      <c r="SA17" s="7"/>
      <c r="SB17" s="7"/>
      <c r="SC17" s="7"/>
      <c r="SD17" s="7"/>
      <c r="SE17" s="7"/>
      <c r="SF17" s="7"/>
      <c r="SG17" s="7"/>
      <c r="SH17" s="7"/>
      <c r="SI17" s="7"/>
      <c r="SJ17" s="7"/>
      <c r="SK17" s="7"/>
      <c r="SL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  <c r="RZ18" s="7"/>
      <c r="SA18" s="7"/>
      <c r="SB18" s="7"/>
      <c r="SC18" s="7"/>
      <c r="SD18" s="7"/>
      <c r="SE18" s="7"/>
      <c r="SF18" s="7"/>
      <c r="SG18" s="7"/>
      <c r="SH18" s="7"/>
      <c r="SI18" s="7"/>
      <c r="SJ18" s="7"/>
      <c r="SK18" s="7"/>
      <c r="SL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  <c r="RZ19" s="7"/>
      <c r="SA19" s="7"/>
      <c r="SB19" s="7"/>
      <c r="SC19" s="7"/>
      <c r="SD19" s="7"/>
      <c r="SE19" s="7"/>
      <c r="SF19" s="7"/>
      <c r="SG19" s="7"/>
      <c r="SH19" s="7"/>
      <c r="SI19" s="7"/>
      <c r="SJ19" s="7"/>
      <c r="SK19" s="7"/>
      <c r="SL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  <c r="RZ20" s="7"/>
      <c r="SA20" s="7"/>
      <c r="SB20" s="7"/>
      <c r="SC20" s="7"/>
      <c r="SD20" s="7"/>
      <c r="SE20" s="7"/>
      <c r="SF20" s="7"/>
      <c r="SG20" s="7"/>
      <c r="SH20" s="7"/>
      <c r="SI20" s="7"/>
      <c r="SJ20" s="7"/>
      <c r="SK20" s="7"/>
      <c r="SL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  <c r="RZ21" s="7"/>
      <c r="SA21" s="7"/>
      <c r="SB21" s="7"/>
      <c r="SC21" s="7"/>
      <c r="SD21" s="7"/>
      <c r="SE21" s="7"/>
      <c r="SF21" s="7"/>
      <c r="SG21" s="7"/>
      <c r="SH21" s="7"/>
      <c r="SI21" s="7"/>
      <c r="SJ21" s="7"/>
      <c r="SK21" s="7"/>
      <c r="SL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  <c r="SG22" s="7"/>
      <c r="SH22" s="7"/>
      <c r="SI22" s="7"/>
      <c r="SJ22" s="7"/>
      <c r="SK22" s="7"/>
      <c r="SL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  <c r="RZ24" s="7"/>
      <c r="SA24" s="7"/>
      <c r="SB24" s="7"/>
      <c r="SC24" s="7"/>
      <c r="SD24" s="7"/>
      <c r="SE24" s="7"/>
      <c r="SF24" s="7"/>
      <c r="SG24" s="7"/>
      <c r="SH24" s="7"/>
      <c r="SI24" s="7"/>
      <c r="SJ24" s="7"/>
      <c r="SK24" s="7"/>
      <c r="SL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  <c r="RZ25" s="7"/>
      <c r="SA25" s="7"/>
      <c r="SB25" s="7"/>
      <c r="SC25" s="7"/>
      <c r="SD25" s="7"/>
      <c r="SE25" s="7"/>
      <c r="SF25" s="7"/>
      <c r="SG25" s="7"/>
      <c r="SH25" s="7"/>
      <c r="SI25" s="7"/>
      <c r="SJ25" s="7"/>
      <c r="SK25" s="7"/>
      <c r="SL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  <c r="RZ26" s="7"/>
      <c r="SA26" s="7"/>
      <c r="SB26" s="7"/>
      <c r="SC26" s="7"/>
      <c r="SD26" s="7"/>
      <c r="SE26" s="7"/>
      <c r="SF26" s="7"/>
      <c r="SG26" s="7"/>
      <c r="SH26" s="7"/>
      <c r="SI26" s="7"/>
      <c r="SJ26" s="7"/>
      <c r="SK26" s="7"/>
      <c r="SL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  <c r="RZ27" s="7"/>
      <c r="SA27" s="7"/>
      <c r="SB27" s="7"/>
      <c r="SC27" s="7"/>
      <c r="SD27" s="7"/>
      <c r="SE27" s="7"/>
      <c r="SF27" s="7"/>
      <c r="SG27" s="7"/>
      <c r="SH27" s="7"/>
      <c r="SI27" s="7"/>
      <c r="SJ27" s="7"/>
      <c r="SK27" s="7"/>
      <c r="SL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  <c r="RZ28" s="7"/>
      <c r="SA28" s="7"/>
      <c r="SB28" s="7"/>
      <c r="SC28" s="7"/>
      <c r="SD28" s="7"/>
      <c r="SE28" s="7"/>
      <c r="SF28" s="7"/>
      <c r="SG28" s="7"/>
      <c r="SH28" s="7"/>
      <c r="SI28" s="7"/>
      <c r="SJ28" s="7"/>
      <c r="SK28" s="7"/>
      <c r="SL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  <c r="RZ29" s="7"/>
      <c r="SA29" s="7"/>
      <c r="SB29" s="7"/>
      <c r="SC29" s="7"/>
      <c r="SD29" s="7"/>
      <c r="SE29" s="7"/>
      <c r="SF29" s="7"/>
      <c r="SG29" s="7"/>
      <c r="SH29" s="7"/>
      <c r="SI29" s="7"/>
      <c r="SJ29" s="7"/>
      <c r="SK29" s="7"/>
      <c r="SL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  <c r="SL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  <c r="SG31" s="7"/>
      <c r="SH31" s="7"/>
      <c r="SI31" s="7"/>
      <c r="SJ31" s="7"/>
      <c r="SK31" s="7"/>
      <c r="SL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  <c r="RZ32" s="7"/>
      <c r="SA32" s="7"/>
      <c r="SB32" s="7"/>
      <c r="SC32" s="7"/>
      <c r="SD32" s="7"/>
      <c r="SE32" s="7"/>
      <c r="SF32" s="7"/>
      <c r="SG32" s="7"/>
      <c r="SH32" s="7"/>
      <c r="SI32" s="7"/>
      <c r="SJ32" s="7"/>
      <c r="SK32" s="7"/>
      <c r="SL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  <c r="RZ33" s="7"/>
      <c r="SA33" s="7"/>
      <c r="SB33" s="7"/>
      <c r="SC33" s="7"/>
      <c r="SD33" s="7"/>
      <c r="SE33" s="7"/>
      <c r="SF33" s="7"/>
      <c r="SG33" s="7"/>
      <c r="SH33" s="7"/>
      <c r="SI33" s="7"/>
      <c r="SJ33" s="7"/>
      <c r="SK33" s="7"/>
      <c r="SL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  <c r="RZ34" s="7"/>
      <c r="SA34" s="7"/>
      <c r="SB34" s="7"/>
      <c r="SC34" s="7"/>
      <c r="SD34" s="7"/>
      <c r="SE34" s="7"/>
      <c r="SF34" s="7"/>
      <c r="SG34" s="7"/>
      <c r="SH34" s="7"/>
      <c r="SI34" s="7"/>
      <c r="SJ34" s="7"/>
      <c r="SK34" s="7"/>
      <c r="SL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  <c r="RZ35" s="7"/>
      <c r="SA35" s="7"/>
      <c r="SB35" s="7"/>
      <c r="SC35" s="7"/>
      <c r="SD35" s="7"/>
      <c r="SE35" s="7"/>
      <c r="SF35" s="7"/>
      <c r="SG35" s="7"/>
      <c r="SH35" s="7"/>
      <c r="SI35" s="7"/>
      <c r="SJ35" s="7"/>
      <c r="SK35" s="7"/>
      <c r="SL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  <c r="RZ36" s="7"/>
      <c r="SA36" s="7"/>
      <c r="SB36" s="7"/>
      <c r="SC36" s="7"/>
      <c r="SD36" s="7"/>
      <c r="SE36" s="7"/>
      <c r="SF36" s="7"/>
      <c r="SG36" s="7"/>
      <c r="SH36" s="7"/>
      <c r="SI36" s="7"/>
      <c r="SJ36" s="7"/>
      <c r="SK36" s="7"/>
      <c r="SL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  <c r="SG37" s="7"/>
      <c r="SH37" s="7"/>
      <c r="SI37" s="7"/>
      <c r="SJ37" s="7"/>
      <c r="SK37" s="7"/>
      <c r="SL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  <c r="SG38" s="7"/>
      <c r="SH38" s="7"/>
      <c r="SI38" s="7"/>
      <c r="SJ38" s="7"/>
      <c r="SK38" s="7"/>
      <c r="SL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  <c r="RZ39" s="7"/>
      <c r="SA39" s="7"/>
      <c r="SB39" s="7"/>
      <c r="SC39" s="7"/>
      <c r="SD39" s="7"/>
      <c r="SE39" s="7"/>
      <c r="SF39" s="7"/>
      <c r="SG39" s="7"/>
      <c r="SH39" s="7"/>
      <c r="SI39" s="7"/>
      <c r="SJ39" s="7"/>
      <c r="SK39" s="7"/>
      <c r="SL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  <c r="RZ40" s="7"/>
      <c r="SA40" s="7"/>
      <c r="SB40" s="7"/>
      <c r="SC40" s="7"/>
      <c r="SD40" s="7"/>
      <c r="SE40" s="7"/>
      <c r="SF40" s="7"/>
      <c r="SG40" s="7"/>
      <c r="SH40" s="7"/>
      <c r="SI40" s="7"/>
      <c r="SJ40" s="7"/>
      <c r="SK40" s="7"/>
      <c r="SL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  <c r="SG41" s="7"/>
      <c r="SH41" s="7"/>
      <c r="SI41" s="7"/>
      <c r="SJ41" s="7"/>
      <c r="SK41" s="7"/>
      <c r="SL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  <c r="RZ42" s="7"/>
      <c r="SA42" s="7"/>
      <c r="SB42" s="7"/>
      <c r="SC42" s="7"/>
      <c r="SD42" s="7"/>
      <c r="SE42" s="7"/>
      <c r="SF42" s="7"/>
      <c r="SG42" s="7"/>
      <c r="SH42" s="7"/>
      <c r="SI42" s="7"/>
      <c r="SJ42" s="7"/>
      <c r="SK42" s="7"/>
      <c r="SL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  <c r="RZ43" s="7"/>
      <c r="SA43" s="7"/>
      <c r="SB43" s="7"/>
      <c r="SC43" s="7"/>
      <c r="SD43" s="7"/>
      <c r="SE43" s="7"/>
      <c r="SF43" s="7"/>
      <c r="SG43" s="7"/>
      <c r="SH43" s="7"/>
      <c r="SI43" s="7"/>
      <c r="SJ43" s="7"/>
      <c r="SK43" s="7"/>
      <c r="SL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  <c r="SG44" s="7"/>
      <c r="SH44" s="7"/>
      <c r="SI44" s="7"/>
      <c r="SJ44" s="7"/>
      <c r="SK44" s="7"/>
      <c r="SL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  <c r="SG45" s="7"/>
      <c r="SH45" s="7"/>
      <c r="SI45" s="7"/>
      <c r="SJ45" s="7"/>
      <c r="SK45" s="7"/>
      <c r="SL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  <c r="RZ46" s="7"/>
      <c r="SA46" s="7"/>
      <c r="SB46" s="7"/>
      <c r="SC46" s="7"/>
      <c r="SD46" s="7"/>
      <c r="SE46" s="7"/>
      <c r="SF46" s="7"/>
      <c r="SG46" s="7"/>
      <c r="SH46" s="7"/>
      <c r="SI46" s="7"/>
      <c r="SJ46" s="7"/>
      <c r="SK46" s="7"/>
      <c r="SL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  <c r="RZ47" s="7"/>
      <c r="SA47" s="7"/>
      <c r="SB47" s="7"/>
      <c r="SC47" s="7"/>
      <c r="SD47" s="7"/>
      <c r="SE47" s="7"/>
      <c r="SF47" s="7"/>
      <c r="SG47" s="7"/>
      <c r="SH47" s="7"/>
      <c r="SI47" s="7"/>
      <c r="SJ47" s="7"/>
      <c r="SK47" s="7"/>
      <c r="SL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  <c r="SG48" s="7"/>
      <c r="SH48" s="7"/>
      <c r="SI48" s="7"/>
      <c r="SJ48" s="7"/>
      <c r="SK48" s="7"/>
      <c r="SL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  <c r="RZ49" s="7"/>
      <c r="SA49" s="7"/>
      <c r="SB49" s="7"/>
      <c r="SC49" s="7"/>
      <c r="SD49" s="7"/>
      <c r="SE49" s="7"/>
      <c r="SF49" s="7"/>
      <c r="SG49" s="7"/>
      <c r="SH49" s="7"/>
      <c r="SI49" s="7"/>
      <c r="SJ49" s="7"/>
      <c r="SK49" s="7"/>
      <c r="SL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  <c r="RZ50" s="7"/>
      <c r="SA50" s="7"/>
      <c r="SB50" s="7"/>
      <c r="SC50" s="7"/>
      <c r="SD50" s="7"/>
      <c r="SE50" s="7"/>
      <c r="SF50" s="7"/>
      <c r="SG50" s="7"/>
      <c r="SH50" s="7"/>
      <c r="SI50" s="7"/>
      <c r="SJ50" s="7"/>
      <c r="SK50" s="7"/>
      <c r="SL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  <c r="RZ51" s="7"/>
      <c r="SA51" s="7"/>
      <c r="SB51" s="7"/>
      <c r="SC51" s="7"/>
      <c r="SD51" s="7"/>
      <c r="SE51" s="7"/>
      <c r="SF51" s="7"/>
      <c r="SG51" s="7"/>
      <c r="SH51" s="7"/>
      <c r="SI51" s="7"/>
      <c r="SJ51" s="7"/>
      <c r="SK51" s="7"/>
      <c r="SL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  <c r="RZ52" s="7"/>
      <c r="SA52" s="7"/>
      <c r="SB52" s="7"/>
      <c r="SC52" s="7"/>
      <c r="SD52" s="7"/>
      <c r="SE52" s="7"/>
      <c r="SF52" s="7"/>
      <c r="SG52" s="7"/>
      <c r="SH52" s="7"/>
      <c r="SI52" s="7"/>
      <c r="SJ52" s="7"/>
      <c r="SK52" s="7"/>
      <c r="SL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  <c r="RZ53" s="7"/>
      <c r="SA53" s="7"/>
      <c r="SB53" s="7"/>
      <c r="SC53" s="7"/>
      <c r="SD53" s="7"/>
      <c r="SE53" s="7"/>
      <c r="SF53" s="7"/>
      <c r="SG53" s="7"/>
      <c r="SH53" s="7"/>
      <c r="SI53" s="7"/>
      <c r="SJ53" s="7"/>
      <c r="SK53" s="7"/>
      <c r="SL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  <c r="SG54" s="7"/>
      <c r="SH54" s="7"/>
      <c r="SI54" s="7"/>
      <c r="SJ54" s="7"/>
      <c r="SK54" s="7"/>
      <c r="SL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  <c r="SG55" s="7"/>
      <c r="SH55" s="7"/>
      <c r="SI55" s="7"/>
      <c r="SJ55" s="7"/>
      <c r="SK55" s="7"/>
      <c r="SL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  <c r="RZ56" s="7"/>
      <c r="SA56" s="7"/>
      <c r="SB56" s="7"/>
      <c r="SC56" s="7"/>
      <c r="SD56" s="7"/>
      <c r="SE56" s="7"/>
      <c r="SF56" s="7"/>
      <c r="SG56" s="7"/>
      <c r="SH56" s="7"/>
      <c r="SI56" s="7"/>
      <c r="SJ56" s="7"/>
      <c r="SK56" s="7"/>
      <c r="SL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  <c r="RZ57" s="7"/>
      <c r="SA57" s="7"/>
      <c r="SB57" s="7"/>
      <c r="SC57" s="7"/>
      <c r="SD57" s="7"/>
      <c r="SE57" s="7"/>
      <c r="SF57" s="7"/>
      <c r="SG57" s="7"/>
      <c r="SH57" s="7"/>
      <c r="SI57" s="7"/>
      <c r="SJ57" s="7"/>
      <c r="SK57" s="7"/>
      <c r="SL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  <c r="SG58" s="7"/>
      <c r="SH58" s="7"/>
      <c r="SI58" s="7"/>
      <c r="SJ58" s="7"/>
      <c r="SK58" s="7"/>
      <c r="SL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  <c r="RZ59" s="7"/>
      <c r="SA59" s="7"/>
      <c r="SB59" s="7"/>
      <c r="SC59" s="7"/>
      <c r="SD59" s="7"/>
      <c r="SE59" s="7"/>
      <c r="SF59" s="7"/>
      <c r="SG59" s="7"/>
      <c r="SH59" s="7"/>
      <c r="SI59" s="7"/>
      <c r="SJ59" s="7"/>
      <c r="SK59" s="7"/>
      <c r="SL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  <c r="RZ60" s="7"/>
      <c r="SA60" s="7"/>
      <c r="SB60" s="7"/>
      <c r="SC60" s="7"/>
      <c r="SD60" s="7"/>
      <c r="SE60" s="7"/>
      <c r="SF60" s="7"/>
      <c r="SG60" s="7"/>
      <c r="SH60" s="7"/>
      <c r="SI60" s="7"/>
      <c r="SJ60" s="7"/>
      <c r="SK60" s="7"/>
      <c r="SL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  <c r="RZ61" s="7"/>
      <c r="SA61" s="7"/>
      <c r="SB61" s="7"/>
      <c r="SC61" s="7"/>
      <c r="SD61" s="7"/>
      <c r="SE61" s="7"/>
      <c r="SF61" s="7"/>
      <c r="SG61" s="7"/>
      <c r="SH61" s="7"/>
      <c r="SI61" s="7"/>
      <c r="SJ61" s="7"/>
      <c r="SK61" s="7"/>
      <c r="SL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  <c r="RZ62" s="7"/>
      <c r="SA62" s="7"/>
      <c r="SB62" s="7"/>
      <c r="SC62" s="7"/>
      <c r="SD62" s="7"/>
      <c r="SE62" s="7"/>
      <c r="SF62" s="7"/>
      <c r="SG62" s="7"/>
      <c r="SH62" s="7"/>
      <c r="SI62" s="7"/>
      <c r="SJ62" s="7"/>
      <c r="SK62" s="7"/>
      <c r="SL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  <c r="RZ63" s="7"/>
      <c r="SA63" s="7"/>
      <c r="SB63" s="7"/>
      <c r="SC63" s="7"/>
      <c r="SD63" s="7"/>
      <c r="SE63" s="7"/>
      <c r="SF63" s="7"/>
      <c r="SG63" s="7"/>
      <c r="SH63" s="7"/>
      <c r="SI63" s="7"/>
      <c r="SJ63" s="7"/>
      <c r="SK63" s="7"/>
      <c r="SL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  <c r="RZ64" s="7"/>
      <c r="SA64" s="7"/>
      <c r="SB64" s="7"/>
      <c r="SC64" s="7"/>
      <c r="SD64" s="7"/>
      <c r="SE64" s="7"/>
      <c r="SF64" s="7"/>
      <c r="SG64" s="7"/>
      <c r="SH64" s="7"/>
      <c r="SI64" s="7"/>
      <c r="SJ64" s="7"/>
      <c r="SK64" s="7"/>
      <c r="SL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  <c r="RZ65" s="7"/>
      <c r="SA65" s="7"/>
      <c r="SB65" s="7"/>
      <c r="SC65" s="7"/>
      <c r="SD65" s="7"/>
      <c r="SE65" s="7"/>
      <c r="SF65" s="7"/>
      <c r="SG65" s="7"/>
      <c r="SH65" s="7"/>
      <c r="SI65" s="7"/>
      <c r="SJ65" s="7"/>
      <c r="SK65" s="7"/>
      <c r="SL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  <c r="RZ66" s="7"/>
      <c r="SA66" s="7"/>
      <c r="SB66" s="7"/>
      <c r="SC66" s="7"/>
      <c r="SD66" s="7"/>
      <c r="SE66" s="7"/>
      <c r="SF66" s="7"/>
      <c r="SG66" s="7"/>
      <c r="SH66" s="7"/>
      <c r="SI66" s="7"/>
      <c r="SJ66" s="7"/>
      <c r="SK66" s="7"/>
      <c r="SL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  <c r="RZ67" s="7"/>
      <c r="SA67" s="7"/>
      <c r="SB67" s="7"/>
      <c r="SC67" s="7"/>
      <c r="SD67" s="7"/>
      <c r="SE67" s="7"/>
      <c r="SF67" s="7"/>
      <c r="SG67" s="7"/>
      <c r="SH67" s="7"/>
      <c r="SI67" s="7"/>
      <c r="SJ67" s="7"/>
      <c r="SK67" s="7"/>
      <c r="SL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  <c r="RZ68" s="7"/>
      <c r="SA68" s="7"/>
      <c r="SB68" s="7"/>
      <c r="SC68" s="7"/>
      <c r="SD68" s="7"/>
      <c r="SE68" s="7"/>
      <c r="SF68" s="7"/>
      <c r="SG68" s="7"/>
      <c r="SH68" s="7"/>
      <c r="SI68" s="7"/>
      <c r="SJ68" s="7"/>
      <c r="SK68" s="7"/>
      <c r="SL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  <c r="RZ69" s="7"/>
      <c r="SA69" s="7"/>
      <c r="SB69" s="7"/>
      <c r="SC69" s="7"/>
      <c r="SD69" s="7"/>
      <c r="SE69" s="7"/>
      <c r="SF69" s="7"/>
      <c r="SG69" s="7"/>
      <c r="SH69" s="7"/>
      <c r="SI69" s="7"/>
      <c r="SJ69" s="7"/>
      <c r="SK69" s="7"/>
      <c r="SL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  <c r="RZ70" s="7"/>
      <c r="SA70" s="7"/>
      <c r="SB70" s="7"/>
      <c r="SC70" s="7"/>
      <c r="SD70" s="7"/>
      <c r="SE70" s="7"/>
      <c r="SF70" s="7"/>
      <c r="SG70" s="7"/>
      <c r="SH70" s="7"/>
      <c r="SI70" s="7"/>
      <c r="SJ70" s="7"/>
      <c r="SK70" s="7"/>
      <c r="SL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  <c r="RZ71" s="7"/>
      <c r="SA71" s="7"/>
      <c r="SB71" s="7"/>
      <c r="SC71" s="7"/>
      <c r="SD71" s="7"/>
      <c r="SE71" s="7"/>
      <c r="SF71" s="7"/>
      <c r="SG71" s="7"/>
      <c r="SH71" s="7"/>
      <c r="SI71" s="7"/>
      <c r="SJ71" s="7"/>
      <c r="SK71" s="7"/>
      <c r="SL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  <c r="RZ72" s="7"/>
      <c r="SA72" s="7"/>
      <c r="SB72" s="7"/>
      <c r="SC72" s="7"/>
      <c r="SD72" s="7"/>
      <c r="SE72" s="7"/>
      <c r="SF72" s="7"/>
      <c r="SG72" s="7"/>
      <c r="SH72" s="7"/>
      <c r="SI72" s="7"/>
      <c r="SJ72" s="7"/>
      <c r="SK72" s="7"/>
      <c r="SL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  <c r="RZ73" s="7"/>
      <c r="SA73" s="7"/>
      <c r="SB73" s="7"/>
      <c r="SC73" s="7"/>
      <c r="SD73" s="7"/>
      <c r="SE73" s="7"/>
      <c r="SF73" s="7"/>
      <c r="SG73" s="7"/>
      <c r="SH73" s="7"/>
      <c r="SI73" s="7"/>
      <c r="SJ73" s="7"/>
      <c r="SK73" s="7"/>
      <c r="SL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  <c r="RZ74" s="7"/>
      <c r="SA74" s="7"/>
      <c r="SB74" s="7"/>
      <c r="SC74" s="7"/>
      <c r="SD74" s="7"/>
      <c r="SE74" s="7"/>
      <c r="SF74" s="7"/>
      <c r="SG74" s="7"/>
      <c r="SH74" s="7"/>
      <c r="SI74" s="7"/>
      <c r="SJ74" s="7"/>
      <c r="SK74" s="7"/>
      <c r="SL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  <c r="RZ75" s="7"/>
      <c r="SA75" s="7"/>
      <c r="SB75" s="7"/>
      <c r="SC75" s="7"/>
      <c r="SD75" s="7"/>
      <c r="SE75" s="7"/>
      <c r="SF75" s="7"/>
      <c r="SG75" s="7"/>
      <c r="SH75" s="7"/>
      <c r="SI75" s="7"/>
      <c r="SJ75" s="7"/>
      <c r="SK75" s="7"/>
      <c r="SL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  <c r="RZ76" s="7"/>
      <c r="SA76" s="7"/>
      <c r="SB76" s="7"/>
      <c r="SC76" s="7"/>
      <c r="SD76" s="7"/>
      <c r="SE76" s="7"/>
      <c r="SF76" s="7"/>
      <c r="SG76" s="7"/>
      <c r="SH76" s="7"/>
      <c r="SI76" s="7"/>
      <c r="SJ76" s="7"/>
      <c r="SK76" s="7"/>
      <c r="SL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  <c r="RZ77" s="7"/>
      <c r="SA77" s="7"/>
      <c r="SB77" s="7"/>
      <c r="SC77" s="7"/>
      <c r="SD77" s="7"/>
      <c r="SE77" s="7"/>
      <c r="SF77" s="7"/>
      <c r="SG77" s="7"/>
      <c r="SH77" s="7"/>
      <c r="SI77" s="7"/>
      <c r="SJ77" s="7"/>
      <c r="SK77" s="7"/>
      <c r="SL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  <c r="RZ78" s="7"/>
      <c r="SA78" s="7"/>
      <c r="SB78" s="7"/>
      <c r="SC78" s="7"/>
      <c r="SD78" s="7"/>
      <c r="SE78" s="7"/>
      <c r="SF78" s="7"/>
      <c r="SG78" s="7"/>
      <c r="SH78" s="7"/>
      <c r="SI78" s="7"/>
      <c r="SJ78" s="7"/>
      <c r="SK78" s="7"/>
      <c r="SL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  <c r="RZ79" s="7"/>
      <c r="SA79" s="7"/>
      <c r="SB79" s="7"/>
      <c r="SC79" s="7"/>
      <c r="SD79" s="7"/>
      <c r="SE79" s="7"/>
      <c r="SF79" s="7"/>
      <c r="SG79" s="7"/>
      <c r="SH79" s="7"/>
      <c r="SI79" s="7"/>
      <c r="SJ79" s="7"/>
      <c r="SK79" s="7"/>
      <c r="SL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  <c r="RZ80" s="7"/>
      <c r="SA80" s="7"/>
      <c r="SB80" s="7"/>
      <c r="SC80" s="7"/>
      <c r="SD80" s="7"/>
      <c r="SE80" s="7"/>
      <c r="SF80" s="7"/>
      <c r="SG80" s="7"/>
      <c r="SH80" s="7"/>
      <c r="SI80" s="7"/>
      <c r="SJ80" s="7"/>
      <c r="SK80" s="7"/>
      <c r="SL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  <c r="RZ81" s="7"/>
      <c r="SA81" s="7"/>
      <c r="SB81" s="7"/>
      <c r="SC81" s="7"/>
      <c r="SD81" s="7"/>
      <c r="SE81" s="7"/>
      <c r="SF81" s="7"/>
      <c r="SG81" s="7"/>
      <c r="SH81" s="7"/>
      <c r="SI81" s="7"/>
      <c r="SJ81" s="7"/>
      <c r="SK81" s="7"/>
      <c r="SL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  <c r="RZ82" s="7"/>
      <c r="SA82" s="7"/>
      <c r="SB82" s="7"/>
      <c r="SC82" s="7"/>
      <c r="SD82" s="7"/>
      <c r="SE82" s="7"/>
      <c r="SF82" s="7"/>
      <c r="SG82" s="7"/>
      <c r="SH82" s="7"/>
      <c r="SI82" s="7"/>
      <c r="SJ82" s="7"/>
      <c r="SK82" s="7"/>
      <c r="SL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  <c r="RZ83" s="7"/>
      <c r="SA83" s="7"/>
      <c r="SB83" s="7"/>
      <c r="SC83" s="7"/>
      <c r="SD83" s="7"/>
      <c r="SE83" s="7"/>
      <c r="SF83" s="7"/>
      <c r="SG83" s="7"/>
      <c r="SH83" s="7"/>
      <c r="SI83" s="7"/>
      <c r="SJ83" s="7"/>
      <c r="SK83" s="7"/>
      <c r="SL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  <c r="RZ84" s="7"/>
      <c r="SA84" s="7"/>
      <c r="SB84" s="7"/>
      <c r="SC84" s="7"/>
      <c r="SD84" s="7"/>
      <c r="SE84" s="7"/>
      <c r="SF84" s="7"/>
      <c r="SG84" s="7"/>
      <c r="SH84" s="7"/>
      <c r="SI84" s="7"/>
      <c r="SJ84" s="7"/>
      <c r="SK84" s="7"/>
      <c r="SL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  <c r="RZ85" s="7"/>
      <c r="SA85" s="7"/>
      <c r="SB85" s="7"/>
      <c r="SC85" s="7"/>
      <c r="SD85" s="7"/>
      <c r="SE85" s="7"/>
      <c r="SF85" s="7"/>
      <c r="SG85" s="7"/>
      <c r="SH85" s="7"/>
      <c r="SI85" s="7"/>
      <c r="SJ85" s="7"/>
      <c r="SK85" s="7"/>
      <c r="SL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  <c r="RZ86" s="7"/>
      <c r="SA86" s="7"/>
      <c r="SB86" s="7"/>
      <c r="SC86" s="7"/>
      <c r="SD86" s="7"/>
      <c r="SE86" s="7"/>
      <c r="SF86" s="7"/>
      <c r="SG86" s="7"/>
      <c r="SH86" s="7"/>
      <c r="SI86" s="7"/>
      <c r="SJ86" s="7"/>
      <c r="SK86" s="7"/>
      <c r="SL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  <c r="RZ87" s="7"/>
      <c r="SA87" s="7"/>
      <c r="SB87" s="7"/>
      <c r="SC87" s="7"/>
      <c r="SD87" s="7"/>
      <c r="SE87" s="7"/>
      <c r="SF87" s="7"/>
      <c r="SG87" s="7"/>
      <c r="SH87" s="7"/>
      <c r="SI87" s="7"/>
      <c r="SJ87" s="7"/>
      <c r="SK87" s="7"/>
      <c r="SL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  <c r="RZ88" s="7"/>
      <c r="SA88" s="7"/>
      <c r="SB88" s="7"/>
      <c r="SC88" s="7"/>
      <c r="SD88" s="7"/>
      <c r="SE88" s="7"/>
      <c r="SF88" s="7"/>
      <c r="SG88" s="7"/>
      <c r="SH88" s="7"/>
      <c r="SI88" s="7"/>
      <c r="SJ88" s="7"/>
      <c r="SK88" s="7"/>
      <c r="SL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  <c r="RZ89" s="7"/>
      <c r="SA89" s="7"/>
      <c r="SB89" s="7"/>
      <c r="SC89" s="7"/>
      <c r="SD89" s="7"/>
      <c r="SE89" s="7"/>
      <c r="SF89" s="7"/>
      <c r="SG89" s="7"/>
      <c r="SH89" s="7"/>
      <c r="SI89" s="7"/>
      <c r="SJ89" s="7"/>
      <c r="SK89" s="7"/>
      <c r="SL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  <c r="RZ90" s="7"/>
      <c r="SA90" s="7"/>
      <c r="SB90" s="7"/>
      <c r="SC90" s="7"/>
      <c r="SD90" s="7"/>
      <c r="SE90" s="7"/>
      <c r="SF90" s="7"/>
      <c r="SG90" s="7"/>
      <c r="SH90" s="7"/>
      <c r="SI90" s="7"/>
      <c r="SJ90" s="7"/>
      <c r="SK90" s="7"/>
      <c r="SL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  <c r="RZ91" s="7"/>
      <c r="SA91" s="7"/>
      <c r="SB91" s="7"/>
      <c r="SC91" s="7"/>
      <c r="SD91" s="7"/>
      <c r="SE91" s="7"/>
      <c r="SF91" s="7"/>
      <c r="SG91" s="7"/>
      <c r="SH91" s="7"/>
      <c r="SI91" s="7"/>
      <c r="SJ91" s="7"/>
      <c r="SK91" s="7"/>
      <c r="SL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  <c r="RZ92" s="7"/>
      <c r="SA92" s="7"/>
      <c r="SB92" s="7"/>
      <c r="SC92" s="7"/>
      <c r="SD92" s="7"/>
      <c r="SE92" s="7"/>
      <c r="SF92" s="7"/>
      <c r="SG92" s="7"/>
      <c r="SH92" s="7"/>
      <c r="SI92" s="7"/>
      <c r="SJ92" s="7"/>
      <c r="SK92" s="7"/>
      <c r="SL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  <c r="RZ93" s="7"/>
      <c r="SA93" s="7"/>
      <c r="SB93" s="7"/>
      <c r="SC93" s="7"/>
      <c r="SD93" s="7"/>
      <c r="SE93" s="7"/>
      <c r="SF93" s="7"/>
      <c r="SG93" s="7"/>
      <c r="SH93" s="7"/>
      <c r="SI93" s="7"/>
      <c r="SJ93" s="7"/>
      <c r="SK93" s="7"/>
      <c r="SL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  <c r="RZ94" s="7"/>
      <c r="SA94" s="7"/>
      <c r="SB94" s="7"/>
      <c r="SC94" s="7"/>
      <c r="SD94" s="7"/>
      <c r="SE94" s="7"/>
      <c r="SF94" s="7"/>
      <c r="SG94" s="7"/>
      <c r="SH94" s="7"/>
      <c r="SI94" s="7"/>
      <c r="SJ94" s="7"/>
      <c r="SK94" s="7"/>
      <c r="SL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  <c r="RZ95" s="7"/>
      <c r="SA95" s="7"/>
      <c r="SB95" s="7"/>
      <c r="SC95" s="7"/>
      <c r="SD95" s="7"/>
      <c r="SE95" s="7"/>
      <c r="SF95" s="7"/>
      <c r="SG95" s="7"/>
      <c r="SH95" s="7"/>
      <c r="SI95" s="7"/>
      <c r="SJ95" s="7"/>
      <c r="SK95" s="7"/>
      <c r="SL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  <c r="RZ96" s="7"/>
      <c r="SA96" s="7"/>
      <c r="SB96" s="7"/>
      <c r="SC96" s="7"/>
      <c r="SD96" s="7"/>
      <c r="SE96" s="7"/>
      <c r="SF96" s="7"/>
      <c r="SG96" s="7"/>
      <c r="SH96" s="7"/>
      <c r="SI96" s="7"/>
      <c r="SJ96" s="7"/>
      <c r="SK96" s="7"/>
      <c r="SL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  <c r="RZ97" s="7"/>
      <c r="SA97" s="7"/>
      <c r="SB97" s="7"/>
      <c r="SC97" s="7"/>
      <c r="SD97" s="7"/>
      <c r="SE97" s="7"/>
      <c r="SF97" s="7"/>
      <c r="SG97" s="7"/>
      <c r="SH97" s="7"/>
      <c r="SI97" s="7"/>
      <c r="SJ97" s="7"/>
      <c r="SK97" s="7"/>
      <c r="SL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  <c r="RZ98" s="7"/>
      <c r="SA98" s="7"/>
      <c r="SB98" s="7"/>
      <c r="SC98" s="7"/>
      <c r="SD98" s="7"/>
      <c r="SE98" s="7"/>
      <c r="SF98" s="7"/>
      <c r="SG98" s="7"/>
      <c r="SH98" s="7"/>
      <c r="SI98" s="7"/>
      <c r="SJ98" s="7"/>
      <c r="SK98" s="7"/>
      <c r="SL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  <c r="RZ99" s="7"/>
      <c r="SA99" s="7"/>
      <c r="SB99" s="7"/>
      <c r="SC99" s="7"/>
      <c r="SD99" s="7"/>
      <c r="SE99" s="7"/>
      <c r="SF99" s="7"/>
      <c r="SG99" s="7"/>
      <c r="SH99" s="7"/>
      <c r="SI99" s="7"/>
      <c r="SJ99" s="7"/>
      <c r="SK99" s="7"/>
      <c r="SL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  <c r="RZ100" s="7"/>
      <c r="SA100" s="7"/>
      <c r="SB100" s="7"/>
      <c r="SC100" s="7"/>
      <c r="SD100" s="7"/>
      <c r="SE100" s="7"/>
      <c r="SF100" s="7"/>
      <c r="SG100" s="7"/>
      <c r="SH100" s="7"/>
      <c r="SI100" s="7"/>
      <c r="SJ100" s="7"/>
      <c r="SK100" s="7"/>
      <c r="SL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  <c r="RZ101" s="7"/>
      <c r="SA101" s="7"/>
      <c r="SB101" s="7"/>
      <c r="SC101" s="7"/>
      <c r="SD101" s="7"/>
      <c r="SE101" s="7"/>
      <c r="SF101" s="7"/>
      <c r="SG101" s="7"/>
      <c r="SH101" s="7"/>
      <c r="SI101" s="7"/>
      <c r="SJ101" s="7"/>
      <c r="SK101" s="7"/>
      <c r="SL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  <c r="RZ102" s="7"/>
      <c r="SA102" s="7"/>
      <c r="SB102" s="7"/>
      <c r="SC102" s="7"/>
      <c r="SD102" s="7"/>
      <c r="SE102" s="7"/>
      <c r="SF102" s="7"/>
      <c r="SG102" s="7"/>
      <c r="SH102" s="7"/>
      <c r="SI102" s="7"/>
      <c r="SJ102" s="7"/>
      <c r="SK102" s="7"/>
      <c r="SL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  <c r="RZ103" s="7"/>
      <c r="SA103" s="7"/>
      <c r="SB103" s="7"/>
      <c r="SC103" s="7"/>
      <c r="SD103" s="7"/>
      <c r="SE103" s="7"/>
      <c r="SF103" s="7"/>
      <c r="SG103" s="7"/>
      <c r="SH103" s="7"/>
      <c r="SI103" s="7"/>
      <c r="SJ103" s="7"/>
      <c r="SK103" s="7"/>
      <c r="SL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  <c r="RZ104" s="7"/>
      <c r="SA104" s="7"/>
      <c r="SB104" s="7"/>
      <c r="SC104" s="7"/>
      <c r="SD104" s="7"/>
      <c r="SE104" s="7"/>
      <c r="SF104" s="7"/>
      <c r="SG104" s="7"/>
      <c r="SH104" s="7"/>
      <c r="SI104" s="7"/>
      <c r="SJ104" s="7"/>
      <c r="SK104" s="7"/>
      <c r="SL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  <c r="RZ105" s="7"/>
      <c r="SA105" s="7"/>
      <c r="SB105" s="7"/>
      <c r="SC105" s="7"/>
      <c r="SD105" s="7"/>
      <c r="SE105" s="7"/>
      <c r="SF105" s="7"/>
      <c r="SG105" s="7"/>
      <c r="SH105" s="7"/>
      <c r="SI105" s="7"/>
      <c r="SJ105" s="7"/>
      <c r="SK105" s="7"/>
      <c r="SL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  <c r="RZ106" s="7"/>
      <c r="SA106" s="7"/>
      <c r="SB106" s="7"/>
      <c r="SC106" s="7"/>
      <c r="SD106" s="7"/>
      <c r="SE106" s="7"/>
      <c r="SF106" s="7"/>
      <c r="SG106" s="7"/>
      <c r="SH106" s="7"/>
      <c r="SI106" s="7"/>
      <c r="SJ106" s="7"/>
      <c r="SK106" s="7"/>
      <c r="SL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  <c r="RZ107" s="7"/>
      <c r="SA107" s="7"/>
      <c r="SB107" s="7"/>
      <c r="SC107" s="7"/>
      <c r="SD107" s="7"/>
      <c r="SE107" s="7"/>
      <c r="SF107" s="7"/>
      <c r="SG107" s="7"/>
      <c r="SH107" s="7"/>
      <c r="SI107" s="7"/>
      <c r="SJ107" s="7"/>
      <c r="SK107" s="7"/>
      <c r="SL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  <c r="RZ108" s="7"/>
      <c r="SA108" s="7"/>
      <c r="SB108" s="7"/>
      <c r="SC108" s="7"/>
      <c r="SD108" s="7"/>
      <c r="SE108" s="7"/>
      <c r="SF108" s="7"/>
      <c r="SG108" s="7"/>
      <c r="SH108" s="7"/>
      <c r="SI108" s="7"/>
      <c r="SJ108" s="7"/>
      <c r="SK108" s="7"/>
      <c r="SL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  <c r="RZ109" s="7"/>
      <c r="SA109" s="7"/>
      <c r="SB109" s="7"/>
      <c r="SC109" s="7"/>
      <c r="SD109" s="7"/>
      <c r="SE109" s="7"/>
      <c r="SF109" s="7"/>
      <c r="SG109" s="7"/>
      <c r="SH109" s="7"/>
      <c r="SI109" s="7"/>
      <c r="SJ109" s="7"/>
      <c r="SK109" s="7"/>
      <c r="SL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  <c r="RZ110" s="7"/>
      <c r="SA110" s="7"/>
      <c r="SB110" s="7"/>
      <c r="SC110" s="7"/>
      <c r="SD110" s="7"/>
      <c r="SE110" s="7"/>
      <c r="SF110" s="7"/>
      <c r="SG110" s="7"/>
      <c r="SH110" s="7"/>
      <c r="SI110" s="7"/>
      <c r="SJ110" s="7"/>
      <c r="SK110" s="7"/>
      <c r="SL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  <c r="RZ111" s="7"/>
      <c r="SA111" s="7"/>
      <c r="SB111" s="7"/>
      <c r="SC111" s="7"/>
      <c r="SD111" s="7"/>
      <c r="SE111" s="7"/>
      <c r="SF111" s="7"/>
      <c r="SG111" s="7"/>
      <c r="SH111" s="7"/>
      <c r="SI111" s="7"/>
      <c r="SJ111" s="7"/>
      <c r="SK111" s="7"/>
      <c r="SL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  <c r="RZ112" s="7"/>
      <c r="SA112" s="7"/>
      <c r="SB112" s="7"/>
      <c r="SC112" s="7"/>
      <c r="SD112" s="7"/>
      <c r="SE112" s="7"/>
      <c r="SF112" s="7"/>
      <c r="SG112" s="7"/>
      <c r="SH112" s="7"/>
      <c r="SI112" s="7"/>
      <c r="SJ112" s="7"/>
      <c r="SK112" s="7"/>
      <c r="SL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  <c r="RZ113" s="7"/>
      <c r="SA113" s="7"/>
      <c r="SB113" s="7"/>
      <c r="SC113" s="7"/>
      <c r="SD113" s="7"/>
      <c r="SE113" s="7"/>
      <c r="SF113" s="7"/>
      <c r="SG113" s="7"/>
      <c r="SH113" s="7"/>
      <c r="SI113" s="7"/>
      <c r="SJ113" s="7"/>
      <c r="SK113" s="7"/>
      <c r="SL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  <c r="RZ114" s="7"/>
      <c r="SA114" s="7"/>
      <c r="SB114" s="7"/>
      <c r="SC114" s="7"/>
      <c r="SD114" s="7"/>
      <c r="SE114" s="7"/>
      <c r="SF114" s="7"/>
      <c r="SG114" s="7"/>
      <c r="SH114" s="7"/>
      <c r="SI114" s="7"/>
      <c r="SJ114" s="7"/>
      <c r="SK114" s="7"/>
      <c r="SL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  <c r="RZ115" s="7"/>
      <c r="SA115" s="7"/>
      <c r="SB115" s="7"/>
      <c r="SC115" s="7"/>
      <c r="SD115" s="7"/>
      <c r="SE115" s="7"/>
      <c r="SF115" s="7"/>
      <c r="SG115" s="7"/>
      <c r="SH115" s="7"/>
      <c r="SI115" s="7"/>
      <c r="SJ115" s="7"/>
      <c r="SK115" s="7"/>
      <c r="SL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  <c r="RZ116" s="7"/>
      <c r="SA116" s="7"/>
      <c r="SB116" s="7"/>
      <c r="SC116" s="7"/>
      <c r="SD116" s="7"/>
      <c r="SE116" s="7"/>
      <c r="SF116" s="7"/>
      <c r="SG116" s="7"/>
      <c r="SH116" s="7"/>
      <c r="SI116" s="7"/>
      <c r="SJ116" s="7"/>
      <c r="SK116" s="7"/>
      <c r="SL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  <c r="RZ117" s="7"/>
      <c r="SA117" s="7"/>
      <c r="SB117" s="7"/>
      <c r="SC117" s="7"/>
      <c r="SD117" s="7"/>
      <c r="SE117" s="7"/>
      <c r="SF117" s="7"/>
      <c r="SG117" s="7"/>
      <c r="SH117" s="7"/>
      <c r="SI117" s="7"/>
      <c r="SJ117" s="7"/>
      <c r="SK117" s="7"/>
      <c r="SL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  <c r="RZ118" s="7"/>
      <c r="SA118" s="7"/>
      <c r="SB118" s="7"/>
      <c r="SC118" s="7"/>
      <c r="SD118" s="7"/>
      <c r="SE118" s="7"/>
      <c r="SF118" s="7"/>
      <c r="SG118" s="7"/>
      <c r="SH118" s="7"/>
      <c r="SI118" s="7"/>
      <c r="SJ118" s="7"/>
      <c r="SK118" s="7"/>
      <c r="SL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  <c r="RZ119" s="7"/>
      <c r="SA119" s="7"/>
      <c r="SB119" s="7"/>
      <c r="SC119" s="7"/>
      <c r="SD119" s="7"/>
      <c r="SE119" s="7"/>
      <c r="SF119" s="7"/>
      <c r="SG119" s="7"/>
      <c r="SH119" s="7"/>
      <c r="SI119" s="7"/>
      <c r="SJ119" s="7"/>
      <c r="SK119" s="7"/>
      <c r="SL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  <c r="RZ120" s="7"/>
      <c r="SA120" s="7"/>
      <c r="SB120" s="7"/>
      <c r="SC120" s="7"/>
      <c r="SD120" s="7"/>
      <c r="SE120" s="7"/>
      <c r="SF120" s="7"/>
      <c r="SG120" s="7"/>
      <c r="SH120" s="7"/>
      <c r="SI120" s="7"/>
      <c r="SJ120" s="7"/>
      <c r="SK120" s="7"/>
      <c r="SL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  <c r="RZ121" s="7"/>
      <c r="SA121" s="7"/>
      <c r="SB121" s="7"/>
      <c r="SC121" s="7"/>
      <c r="SD121" s="7"/>
      <c r="SE121" s="7"/>
      <c r="SF121" s="7"/>
      <c r="SG121" s="7"/>
      <c r="SH121" s="7"/>
      <c r="SI121" s="7"/>
      <c r="SJ121" s="7"/>
      <c r="SK121" s="7"/>
      <c r="SL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  <c r="RZ122" s="7"/>
      <c r="SA122" s="7"/>
      <c r="SB122" s="7"/>
      <c r="SC122" s="7"/>
      <c r="SD122" s="7"/>
      <c r="SE122" s="7"/>
      <c r="SF122" s="7"/>
      <c r="SG122" s="7"/>
      <c r="SH122" s="7"/>
      <c r="SI122" s="7"/>
      <c r="SJ122" s="7"/>
      <c r="SK122" s="7"/>
      <c r="SL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  <c r="RZ123" s="7"/>
      <c r="SA123" s="7"/>
      <c r="SB123" s="7"/>
      <c r="SC123" s="7"/>
      <c r="SD123" s="7"/>
      <c r="SE123" s="7"/>
      <c r="SF123" s="7"/>
      <c r="SG123" s="7"/>
      <c r="SH123" s="7"/>
      <c r="SI123" s="7"/>
      <c r="SJ123" s="7"/>
      <c r="SK123" s="7"/>
      <c r="SL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  <c r="RZ124" s="7"/>
      <c r="SA124" s="7"/>
      <c r="SB124" s="7"/>
      <c r="SC124" s="7"/>
      <c r="SD124" s="7"/>
      <c r="SE124" s="7"/>
      <c r="SF124" s="7"/>
      <c r="SG124" s="7"/>
      <c r="SH124" s="7"/>
      <c r="SI124" s="7"/>
      <c r="SJ124" s="7"/>
      <c r="SK124" s="7"/>
      <c r="SL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  <c r="RZ125" s="7"/>
      <c r="SA125" s="7"/>
      <c r="SB125" s="7"/>
      <c r="SC125" s="7"/>
      <c r="SD125" s="7"/>
      <c r="SE125" s="7"/>
      <c r="SF125" s="7"/>
      <c r="SG125" s="7"/>
      <c r="SH125" s="7"/>
      <c r="SI125" s="7"/>
      <c r="SJ125" s="7"/>
      <c r="SK125" s="7"/>
      <c r="SL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  <c r="RZ126" s="7"/>
      <c r="SA126" s="7"/>
      <c r="SB126" s="7"/>
      <c r="SC126" s="7"/>
      <c r="SD126" s="7"/>
      <c r="SE126" s="7"/>
      <c r="SF126" s="7"/>
      <c r="SG126" s="7"/>
      <c r="SH126" s="7"/>
      <c r="SI126" s="7"/>
      <c r="SJ126" s="7"/>
      <c r="SK126" s="7"/>
      <c r="SL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  <c r="RZ127" s="7"/>
      <c r="SA127" s="7"/>
      <c r="SB127" s="7"/>
      <c r="SC127" s="7"/>
      <c r="SD127" s="7"/>
      <c r="SE127" s="7"/>
      <c r="SF127" s="7"/>
      <c r="SG127" s="7"/>
      <c r="SH127" s="7"/>
      <c r="SI127" s="7"/>
      <c r="SJ127" s="7"/>
      <c r="SK127" s="7"/>
      <c r="SL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  <c r="RZ128" s="7"/>
      <c r="SA128" s="7"/>
      <c r="SB128" s="7"/>
      <c r="SC128" s="7"/>
      <c r="SD128" s="7"/>
      <c r="SE128" s="7"/>
      <c r="SF128" s="7"/>
      <c r="SG128" s="7"/>
      <c r="SH128" s="7"/>
      <c r="SI128" s="7"/>
      <c r="SJ128" s="7"/>
      <c r="SK128" s="7"/>
      <c r="SL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  <c r="RZ129" s="7"/>
      <c r="SA129" s="7"/>
      <c r="SB129" s="7"/>
      <c r="SC129" s="7"/>
      <c r="SD129" s="7"/>
      <c r="SE129" s="7"/>
      <c r="SF129" s="7"/>
      <c r="SG129" s="7"/>
      <c r="SH129" s="7"/>
      <c r="SI129" s="7"/>
      <c r="SJ129" s="7"/>
      <c r="SK129" s="7"/>
      <c r="SL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  <c r="RZ130" s="7"/>
      <c r="SA130" s="7"/>
      <c r="SB130" s="7"/>
      <c r="SC130" s="7"/>
      <c r="SD130" s="7"/>
      <c r="SE130" s="7"/>
      <c r="SF130" s="7"/>
      <c r="SG130" s="7"/>
      <c r="SH130" s="7"/>
      <c r="SI130" s="7"/>
      <c r="SJ130" s="7"/>
      <c r="SK130" s="7"/>
      <c r="SL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  <c r="RZ131" s="7"/>
      <c r="SA131" s="7"/>
      <c r="SB131" s="7"/>
      <c r="SC131" s="7"/>
      <c r="SD131" s="7"/>
      <c r="SE131" s="7"/>
      <c r="SF131" s="7"/>
      <c r="SG131" s="7"/>
      <c r="SH131" s="7"/>
      <c r="SI131" s="7"/>
      <c r="SJ131" s="7"/>
      <c r="SK131" s="7"/>
      <c r="SL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  <c r="RZ132" s="7"/>
      <c r="SA132" s="7"/>
      <c r="SB132" s="7"/>
      <c r="SC132" s="7"/>
      <c r="SD132" s="7"/>
      <c r="SE132" s="7"/>
      <c r="SF132" s="7"/>
      <c r="SG132" s="7"/>
      <c r="SH132" s="7"/>
      <c r="SI132" s="7"/>
      <c r="SJ132" s="7"/>
      <c r="SK132" s="7"/>
      <c r="SL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  <c r="RZ133" s="7"/>
      <c r="SA133" s="7"/>
      <c r="SB133" s="7"/>
      <c r="SC133" s="7"/>
      <c r="SD133" s="7"/>
      <c r="SE133" s="7"/>
      <c r="SF133" s="7"/>
      <c r="SG133" s="7"/>
      <c r="SH133" s="7"/>
      <c r="SI133" s="7"/>
      <c r="SJ133" s="7"/>
      <c r="SK133" s="7"/>
      <c r="SL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  <c r="RZ134" s="7"/>
      <c r="SA134" s="7"/>
      <c r="SB134" s="7"/>
      <c r="SC134" s="7"/>
      <c r="SD134" s="7"/>
      <c r="SE134" s="7"/>
      <c r="SF134" s="7"/>
      <c r="SG134" s="7"/>
      <c r="SH134" s="7"/>
      <c r="SI134" s="7"/>
      <c r="SJ134" s="7"/>
      <c r="SK134" s="7"/>
      <c r="SL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  <c r="RZ135" s="7"/>
      <c r="SA135" s="7"/>
      <c r="SB135" s="7"/>
      <c r="SC135" s="7"/>
      <c r="SD135" s="7"/>
      <c r="SE135" s="7"/>
      <c r="SF135" s="7"/>
      <c r="SG135" s="7"/>
      <c r="SH135" s="7"/>
      <c r="SI135" s="7"/>
      <c r="SJ135" s="7"/>
      <c r="SK135" s="7"/>
      <c r="SL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  <c r="RZ136" s="7"/>
      <c r="SA136" s="7"/>
      <c r="SB136" s="7"/>
      <c r="SC136" s="7"/>
      <c r="SD136" s="7"/>
      <c r="SE136" s="7"/>
      <c r="SF136" s="7"/>
      <c r="SG136" s="7"/>
      <c r="SH136" s="7"/>
      <c r="SI136" s="7"/>
      <c r="SJ136" s="7"/>
      <c r="SK136" s="7"/>
      <c r="SL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  <c r="RZ137" s="7"/>
      <c r="SA137" s="7"/>
      <c r="SB137" s="7"/>
      <c r="SC137" s="7"/>
      <c r="SD137" s="7"/>
      <c r="SE137" s="7"/>
      <c r="SF137" s="7"/>
      <c r="SG137" s="7"/>
      <c r="SH137" s="7"/>
      <c r="SI137" s="7"/>
      <c r="SJ137" s="7"/>
      <c r="SK137" s="7"/>
      <c r="SL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  <c r="RZ138" s="7"/>
      <c r="SA138" s="7"/>
      <c r="SB138" s="7"/>
      <c r="SC138" s="7"/>
      <c r="SD138" s="7"/>
      <c r="SE138" s="7"/>
      <c r="SF138" s="7"/>
      <c r="SG138" s="7"/>
      <c r="SH138" s="7"/>
      <c r="SI138" s="7"/>
      <c r="SJ138" s="7"/>
      <c r="SK138" s="7"/>
      <c r="SL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  <c r="RZ139" s="7"/>
      <c r="SA139" s="7"/>
      <c r="SB139" s="7"/>
      <c r="SC139" s="7"/>
      <c r="SD139" s="7"/>
      <c r="SE139" s="7"/>
      <c r="SF139" s="7"/>
      <c r="SG139" s="7"/>
      <c r="SH139" s="7"/>
      <c r="SI139" s="7"/>
      <c r="SJ139" s="7"/>
      <c r="SK139" s="7"/>
      <c r="SL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  <c r="RZ140" s="7"/>
      <c r="SA140" s="7"/>
      <c r="SB140" s="7"/>
      <c r="SC140" s="7"/>
      <c r="SD140" s="7"/>
      <c r="SE140" s="7"/>
      <c r="SF140" s="7"/>
      <c r="SG140" s="7"/>
      <c r="SH140" s="7"/>
      <c r="SI140" s="7"/>
      <c r="SJ140" s="7"/>
      <c r="SK140" s="7"/>
      <c r="SL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  <c r="RZ141" s="7"/>
      <c r="SA141" s="7"/>
      <c r="SB141" s="7"/>
      <c r="SC141" s="7"/>
      <c r="SD141" s="7"/>
      <c r="SE141" s="7"/>
      <c r="SF141" s="7"/>
      <c r="SG141" s="7"/>
      <c r="SH141" s="7"/>
      <c r="SI141" s="7"/>
      <c r="SJ141" s="7"/>
      <c r="SK141" s="7"/>
      <c r="SL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  <c r="RZ142" s="7"/>
      <c r="SA142" s="7"/>
      <c r="SB142" s="7"/>
      <c r="SC142" s="7"/>
      <c r="SD142" s="7"/>
      <c r="SE142" s="7"/>
      <c r="SF142" s="7"/>
      <c r="SG142" s="7"/>
      <c r="SH142" s="7"/>
      <c r="SI142" s="7"/>
      <c r="SJ142" s="7"/>
      <c r="SK142" s="7"/>
      <c r="SL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  <c r="RZ143" s="7"/>
      <c r="SA143" s="7"/>
      <c r="SB143" s="7"/>
      <c r="SC143" s="7"/>
      <c r="SD143" s="7"/>
      <c r="SE143" s="7"/>
      <c r="SF143" s="7"/>
      <c r="SG143" s="7"/>
      <c r="SH143" s="7"/>
      <c r="SI143" s="7"/>
      <c r="SJ143" s="7"/>
      <c r="SK143" s="7"/>
      <c r="SL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  <c r="RZ144" s="7"/>
      <c r="SA144" s="7"/>
      <c r="SB144" s="7"/>
      <c r="SC144" s="7"/>
      <c r="SD144" s="7"/>
      <c r="SE144" s="7"/>
      <c r="SF144" s="7"/>
      <c r="SG144" s="7"/>
      <c r="SH144" s="7"/>
      <c r="SI144" s="7"/>
      <c r="SJ144" s="7"/>
      <c r="SK144" s="7"/>
      <c r="SL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  <c r="RZ145" s="7"/>
      <c r="SA145" s="7"/>
      <c r="SB145" s="7"/>
      <c r="SC145" s="7"/>
      <c r="SD145" s="7"/>
      <c r="SE145" s="7"/>
      <c r="SF145" s="7"/>
      <c r="SG145" s="7"/>
      <c r="SH145" s="7"/>
      <c r="SI145" s="7"/>
      <c r="SJ145" s="7"/>
      <c r="SK145" s="7"/>
      <c r="SL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  <c r="RZ146" s="7"/>
      <c r="SA146" s="7"/>
      <c r="SB146" s="7"/>
      <c r="SC146" s="7"/>
      <c r="SD146" s="7"/>
      <c r="SE146" s="7"/>
      <c r="SF146" s="7"/>
      <c r="SG146" s="7"/>
      <c r="SH146" s="7"/>
      <c r="SI146" s="7"/>
      <c r="SJ146" s="7"/>
      <c r="SK146" s="7"/>
      <c r="SL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  <c r="RZ147" s="7"/>
      <c r="SA147" s="7"/>
      <c r="SB147" s="7"/>
      <c r="SC147" s="7"/>
      <c r="SD147" s="7"/>
      <c r="SE147" s="7"/>
      <c r="SF147" s="7"/>
      <c r="SG147" s="7"/>
      <c r="SH147" s="7"/>
      <c r="SI147" s="7"/>
      <c r="SJ147" s="7"/>
      <c r="SK147" s="7"/>
      <c r="SL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  <c r="RZ148" s="7"/>
      <c r="SA148" s="7"/>
      <c r="SB148" s="7"/>
      <c r="SC148" s="7"/>
      <c r="SD148" s="7"/>
      <c r="SE148" s="7"/>
      <c r="SF148" s="7"/>
      <c r="SG148" s="7"/>
      <c r="SH148" s="7"/>
      <c r="SI148" s="7"/>
      <c r="SJ148" s="7"/>
      <c r="SK148" s="7"/>
      <c r="SL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  <c r="RZ149" s="7"/>
      <c r="SA149" s="7"/>
      <c r="SB149" s="7"/>
      <c r="SC149" s="7"/>
      <c r="SD149" s="7"/>
      <c r="SE149" s="7"/>
      <c r="SF149" s="7"/>
      <c r="SG149" s="7"/>
      <c r="SH149" s="7"/>
      <c r="SI149" s="7"/>
      <c r="SJ149" s="7"/>
      <c r="SK149" s="7"/>
      <c r="SL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  <c r="RZ150" s="7"/>
      <c r="SA150" s="7"/>
      <c r="SB150" s="7"/>
      <c r="SC150" s="7"/>
      <c r="SD150" s="7"/>
      <c r="SE150" s="7"/>
      <c r="SF150" s="7"/>
      <c r="SG150" s="7"/>
      <c r="SH150" s="7"/>
      <c r="SI150" s="7"/>
      <c r="SJ150" s="7"/>
      <c r="SK150" s="7"/>
      <c r="SL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  <c r="RZ151" s="7"/>
      <c r="SA151" s="7"/>
      <c r="SB151" s="7"/>
      <c r="SC151" s="7"/>
      <c r="SD151" s="7"/>
      <c r="SE151" s="7"/>
      <c r="SF151" s="7"/>
      <c r="SG151" s="7"/>
      <c r="SH151" s="7"/>
      <c r="SI151" s="7"/>
      <c r="SJ151" s="7"/>
      <c r="SK151" s="7"/>
      <c r="SL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  <c r="RZ152" s="7"/>
      <c r="SA152" s="7"/>
      <c r="SB152" s="7"/>
      <c r="SC152" s="7"/>
      <c r="SD152" s="7"/>
      <c r="SE152" s="7"/>
      <c r="SF152" s="7"/>
      <c r="SG152" s="7"/>
      <c r="SH152" s="7"/>
      <c r="SI152" s="7"/>
      <c r="SJ152" s="7"/>
      <c r="SK152" s="7"/>
      <c r="SL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  <c r="RZ153" s="7"/>
      <c r="SA153" s="7"/>
      <c r="SB153" s="7"/>
      <c r="SC153" s="7"/>
      <c r="SD153" s="7"/>
      <c r="SE153" s="7"/>
      <c r="SF153" s="7"/>
      <c r="SG153" s="7"/>
      <c r="SH153" s="7"/>
      <c r="SI153" s="7"/>
      <c r="SJ153" s="7"/>
      <c r="SK153" s="7"/>
      <c r="SL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  <c r="RZ154" s="7"/>
      <c r="SA154" s="7"/>
      <c r="SB154" s="7"/>
      <c r="SC154" s="7"/>
      <c r="SD154" s="7"/>
      <c r="SE154" s="7"/>
      <c r="SF154" s="7"/>
      <c r="SG154" s="7"/>
      <c r="SH154" s="7"/>
      <c r="SI154" s="7"/>
      <c r="SJ154" s="7"/>
      <c r="SK154" s="7"/>
      <c r="SL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  <c r="RZ155" s="7"/>
      <c r="SA155" s="7"/>
      <c r="SB155" s="7"/>
      <c r="SC155" s="7"/>
      <c r="SD155" s="7"/>
      <c r="SE155" s="7"/>
      <c r="SF155" s="7"/>
      <c r="SG155" s="7"/>
      <c r="SH155" s="7"/>
      <c r="SI155" s="7"/>
      <c r="SJ155" s="7"/>
      <c r="SK155" s="7"/>
      <c r="SL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  <c r="RZ156" s="7"/>
      <c r="SA156" s="7"/>
      <c r="SB156" s="7"/>
      <c r="SC156" s="7"/>
      <c r="SD156" s="7"/>
      <c r="SE156" s="7"/>
      <c r="SF156" s="7"/>
      <c r="SG156" s="7"/>
      <c r="SH156" s="7"/>
      <c r="SI156" s="7"/>
      <c r="SJ156" s="7"/>
      <c r="SK156" s="7"/>
      <c r="SL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  <c r="RZ157" s="7"/>
      <c r="SA157" s="7"/>
      <c r="SB157" s="7"/>
      <c r="SC157" s="7"/>
      <c r="SD157" s="7"/>
      <c r="SE157" s="7"/>
      <c r="SF157" s="7"/>
      <c r="SG157" s="7"/>
      <c r="SH157" s="7"/>
      <c r="SI157" s="7"/>
      <c r="SJ157" s="7"/>
      <c r="SK157" s="7"/>
      <c r="SL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  <c r="RZ158" s="7"/>
      <c r="SA158" s="7"/>
      <c r="SB158" s="7"/>
      <c r="SC158" s="7"/>
      <c r="SD158" s="7"/>
      <c r="SE158" s="7"/>
      <c r="SF158" s="7"/>
      <c r="SG158" s="7"/>
      <c r="SH158" s="7"/>
      <c r="SI158" s="7"/>
      <c r="SJ158" s="7"/>
      <c r="SK158" s="7"/>
      <c r="SL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  <c r="RZ159" s="7"/>
      <c r="SA159" s="7"/>
      <c r="SB159" s="7"/>
      <c r="SC159" s="7"/>
      <c r="SD159" s="7"/>
      <c r="SE159" s="7"/>
      <c r="SF159" s="7"/>
      <c r="SG159" s="7"/>
      <c r="SH159" s="7"/>
      <c r="SI159" s="7"/>
      <c r="SJ159" s="7"/>
      <c r="SK159" s="7"/>
      <c r="SL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  <c r="RZ160" s="7"/>
      <c r="SA160" s="7"/>
      <c r="SB160" s="7"/>
      <c r="SC160" s="7"/>
      <c r="SD160" s="7"/>
      <c r="SE160" s="7"/>
      <c r="SF160" s="7"/>
      <c r="SG160" s="7"/>
      <c r="SH160" s="7"/>
      <c r="SI160" s="7"/>
      <c r="SJ160" s="7"/>
      <c r="SK160" s="7"/>
      <c r="SL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  <c r="RZ161" s="7"/>
      <c r="SA161" s="7"/>
      <c r="SB161" s="7"/>
      <c r="SC161" s="7"/>
      <c r="SD161" s="7"/>
      <c r="SE161" s="7"/>
      <c r="SF161" s="7"/>
      <c r="SG161" s="7"/>
      <c r="SH161" s="7"/>
      <c r="SI161" s="7"/>
      <c r="SJ161" s="7"/>
      <c r="SK161" s="7"/>
      <c r="SL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  <c r="RZ162" s="7"/>
      <c r="SA162" s="7"/>
      <c r="SB162" s="7"/>
      <c r="SC162" s="7"/>
      <c r="SD162" s="7"/>
      <c r="SE162" s="7"/>
      <c r="SF162" s="7"/>
      <c r="SG162" s="7"/>
      <c r="SH162" s="7"/>
      <c r="SI162" s="7"/>
      <c r="SJ162" s="7"/>
      <c r="SK162" s="7"/>
      <c r="SL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  <c r="RZ163" s="7"/>
      <c r="SA163" s="7"/>
      <c r="SB163" s="7"/>
      <c r="SC163" s="7"/>
      <c r="SD163" s="7"/>
      <c r="SE163" s="7"/>
      <c r="SF163" s="7"/>
      <c r="SG163" s="7"/>
      <c r="SH163" s="7"/>
      <c r="SI163" s="7"/>
      <c r="SJ163" s="7"/>
      <c r="SK163" s="7"/>
      <c r="SL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  <c r="RZ164" s="7"/>
      <c r="SA164" s="7"/>
      <c r="SB164" s="7"/>
      <c r="SC164" s="7"/>
      <c r="SD164" s="7"/>
      <c r="SE164" s="7"/>
      <c r="SF164" s="7"/>
      <c r="SG164" s="7"/>
      <c r="SH164" s="7"/>
      <c r="SI164" s="7"/>
      <c r="SJ164" s="7"/>
      <c r="SK164" s="7"/>
      <c r="SL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  <c r="RZ165" s="7"/>
      <c r="SA165" s="7"/>
      <c r="SB165" s="7"/>
      <c r="SC165" s="7"/>
      <c r="SD165" s="7"/>
      <c r="SE165" s="7"/>
      <c r="SF165" s="7"/>
      <c r="SG165" s="7"/>
      <c r="SH165" s="7"/>
      <c r="SI165" s="7"/>
      <c r="SJ165" s="7"/>
      <c r="SK165" s="7"/>
      <c r="SL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  <c r="RZ166" s="7"/>
      <c r="SA166" s="7"/>
      <c r="SB166" s="7"/>
      <c r="SC166" s="7"/>
      <c r="SD166" s="7"/>
      <c r="SE166" s="7"/>
      <c r="SF166" s="7"/>
      <c r="SG166" s="7"/>
      <c r="SH166" s="7"/>
      <c r="SI166" s="7"/>
      <c r="SJ166" s="7"/>
      <c r="SK166" s="7"/>
      <c r="SL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  <c r="RZ167" s="7"/>
      <c r="SA167" s="7"/>
      <c r="SB167" s="7"/>
      <c r="SC167" s="7"/>
      <c r="SD167" s="7"/>
      <c r="SE167" s="7"/>
      <c r="SF167" s="7"/>
      <c r="SG167" s="7"/>
      <c r="SH167" s="7"/>
      <c r="SI167" s="7"/>
      <c r="SJ167" s="7"/>
      <c r="SK167" s="7"/>
      <c r="SL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  <c r="RZ168" s="7"/>
      <c r="SA168" s="7"/>
      <c r="SB168" s="7"/>
      <c r="SC168" s="7"/>
      <c r="SD168" s="7"/>
      <c r="SE168" s="7"/>
      <c r="SF168" s="7"/>
      <c r="SG168" s="7"/>
      <c r="SH168" s="7"/>
      <c r="SI168" s="7"/>
      <c r="SJ168" s="7"/>
      <c r="SK168" s="7"/>
      <c r="SL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  <c r="RZ169" s="7"/>
      <c r="SA169" s="7"/>
      <c r="SB169" s="7"/>
      <c r="SC169" s="7"/>
      <c r="SD169" s="7"/>
      <c r="SE169" s="7"/>
      <c r="SF169" s="7"/>
      <c r="SG169" s="7"/>
      <c r="SH169" s="7"/>
      <c r="SI169" s="7"/>
      <c r="SJ169" s="7"/>
      <c r="SK169" s="7"/>
      <c r="SL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  <c r="RZ170" s="7"/>
      <c r="SA170" s="7"/>
      <c r="SB170" s="7"/>
      <c r="SC170" s="7"/>
      <c r="SD170" s="7"/>
      <c r="SE170" s="7"/>
      <c r="SF170" s="7"/>
      <c r="SG170" s="7"/>
      <c r="SH170" s="7"/>
      <c r="SI170" s="7"/>
      <c r="SJ170" s="7"/>
      <c r="SK170" s="7"/>
      <c r="SL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  <c r="RZ171" s="7"/>
      <c r="SA171" s="7"/>
      <c r="SB171" s="7"/>
      <c r="SC171" s="7"/>
      <c r="SD171" s="7"/>
      <c r="SE171" s="7"/>
      <c r="SF171" s="7"/>
      <c r="SG171" s="7"/>
      <c r="SH171" s="7"/>
      <c r="SI171" s="7"/>
      <c r="SJ171" s="7"/>
      <c r="SK171" s="7"/>
      <c r="SL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  <c r="RZ172" s="7"/>
      <c r="SA172" s="7"/>
      <c r="SB172" s="7"/>
      <c r="SC172" s="7"/>
      <c r="SD172" s="7"/>
      <c r="SE172" s="7"/>
      <c r="SF172" s="7"/>
      <c r="SG172" s="7"/>
      <c r="SH172" s="7"/>
      <c r="SI172" s="7"/>
      <c r="SJ172" s="7"/>
      <c r="SK172" s="7"/>
      <c r="SL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  <c r="RZ173" s="7"/>
      <c r="SA173" s="7"/>
      <c r="SB173" s="7"/>
      <c r="SC173" s="7"/>
      <c r="SD173" s="7"/>
      <c r="SE173" s="7"/>
      <c r="SF173" s="7"/>
      <c r="SG173" s="7"/>
      <c r="SH173" s="7"/>
      <c r="SI173" s="7"/>
      <c r="SJ173" s="7"/>
      <c r="SK173" s="7"/>
      <c r="SL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  <c r="RZ174" s="7"/>
      <c r="SA174" s="7"/>
      <c r="SB174" s="7"/>
      <c r="SC174" s="7"/>
      <c r="SD174" s="7"/>
      <c r="SE174" s="7"/>
      <c r="SF174" s="7"/>
      <c r="SG174" s="7"/>
      <c r="SH174" s="7"/>
      <c r="SI174" s="7"/>
      <c r="SJ174" s="7"/>
      <c r="SK174" s="7"/>
      <c r="SL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  <c r="RZ175" s="7"/>
      <c r="SA175" s="7"/>
      <c r="SB175" s="7"/>
      <c r="SC175" s="7"/>
      <c r="SD175" s="7"/>
      <c r="SE175" s="7"/>
      <c r="SF175" s="7"/>
      <c r="SG175" s="7"/>
      <c r="SH175" s="7"/>
      <c r="SI175" s="7"/>
      <c r="SJ175" s="7"/>
      <c r="SK175" s="7"/>
      <c r="SL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  <c r="RZ176" s="7"/>
      <c r="SA176" s="7"/>
      <c r="SB176" s="7"/>
      <c r="SC176" s="7"/>
      <c r="SD176" s="7"/>
      <c r="SE176" s="7"/>
      <c r="SF176" s="7"/>
      <c r="SG176" s="7"/>
      <c r="SH176" s="7"/>
      <c r="SI176" s="7"/>
      <c r="SJ176" s="7"/>
      <c r="SK176" s="7"/>
      <c r="SL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  <c r="RZ177" s="7"/>
      <c r="SA177" s="7"/>
      <c r="SB177" s="7"/>
      <c r="SC177" s="7"/>
      <c r="SD177" s="7"/>
      <c r="SE177" s="7"/>
      <c r="SF177" s="7"/>
      <c r="SG177" s="7"/>
      <c r="SH177" s="7"/>
      <c r="SI177" s="7"/>
      <c r="SJ177" s="7"/>
      <c r="SK177" s="7"/>
      <c r="SL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  <c r="RZ178" s="7"/>
      <c r="SA178" s="7"/>
      <c r="SB178" s="7"/>
      <c r="SC178" s="7"/>
      <c r="SD178" s="7"/>
      <c r="SE178" s="7"/>
      <c r="SF178" s="7"/>
      <c r="SG178" s="7"/>
      <c r="SH178" s="7"/>
      <c r="SI178" s="7"/>
      <c r="SJ178" s="7"/>
      <c r="SK178" s="7"/>
      <c r="SL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  <c r="RZ179" s="7"/>
      <c r="SA179" s="7"/>
      <c r="SB179" s="7"/>
      <c r="SC179" s="7"/>
      <c r="SD179" s="7"/>
      <c r="SE179" s="7"/>
      <c r="SF179" s="7"/>
      <c r="SG179" s="7"/>
      <c r="SH179" s="7"/>
      <c r="SI179" s="7"/>
      <c r="SJ179" s="7"/>
      <c r="SK179" s="7"/>
      <c r="SL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  <c r="RZ180" s="7"/>
      <c r="SA180" s="7"/>
      <c r="SB180" s="7"/>
      <c r="SC180" s="7"/>
      <c r="SD180" s="7"/>
      <c r="SE180" s="7"/>
      <c r="SF180" s="7"/>
      <c r="SG180" s="7"/>
      <c r="SH180" s="7"/>
      <c r="SI180" s="7"/>
      <c r="SJ180" s="7"/>
      <c r="SK180" s="7"/>
      <c r="SL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  <c r="RZ181" s="7"/>
      <c r="SA181" s="7"/>
      <c r="SB181" s="7"/>
      <c r="SC181" s="7"/>
      <c r="SD181" s="7"/>
      <c r="SE181" s="7"/>
      <c r="SF181" s="7"/>
      <c r="SG181" s="7"/>
      <c r="SH181" s="7"/>
      <c r="SI181" s="7"/>
      <c r="SJ181" s="7"/>
      <c r="SK181" s="7"/>
      <c r="SL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  <c r="RZ182" s="7"/>
      <c r="SA182" s="7"/>
      <c r="SB182" s="7"/>
      <c r="SC182" s="7"/>
      <c r="SD182" s="7"/>
      <c r="SE182" s="7"/>
      <c r="SF182" s="7"/>
      <c r="SG182" s="7"/>
      <c r="SH182" s="7"/>
      <c r="SI182" s="7"/>
      <c r="SJ182" s="7"/>
      <c r="SK182" s="7"/>
      <c r="SL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  <c r="RZ183" s="7"/>
      <c r="SA183" s="7"/>
      <c r="SB183" s="7"/>
      <c r="SC183" s="7"/>
      <c r="SD183" s="7"/>
      <c r="SE183" s="7"/>
      <c r="SF183" s="7"/>
      <c r="SG183" s="7"/>
      <c r="SH183" s="7"/>
      <c r="SI183" s="7"/>
      <c r="SJ183" s="7"/>
      <c r="SK183" s="7"/>
      <c r="SL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  <c r="RZ184" s="7"/>
      <c r="SA184" s="7"/>
      <c r="SB184" s="7"/>
      <c r="SC184" s="7"/>
      <c r="SD184" s="7"/>
      <c r="SE184" s="7"/>
      <c r="SF184" s="7"/>
      <c r="SG184" s="7"/>
      <c r="SH184" s="7"/>
      <c r="SI184" s="7"/>
      <c r="SJ184" s="7"/>
      <c r="SK184" s="7"/>
      <c r="SL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  <c r="RZ185" s="7"/>
      <c r="SA185" s="7"/>
      <c r="SB185" s="7"/>
      <c r="SC185" s="7"/>
      <c r="SD185" s="7"/>
      <c r="SE185" s="7"/>
      <c r="SF185" s="7"/>
      <c r="SG185" s="7"/>
      <c r="SH185" s="7"/>
      <c r="SI185" s="7"/>
      <c r="SJ185" s="7"/>
      <c r="SK185" s="7"/>
      <c r="SL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  <c r="RZ186" s="7"/>
      <c r="SA186" s="7"/>
      <c r="SB186" s="7"/>
      <c r="SC186" s="7"/>
      <c r="SD186" s="7"/>
      <c r="SE186" s="7"/>
      <c r="SF186" s="7"/>
      <c r="SG186" s="7"/>
      <c r="SH186" s="7"/>
      <c r="SI186" s="7"/>
      <c r="SJ186" s="7"/>
      <c r="SK186" s="7"/>
      <c r="SL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  <c r="RZ187" s="7"/>
      <c r="SA187" s="7"/>
      <c r="SB187" s="7"/>
      <c r="SC187" s="7"/>
      <c r="SD187" s="7"/>
      <c r="SE187" s="7"/>
      <c r="SF187" s="7"/>
      <c r="SG187" s="7"/>
      <c r="SH187" s="7"/>
      <c r="SI187" s="7"/>
      <c r="SJ187" s="7"/>
      <c r="SK187" s="7"/>
      <c r="SL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  <c r="RZ188" s="7"/>
      <c r="SA188" s="7"/>
      <c r="SB188" s="7"/>
      <c r="SC188" s="7"/>
      <c r="SD188" s="7"/>
      <c r="SE188" s="7"/>
      <c r="SF188" s="7"/>
      <c r="SG188" s="7"/>
      <c r="SH188" s="7"/>
      <c r="SI188" s="7"/>
      <c r="SJ188" s="7"/>
      <c r="SK188" s="7"/>
      <c r="SL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  <c r="RZ189" s="7"/>
      <c r="SA189" s="7"/>
      <c r="SB189" s="7"/>
      <c r="SC189" s="7"/>
      <c r="SD189" s="7"/>
      <c r="SE189" s="7"/>
      <c r="SF189" s="7"/>
      <c r="SG189" s="7"/>
      <c r="SH189" s="7"/>
      <c r="SI189" s="7"/>
      <c r="SJ189" s="7"/>
      <c r="SK189" s="7"/>
      <c r="SL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  <c r="RZ190" s="7"/>
      <c r="SA190" s="7"/>
      <c r="SB190" s="7"/>
      <c r="SC190" s="7"/>
      <c r="SD190" s="7"/>
      <c r="SE190" s="7"/>
      <c r="SF190" s="7"/>
      <c r="SG190" s="7"/>
      <c r="SH190" s="7"/>
      <c r="SI190" s="7"/>
      <c r="SJ190" s="7"/>
      <c r="SK190" s="7"/>
      <c r="SL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  <c r="RZ191" s="7"/>
      <c r="SA191" s="7"/>
      <c r="SB191" s="7"/>
      <c r="SC191" s="7"/>
      <c r="SD191" s="7"/>
      <c r="SE191" s="7"/>
      <c r="SF191" s="7"/>
      <c r="SG191" s="7"/>
      <c r="SH191" s="7"/>
      <c r="SI191" s="7"/>
      <c r="SJ191" s="7"/>
      <c r="SK191" s="7"/>
      <c r="SL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  <c r="RZ192" s="7"/>
      <c r="SA192" s="7"/>
      <c r="SB192" s="7"/>
      <c r="SC192" s="7"/>
      <c r="SD192" s="7"/>
      <c r="SE192" s="7"/>
      <c r="SF192" s="7"/>
      <c r="SG192" s="7"/>
      <c r="SH192" s="7"/>
      <c r="SI192" s="7"/>
      <c r="SJ192" s="7"/>
      <c r="SK192" s="7"/>
      <c r="SL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  <c r="RZ193" s="7"/>
      <c r="SA193" s="7"/>
      <c r="SB193" s="7"/>
      <c r="SC193" s="7"/>
      <c r="SD193" s="7"/>
      <c r="SE193" s="7"/>
      <c r="SF193" s="7"/>
      <c r="SG193" s="7"/>
      <c r="SH193" s="7"/>
      <c r="SI193" s="7"/>
      <c r="SJ193" s="7"/>
      <c r="SK193" s="7"/>
      <c r="SL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  <c r="RZ194" s="7"/>
      <c r="SA194" s="7"/>
      <c r="SB194" s="7"/>
      <c r="SC194" s="7"/>
      <c r="SD194" s="7"/>
      <c r="SE194" s="7"/>
      <c r="SF194" s="7"/>
      <c r="SG194" s="7"/>
      <c r="SH194" s="7"/>
      <c r="SI194" s="7"/>
      <c r="SJ194" s="7"/>
      <c r="SK194" s="7"/>
      <c r="SL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  <c r="RZ195" s="7"/>
      <c r="SA195" s="7"/>
      <c r="SB195" s="7"/>
      <c r="SC195" s="7"/>
      <c r="SD195" s="7"/>
      <c r="SE195" s="7"/>
      <c r="SF195" s="7"/>
      <c r="SG195" s="7"/>
      <c r="SH195" s="7"/>
      <c r="SI195" s="7"/>
      <c r="SJ195" s="7"/>
      <c r="SK195" s="7"/>
      <c r="SL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  <c r="RZ196" s="7"/>
      <c r="SA196" s="7"/>
      <c r="SB196" s="7"/>
      <c r="SC196" s="7"/>
      <c r="SD196" s="7"/>
      <c r="SE196" s="7"/>
      <c r="SF196" s="7"/>
      <c r="SG196" s="7"/>
      <c r="SH196" s="7"/>
      <c r="SI196" s="7"/>
      <c r="SJ196" s="7"/>
      <c r="SK196" s="7"/>
      <c r="SL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  <c r="RZ197" s="7"/>
      <c r="SA197" s="7"/>
      <c r="SB197" s="7"/>
      <c r="SC197" s="7"/>
      <c r="SD197" s="7"/>
      <c r="SE197" s="7"/>
      <c r="SF197" s="7"/>
      <c r="SG197" s="7"/>
      <c r="SH197" s="7"/>
      <c r="SI197" s="7"/>
      <c r="SJ197" s="7"/>
      <c r="SK197" s="7"/>
      <c r="SL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  <c r="RZ198" s="7"/>
      <c r="SA198" s="7"/>
      <c r="SB198" s="7"/>
      <c r="SC198" s="7"/>
      <c r="SD198" s="7"/>
      <c r="SE198" s="7"/>
      <c r="SF198" s="7"/>
      <c r="SG198" s="7"/>
      <c r="SH198" s="7"/>
      <c r="SI198" s="7"/>
      <c r="SJ198" s="7"/>
      <c r="SK198" s="7"/>
      <c r="SL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  <c r="RZ199" s="7"/>
      <c r="SA199" s="7"/>
      <c r="SB199" s="7"/>
      <c r="SC199" s="7"/>
      <c r="SD199" s="7"/>
      <c r="SE199" s="7"/>
      <c r="SF199" s="7"/>
      <c r="SG199" s="7"/>
      <c r="SH199" s="7"/>
      <c r="SI199" s="7"/>
      <c r="SJ199" s="7"/>
      <c r="SK199" s="7"/>
      <c r="SL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  <c r="RZ200" s="7"/>
      <c r="SA200" s="7"/>
      <c r="SB200" s="7"/>
      <c r="SC200" s="7"/>
      <c r="SD200" s="7"/>
      <c r="SE200" s="7"/>
      <c r="SF200" s="7"/>
      <c r="SG200" s="7"/>
      <c r="SH200" s="7"/>
      <c r="SI200" s="7"/>
      <c r="SJ200" s="7"/>
      <c r="SK200" s="7"/>
      <c r="SL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  <c r="RZ201" s="7"/>
      <c r="SA201" s="7"/>
      <c r="SB201" s="7"/>
      <c r="SC201" s="7"/>
      <c r="SD201" s="7"/>
      <c r="SE201" s="7"/>
      <c r="SF201" s="7"/>
      <c r="SG201" s="7"/>
      <c r="SH201" s="7"/>
      <c r="SI201" s="7"/>
      <c r="SJ201" s="7"/>
      <c r="SK201" s="7"/>
      <c r="SL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  <c r="RZ202" s="7"/>
      <c r="SA202" s="7"/>
      <c r="SB202" s="7"/>
      <c r="SC202" s="7"/>
      <c r="SD202" s="7"/>
      <c r="SE202" s="7"/>
      <c r="SF202" s="7"/>
      <c r="SG202" s="7"/>
      <c r="SH202" s="7"/>
      <c r="SI202" s="7"/>
      <c r="SJ202" s="7"/>
      <c r="SK202" s="7"/>
      <c r="SL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  <c r="RZ203" s="7"/>
      <c r="SA203" s="7"/>
      <c r="SB203" s="7"/>
      <c r="SC203" s="7"/>
      <c r="SD203" s="7"/>
      <c r="SE203" s="7"/>
      <c r="SF203" s="7"/>
      <c r="SG203" s="7"/>
      <c r="SH203" s="7"/>
      <c r="SI203" s="7"/>
      <c r="SJ203" s="7"/>
      <c r="SK203" s="7"/>
      <c r="SL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  <c r="RZ204" s="7"/>
      <c r="SA204" s="7"/>
      <c r="SB204" s="7"/>
      <c r="SC204" s="7"/>
      <c r="SD204" s="7"/>
      <c r="SE204" s="7"/>
      <c r="SF204" s="7"/>
      <c r="SG204" s="7"/>
      <c r="SH204" s="7"/>
      <c r="SI204" s="7"/>
      <c r="SJ204" s="7"/>
      <c r="SK204" s="7"/>
      <c r="SL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  <c r="RZ205" s="7"/>
      <c r="SA205" s="7"/>
      <c r="SB205" s="7"/>
      <c r="SC205" s="7"/>
      <c r="SD205" s="7"/>
      <c r="SE205" s="7"/>
      <c r="SF205" s="7"/>
      <c r="SG205" s="7"/>
      <c r="SH205" s="7"/>
      <c r="SI205" s="7"/>
      <c r="SJ205" s="7"/>
      <c r="SK205" s="7"/>
      <c r="SL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  <c r="RZ206" s="7"/>
      <c r="SA206" s="7"/>
      <c r="SB206" s="7"/>
      <c r="SC206" s="7"/>
      <c r="SD206" s="7"/>
      <c r="SE206" s="7"/>
      <c r="SF206" s="7"/>
      <c r="SG206" s="7"/>
      <c r="SH206" s="7"/>
      <c r="SI206" s="7"/>
      <c r="SJ206" s="7"/>
      <c r="SK206" s="7"/>
      <c r="SL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  <c r="RZ207" s="7"/>
      <c r="SA207" s="7"/>
      <c r="SB207" s="7"/>
      <c r="SC207" s="7"/>
      <c r="SD207" s="7"/>
      <c r="SE207" s="7"/>
      <c r="SF207" s="7"/>
      <c r="SG207" s="7"/>
      <c r="SH207" s="7"/>
      <c r="SI207" s="7"/>
      <c r="SJ207" s="7"/>
      <c r="SK207" s="7"/>
      <c r="SL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  <c r="RZ208" s="7"/>
      <c r="SA208" s="7"/>
      <c r="SB208" s="7"/>
      <c r="SC208" s="7"/>
      <c r="SD208" s="7"/>
      <c r="SE208" s="7"/>
      <c r="SF208" s="7"/>
      <c r="SG208" s="7"/>
      <c r="SH208" s="7"/>
      <c r="SI208" s="7"/>
      <c r="SJ208" s="7"/>
      <c r="SK208" s="7"/>
      <c r="SL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  <c r="RZ209" s="7"/>
      <c r="SA209" s="7"/>
      <c r="SB209" s="7"/>
      <c r="SC209" s="7"/>
      <c r="SD209" s="7"/>
      <c r="SE209" s="7"/>
      <c r="SF209" s="7"/>
      <c r="SG209" s="7"/>
      <c r="SH209" s="7"/>
      <c r="SI209" s="7"/>
      <c r="SJ209" s="7"/>
      <c r="SK209" s="7"/>
      <c r="SL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  <c r="RZ210" s="7"/>
      <c r="SA210" s="7"/>
      <c r="SB210" s="7"/>
      <c r="SC210" s="7"/>
      <c r="SD210" s="7"/>
      <c r="SE210" s="7"/>
      <c r="SF210" s="7"/>
      <c r="SG210" s="7"/>
      <c r="SH210" s="7"/>
      <c r="SI210" s="7"/>
      <c r="SJ210" s="7"/>
      <c r="SK210" s="7"/>
      <c r="SL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  <c r="RZ211" s="7"/>
      <c r="SA211" s="7"/>
      <c r="SB211" s="7"/>
      <c r="SC211" s="7"/>
      <c r="SD211" s="7"/>
      <c r="SE211" s="7"/>
      <c r="SF211" s="7"/>
      <c r="SG211" s="7"/>
      <c r="SH211" s="7"/>
      <c r="SI211" s="7"/>
      <c r="SJ211" s="7"/>
      <c r="SK211" s="7"/>
      <c r="SL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  <c r="RZ212" s="7"/>
      <c r="SA212" s="7"/>
      <c r="SB212" s="7"/>
      <c r="SC212" s="7"/>
      <c r="SD212" s="7"/>
      <c r="SE212" s="7"/>
      <c r="SF212" s="7"/>
      <c r="SG212" s="7"/>
      <c r="SH212" s="7"/>
      <c r="SI212" s="7"/>
      <c r="SJ212" s="7"/>
      <c r="SK212" s="7"/>
      <c r="SL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  <c r="RZ213" s="7"/>
      <c r="SA213" s="7"/>
      <c r="SB213" s="7"/>
      <c r="SC213" s="7"/>
      <c r="SD213" s="7"/>
      <c r="SE213" s="7"/>
      <c r="SF213" s="7"/>
      <c r="SG213" s="7"/>
      <c r="SH213" s="7"/>
      <c r="SI213" s="7"/>
      <c r="SJ213" s="7"/>
      <c r="SK213" s="7"/>
      <c r="SL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  <c r="RZ214" s="7"/>
      <c r="SA214" s="7"/>
      <c r="SB214" s="7"/>
      <c r="SC214" s="7"/>
      <c r="SD214" s="7"/>
      <c r="SE214" s="7"/>
      <c r="SF214" s="7"/>
      <c r="SG214" s="7"/>
      <c r="SH214" s="7"/>
      <c r="SI214" s="7"/>
      <c r="SJ214" s="7"/>
      <c r="SK214" s="7"/>
      <c r="SL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  <c r="RZ215" s="7"/>
      <c r="SA215" s="7"/>
      <c r="SB215" s="7"/>
      <c r="SC215" s="7"/>
      <c r="SD215" s="7"/>
      <c r="SE215" s="7"/>
      <c r="SF215" s="7"/>
      <c r="SG215" s="7"/>
      <c r="SH215" s="7"/>
      <c r="SI215" s="7"/>
      <c r="SJ215" s="7"/>
      <c r="SK215" s="7"/>
      <c r="SL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  <c r="RZ216" s="7"/>
      <c r="SA216" s="7"/>
      <c r="SB216" s="7"/>
      <c r="SC216" s="7"/>
      <c r="SD216" s="7"/>
      <c r="SE216" s="7"/>
      <c r="SF216" s="7"/>
      <c r="SG216" s="7"/>
      <c r="SH216" s="7"/>
      <c r="SI216" s="7"/>
      <c r="SJ216" s="7"/>
      <c r="SK216" s="7"/>
      <c r="SL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  <c r="RZ217" s="7"/>
      <c r="SA217" s="7"/>
      <c r="SB217" s="7"/>
      <c r="SC217" s="7"/>
      <c r="SD217" s="7"/>
      <c r="SE217" s="7"/>
      <c r="SF217" s="7"/>
      <c r="SG217" s="7"/>
      <c r="SH217" s="7"/>
      <c r="SI217" s="7"/>
      <c r="SJ217" s="7"/>
      <c r="SK217" s="7"/>
      <c r="SL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  <c r="RZ218" s="7"/>
      <c r="SA218" s="7"/>
      <c r="SB218" s="7"/>
      <c r="SC218" s="7"/>
      <c r="SD218" s="7"/>
      <c r="SE218" s="7"/>
      <c r="SF218" s="7"/>
      <c r="SG218" s="7"/>
      <c r="SH218" s="7"/>
      <c r="SI218" s="7"/>
      <c r="SJ218" s="7"/>
      <c r="SK218" s="7"/>
      <c r="SL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  <c r="RZ219" s="7"/>
      <c r="SA219" s="7"/>
      <c r="SB219" s="7"/>
      <c r="SC219" s="7"/>
      <c r="SD219" s="7"/>
      <c r="SE219" s="7"/>
      <c r="SF219" s="7"/>
      <c r="SG219" s="7"/>
      <c r="SH219" s="7"/>
      <c r="SI219" s="7"/>
      <c r="SJ219" s="7"/>
      <c r="SK219" s="7"/>
      <c r="SL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  <c r="RZ220" s="7"/>
      <c r="SA220" s="7"/>
      <c r="SB220" s="7"/>
      <c r="SC220" s="7"/>
      <c r="SD220" s="7"/>
      <c r="SE220" s="7"/>
      <c r="SF220" s="7"/>
      <c r="SG220" s="7"/>
      <c r="SH220" s="7"/>
      <c r="SI220" s="7"/>
      <c r="SJ220" s="7"/>
      <c r="SK220" s="7"/>
      <c r="SL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  <c r="RZ221" s="7"/>
      <c r="SA221" s="7"/>
      <c r="SB221" s="7"/>
      <c r="SC221" s="7"/>
      <c r="SD221" s="7"/>
      <c r="SE221" s="7"/>
      <c r="SF221" s="7"/>
      <c r="SG221" s="7"/>
      <c r="SH221" s="7"/>
      <c r="SI221" s="7"/>
      <c r="SJ221" s="7"/>
      <c r="SK221" s="7"/>
      <c r="SL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  <c r="RZ222" s="7"/>
      <c r="SA222" s="7"/>
      <c r="SB222" s="7"/>
      <c r="SC222" s="7"/>
      <c r="SD222" s="7"/>
      <c r="SE222" s="7"/>
      <c r="SF222" s="7"/>
      <c r="SG222" s="7"/>
      <c r="SH222" s="7"/>
      <c r="SI222" s="7"/>
      <c r="SJ222" s="7"/>
      <c r="SK222" s="7"/>
      <c r="SL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  <c r="RZ223" s="7"/>
      <c r="SA223" s="7"/>
      <c r="SB223" s="7"/>
      <c r="SC223" s="7"/>
      <c r="SD223" s="7"/>
      <c r="SE223" s="7"/>
      <c r="SF223" s="7"/>
      <c r="SG223" s="7"/>
      <c r="SH223" s="7"/>
      <c r="SI223" s="7"/>
      <c r="SJ223" s="7"/>
      <c r="SK223" s="7"/>
      <c r="SL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  <c r="RZ224" s="7"/>
      <c r="SA224" s="7"/>
      <c r="SB224" s="7"/>
      <c r="SC224" s="7"/>
      <c r="SD224" s="7"/>
      <c r="SE224" s="7"/>
      <c r="SF224" s="7"/>
      <c r="SG224" s="7"/>
      <c r="SH224" s="7"/>
      <c r="SI224" s="7"/>
      <c r="SJ224" s="7"/>
      <c r="SK224" s="7"/>
      <c r="SL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  <c r="RZ225" s="7"/>
      <c r="SA225" s="7"/>
      <c r="SB225" s="7"/>
      <c r="SC225" s="7"/>
      <c r="SD225" s="7"/>
      <c r="SE225" s="7"/>
      <c r="SF225" s="7"/>
      <c r="SG225" s="7"/>
      <c r="SH225" s="7"/>
      <c r="SI225" s="7"/>
      <c r="SJ225" s="7"/>
      <c r="SK225" s="7"/>
      <c r="SL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  <c r="RZ226" s="7"/>
      <c r="SA226" s="7"/>
      <c r="SB226" s="7"/>
      <c r="SC226" s="7"/>
      <c r="SD226" s="7"/>
      <c r="SE226" s="7"/>
      <c r="SF226" s="7"/>
      <c r="SG226" s="7"/>
      <c r="SH226" s="7"/>
      <c r="SI226" s="7"/>
      <c r="SJ226" s="7"/>
      <c r="SK226" s="7"/>
      <c r="SL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  <c r="RZ227" s="7"/>
      <c r="SA227" s="7"/>
      <c r="SB227" s="7"/>
      <c r="SC227" s="7"/>
      <c r="SD227" s="7"/>
      <c r="SE227" s="7"/>
      <c r="SF227" s="7"/>
      <c r="SG227" s="7"/>
      <c r="SH227" s="7"/>
      <c r="SI227" s="7"/>
      <c r="SJ227" s="7"/>
      <c r="SK227" s="7"/>
      <c r="SL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  <c r="RZ228" s="7"/>
      <c r="SA228" s="7"/>
      <c r="SB228" s="7"/>
      <c r="SC228" s="7"/>
      <c r="SD228" s="7"/>
      <c r="SE228" s="7"/>
      <c r="SF228" s="7"/>
      <c r="SG228" s="7"/>
      <c r="SH228" s="7"/>
      <c r="SI228" s="7"/>
      <c r="SJ228" s="7"/>
      <c r="SK228" s="7"/>
      <c r="SL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  <c r="RZ229" s="7"/>
      <c r="SA229" s="7"/>
      <c r="SB229" s="7"/>
      <c r="SC229" s="7"/>
      <c r="SD229" s="7"/>
      <c r="SE229" s="7"/>
      <c r="SF229" s="7"/>
      <c r="SG229" s="7"/>
      <c r="SH229" s="7"/>
      <c r="SI229" s="7"/>
      <c r="SJ229" s="7"/>
      <c r="SK229" s="7"/>
      <c r="SL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  <c r="RZ230" s="7"/>
      <c r="SA230" s="7"/>
      <c r="SB230" s="7"/>
      <c r="SC230" s="7"/>
      <c r="SD230" s="7"/>
      <c r="SE230" s="7"/>
      <c r="SF230" s="7"/>
      <c r="SG230" s="7"/>
      <c r="SH230" s="7"/>
      <c r="SI230" s="7"/>
      <c r="SJ230" s="7"/>
      <c r="SK230" s="7"/>
      <c r="SL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  <c r="RZ231" s="7"/>
      <c r="SA231" s="7"/>
      <c r="SB231" s="7"/>
      <c r="SC231" s="7"/>
      <c r="SD231" s="7"/>
      <c r="SE231" s="7"/>
      <c r="SF231" s="7"/>
      <c r="SG231" s="7"/>
      <c r="SH231" s="7"/>
      <c r="SI231" s="7"/>
      <c r="SJ231" s="7"/>
      <c r="SK231" s="7"/>
      <c r="SL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  <c r="RZ232" s="7"/>
      <c r="SA232" s="7"/>
      <c r="SB232" s="7"/>
      <c r="SC232" s="7"/>
      <c r="SD232" s="7"/>
      <c r="SE232" s="7"/>
      <c r="SF232" s="7"/>
      <c r="SG232" s="7"/>
      <c r="SH232" s="7"/>
      <c r="SI232" s="7"/>
      <c r="SJ232" s="7"/>
      <c r="SK232" s="7"/>
      <c r="SL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  <c r="RZ233" s="7"/>
      <c r="SA233" s="7"/>
      <c r="SB233" s="7"/>
      <c r="SC233" s="7"/>
      <c r="SD233" s="7"/>
      <c r="SE233" s="7"/>
      <c r="SF233" s="7"/>
      <c r="SG233" s="7"/>
      <c r="SH233" s="7"/>
      <c r="SI233" s="7"/>
      <c r="SJ233" s="7"/>
      <c r="SK233" s="7"/>
      <c r="SL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  <c r="RZ234" s="7"/>
      <c r="SA234" s="7"/>
      <c r="SB234" s="7"/>
      <c r="SC234" s="7"/>
      <c r="SD234" s="7"/>
      <c r="SE234" s="7"/>
      <c r="SF234" s="7"/>
      <c r="SG234" s="7"/>
      <c r="SH234" s="7"/>
      <c r="SI234" s="7"/>
      <c r="SJ234" s="7"/>
      <c r="SK234" s="7"/>
      <c r="SL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  <c r="RZ235" s="7"/>
      <c r="SA235" s="7"/>
      <c r="SB235" s="7"/>
      <c r="SC235" s="7"/>
      <c r="SD235" s="7"/>
      <c r="SE235" s="7"/>
      <c r="SF235" s="7"/>
      <c r="SG235" s="7"/>
      <c r="SH235" s="7"/>
      <c r="SI235" s="7"/>
      <c r="SJ235" s="7"/>
      <c r="SK235" s="7"/>
      <c r="SL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  <c r="RZ236" s="7"/>
      <c r="SA236" s="7"/>
      <c r="SB236" s="7"/>
      <c r="SC236" s="7"/>
      <c r="SD236" s="7"/>
      <c r="SE236" s="7"/>
      <c r="SF236" s="7"/>
      <c r="SG236" s="7"/>
      <c r="SH236" s="7"/>
      <c r="SI236" s="7"/>
      <c r="SJ236" s="7"/>
      <c r="SK236" s="7"/>
      <c r="SL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  <c r="RZ237" s="7"/>
      <c r="SA237" s="7"/>
      <c r="SB237" s="7"/>
      <c r="SC237" s="7"/>
      <c r="SD237" s="7"/>
      <c r="SE237" s="7"/>
      <c r="SF237" s="7"/>
      <c r="SG237" s="7"/>
      <c r="SH237" s="7"/>
      <c r="SI237" s="7"/>
      <c r="SJ237" s="7"/>
      <c r="SK237" s="7"/>
      <c r="SL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  <c r="RZ238" s="7"/>
      <c r="SA238" s="7"/>
      <c r="SB238" s="7"/>
      <c r="SC238" s="7"/>
      <c r="SD238" s="7"/>
      <c r="SE238" s="7"/>
      <c r="SF238" s="7"/>
      <c r="SG238" s="7"/>
      <c r="SH238" s="7"/>
      <c r="SI238" s="7"/>
      <c r="SJ238" s="7"/>
      <c r="SK238" s="7"/>
      <c r="SL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  <c r="RZ239" s="7"/>
      <c r="SA239" s="7"/>
      <c r="SB239" s="7"/>
      <c r="SC239" s="7"/>
      <c r="SD239" s="7"/>
      <c r="SE239" s="7"/>
      <c r="SF239" s="7"/>
      <c r="SG239" s="7"/>
      <c r="SH239" s="7"/>
      <c r="SI239" s="7"/>
      <c r="SJ239" s="7"/>
      <c r="SK239" s="7"/>
      <c r="SL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  <c r="RZ240" s="7"/>
      <c r="SA240" s="7"/>
      <c r="SB240" s="7"/>
      <c r="SC240" s="7"/>
      <c r="SD240" s="7"/>
      <c r="SE240" s="7"/>
      <c r="SF240" s="7"/>
      <c r="SG240" s="7"/>
      <c r="SH240" s="7"/>
      <c r="SI240" s="7"/>
      <c r="SJ240" s="7"/>
      <c r="SK240" s="7"/>
      <c r="SL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  <c r="RZ241" s="7"/>
      <c r="SA241" s="7"/>
      <c r="SB241" s="7"/>
      <c r="SC241" s="7"/>
      <c r="SD241" s="7"/>
      <c r="SE241" s="7"/>
      <c r="SF241" s="7"/>
      <c r="SG241" s="7"/>
      <c r="SH241" s="7"/>
      <c r="SI241" s="7"/>
      <c r="SJ241" s="7"/>
      <c r="SK241" s="7"/>
      <c r="SL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  <c r="RZ242" s="7"/>
      <c r="SA242" s="7"/>
      <c r="SB242" s="7"/>
      <c r="SC242" s="7"/>
      <c r="SD242" s="7"/>
      <c r="SE242" s="7"/>
      <c r="SF242" s="7"/>
      <c r="SG242" s="7"/>
      <c r="SH242" s="7"/>
      <c r="SI242" s="7"/>
      <c r="SJ242" s="7"/>
      <c r="SK242" s="7"/>
      <c r="SL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  <c r="RZ243" s="7"/>
      <c r="SA243" s="7"/>
      <c r="SB243" s="7"/>
      <c r="SC243" s="7"/>
      <c r="SD243" s="7"/>
      <c r="SE243" s="7"/>
      <c r="SF243" s="7"/>
      <c r="SG243" s="7"/>
      <c r="SH243" s="7"/>
      <c r="SI243" s="7"/>
      <c r="SJ243" s="7"/>
      <c r="SK243" s="7"/>
      <c r="SL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  <c r="RZ244" s="7"/>
      <c r="SA244" s="7"/>
      <c r="SB244" s="7"/>
      <c r="SC244" s="7"/>
      <c r="SD244" s="7"/>
      <c r="SE244" s="7"/>
      <c r="SF244" s="7"/>
      <c r="SG244" s="7"/>
      <c r="SH244" s="7"/>
      <c r="SI244" s="7"/>
      <c r="SJ244" s="7"/>
      <c r="SK244" s="7"/>
      <c r="SL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  <c r="RZ245" s="7"/>
      <c r="SA245" s="7"/>
      <c r="SB245" s="7"/>
      <c r="SC245" s="7"/>
      <c r="SD245" s="7"/>
      <c r="SE245" s="7"/>
      <c r="SF245" s="7"/>
      <c r="SG245" s="7"/>
      <c r="SH245" s="7"/>
      <c r="SI245" s="7"/>
      <c r="SJ245" s="7"/>
      <c r="SK245" s="7"/>
      <c r="SL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  <c r="RZ246" s="7"/>
      <c r="SA246" s="7"/>
      <c r="SB246" s="7"/>
      <c r="SC246" s="7"/>
      <c r="SD246" s="7"/>
      <c r="SE246" s="7"/>
      <c r="SF246" s="7"/>
      <c r="SG246" s="7"/>
      <c r="SH246" s="7"/>
      <c r="SI246" s="7"/>
      <c r="SJ246" s="7"/>
      <c r="SK246" s="7"/>
      <c r="SL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  <c r="RZ247" s="7"/>
      <c r="SA247" s="7"/>
      <c r="SB247" s="7"/>
      <c r="SC247" s="7"/>
      <c r="SD247" s="7"/>
      <c r="SE247" s="7"/>
      <c r="SF247" s="7"/>
      <c r="SG247" s="7"/>
      <c r="SH247" s="7"/>
      <c r="SI247" s="7"/>
      <c r="SJ247" s="7"/>
      <c r="SK247" s="7"/>
      <c r="SL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  <c r="RZ248" s="7"/>
      <c r="SA248" s="7"/>
      <c r="SB248" s="7"/>
      <c r="SC248" s="7"/>
      <c r="SD248" s="7"/>
      <c r="SE248" s="7"/>
      <c r="SF248" s="7"/>
      <c r="SG248" s="7"/>
      <c r="SH248" s="7"/>
      <c r="SI248" s="7"/>
      <c r="SJ248" s="7"/>
      <c r="SK248" s="7"/>
      <c r="SL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  <c r="RZ249" s="7"/>
      <c r="SA249" s="7"/>
      <c r="SB249" s="7"/>
      <c r="SC249" s="7"/>
      <c r="SD249" s="7"/>
      <c r="SE249" s="7"/>
      <c r="SF249" s="7"/>
      <c r="SG249" s="7"/>
      <c r="SH249" s="7"/>
      <c r="SI249" s="7"/>
      <c r="SJ249" s="7"/>
      <c r="SK249" s="7"/>
      <c r="SL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  <c r="RZ250" s="7"/>
      <c r="SA250" s="7"/>
      <c r="SB250" s="7"/>
      <c r="SC250" s="7"/>
      <c r="SD250" s="7"/>
      <c r="SE250" s="7"/>
      <c r="SF250" s="7"/>
      <c r="SG250" s="7"/>
      <c r="SH250" s="7"/>
      <c r="SI250" s="7"/>
      <c r="SJ250" s="7"/>
      <c r="SK250" s="7"/>
      <c r="SL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  <c r="RZ251" s="7"/>
      <c r="SA251" s="7"/>
      <c r="SB251" s="7"/>
      <c r="SC251" s="7"/>
      <c r="SD251" s="7"/>
      <c r="SE251" s="7"/>
      <c r="SF251" s="7"/>
      <c r="SG251" s="7"/>
      <c r="SH251" s="7"/>
      <c r="SI251" s="7"/>
      <c r="SJ251" s="7"/>
      <c r="SK251" s="7"/>
      <c r="SL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  <c r="RZ252" s="7"/>
      <c r="SA252" s="7"/>
      <c r="SB252" s="7"/>
      <c r="SC252" s="7"/>
      <c r="SD252" s="7"/>
      <c r="SE252" s="7"/>
      <c r="SF252" s="7"/>
      <c r="SG252" s="7"/>
      <c r="SH252" s="7"/>
      <c r="SI252" s="7"/>
      <c r="SJ252" s="7"/>
      <c r="SK252" s="7"/>
      <c r="SL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  <c r="RZ253" s="7"/>
      <c r="SA253" s="7"/>
      <c r="SB253" s="7"/>
      <c r="SC253" s="7"/>
      <c r="SD253" s="7"/>
      <c r="SE253" s="7"/>
      <c r="SF253" s="7"/>
      <c r="SG253" s="7"/>
      <c r="SH253" s="7"/>
      <c r="SI253" s="7"/>
      <c r="SJ253" s="7"/>
      <c r="SK253" s="7"/>
      <c r="SL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  <c r="RZ254" s="7"/>
      <c r="SA254" s="7"/>
      <c r="SB254" s="7"/>
      <c r="SC254" s="7"/>
      <c r="SD254" s="7"/>
      <c r="SE254" s="7"/>
      <c r="SF254" s="7"/>
      <c r="SG254" s="7"/>
      <c r="SH254" s="7"/>
      <c r="SI254" s="7"/>
      <c r="SJ254" s="7"/>
      <c r="SK254" s="7"/>
      <c r="SL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  <c r="RZ255" s="7"/>
      <c r="SA255" s="7"/>
      <c r="SB255" s="7"/>
      <c r="SC255" s="7"/>
      <c r="SD255" s="7"/>
      <c r="SE255" s="7"/>
      <c r="SF255" s="7"/>
      <c r="SG255" s="7"/>
      <c r="SH255" s="7"/>
      <c r="SI255" s="7"/>
      <c r="SJ255" s="7"/>
      <c r="SK255" s="7"/>
      <c r="SL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  <c r="RZ256" s="7"/>
      <c r="SA256" s="7"/>
      <c r="SB256" s="7"/>
      <c r="SC256" s="7"/>
      <c r="SD256" s="7"/>
      <c r="SE256" s="7"/>
      <c r="SF256" s="7"/>
      <c r="SG256" s="7"/>
      <c r="SH256" s="7"/>
      <c r="SI256" s="7"/>
      <c r="SJ256" s="7"/>
      <c r="SK256" s="7"/>
      <c r="SL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  <c r="RZ257" s="7"/>
      <c r="SA257" s="7"/>
      <c r="SB257" s="7"/>
      <c r="SC257" s="7"/>
      <c r="SD257" s="7"/>
      <c r="SE257" s="7"/>
      <c r="SF257" s="7"/>
      <c r="SG257" s="7"/>
      <c r="SH257" s="7"/>
      <c r="SI257" s="7"/>
      <c r="SJ257" s="7"/>
      <c r="SK257" s="7"/>
      <c r="SL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  <c r="RZ258" s="7"/>
      <c r="SA258" s="7"/>
      <c r="SB258" s="7"/>
      <c r="SC258" s="7"/>
      <c r="SD258" s="7"/>
      <c r="SE258" s="7"/>
      <c r="SF258" s="7"/>
      <c r="SG258" s="7"/>
      <c r="SH258" s="7"/>
      <c r="SI258" s="7"/>
      <c r="SJ258" s="7"/>
      <c r="SK258" s="7"/>
      <c r="SL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  <c r="RZ259" s="7"/>
      <c r="SA259" s="7"/>
      <c r="SB259" s="7"/>
      <c r="SC259" s="7"/>
      <c r="SD259" s="7"/>
      <c r="SE259" s="7"/>
      <c r="SF259" s="7"/>
      <c r="SG259" s="7"/>
      <c r="SH259" s="7"/>
      <c r="SI259" s="7"/>
      <c r="SJ259" s="7"/>
      <c r="SK259" s="7"/>
      <c r="SL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  <c r="RZ260" s="7"/>
      <c r="SA260" s="7"/>
      <c r="SB260" s="7"/>
      <c r="SC260" s="7"/>
      <c r="SD260" s="7"/>
      <c r="SE260" s="7"/>
      <c r="SF260" s="7"/>
      <c r="SG260" s="7"/>
      <c r="SH260" s="7"/>
      <c r="SI260" s="7"/>
      <c r="SJ260" s="7"/>
      <c r="SK260" s="7"/>
      <c r="SL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  <c r="RZ261" s="7"/>
      <c r="SA261" s="7"/>
      <c r="SB261" s="7"/>
      <c r="SC261" s="7"/>
      <c r="SD261" s="7"/>
      <c r="SE261" s="7"/>
      <c r="SF261" s="7"/>
      <c r="SG261" s="7"/>
      <c r="SH261" s="7"/>
      <c r="SI261" s="7"/>
      <c r="SJ261" s="7"/>
      <c r="SK261" s="7"/>
      <c r="SL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  <c r="RZ262" s="7"/>
      <c r="SA262" s="7"/>
      <c r="SB262" s="7"/>
      <c r="SC262" s="7"/>
      <c r="SD262" s="7"/>
      <c r="SE262" s="7"/>
      <c r="SF262" s="7"/>
      <c r="SG262" s="7"/>
      <c r="SH262" s="7"/>
      <c r="SI262" s="7"/>
      <c r="SJ262" s="7"/>
      <c r="SK262" s="7"/>
      <c r="SL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  <c r="RZ263" s="7"/>
      <c r="SA263" s="7"/>
      <c r="SB263" s="7"/>
      <c r="SC263" s="7"/>
      <c r="SD263" s="7"/>
      <c r="SE263" s="7"/>
      <c r="SF263" s="7"/>
      <c r="SG263" s="7"/>
      <c r="SH263" s="7"/>
      <c r="SI263" s="7"/>
      <c r="SJ263" s="7"/>
      <c r="SK263" s="7"/>
      <c r="SL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  <c r="RZ264" s="7"/>
      <c r="SA264" s="7"/>
      <c r="SB264" s="7"/>
      <c r="SC264" s="7"/>
      <c r="SD264" s="7"/>
      <c r="SE264" s="7"/>
      <c r="SF264" s="7"/>
      <c r="SG264" s="7"/>
      <c r="SH264" s="7"/>
      <c r="SI264" s="7"/>
      <c r="SJ264" s="7"/>
      <c r="SK264" s="7"/>
      <c r="SL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  <c r="RZ265" s="7"/>
      <c r="SA265" s="7"/>
      <c r="SB265" s="7"/>
      <c r="SC265" s="7"/>
      <c r="SD265" s="7"/>
      <c r="SE265" s="7"/>
      <c r="SF265" s="7"/>
      <c r="SG265" s="7"/>
      <c r="SH265" s="7"/>
      <c r="SI265" s="7"/>
      <c r="SJ265" s="7"/>
      <c r="SK265" s="7"/>
      <c r="SL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  <c r="RZ266" s="7"/>
      <c r="SA266" s="7"/>
      <c r="SB266" s="7"/>
      <c r="SC266" s="7"/>
      <c r="SD266" s="7"/>
      <c r="SE266" s="7"/>
      <c r="SF266" s="7"/>
      <c r="SG266" s="7"/>
      <c r="SH266" s="7"/>
      <c r="SI266" s="7"/>
      <c r="SJ266" s="7"/>
      <c r="SK266" s="7"/>
      <c r="SL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  <c r="RZ267" s="7"/>
      <c r="SA267" s="7"/>
      <c r="SB267" s="7"/>
      <c r="SC267" s="7"/>
      <c r="SD267" s="7"/>
      <c r="SE267" s="7"/>
      <c r="SF267" s="7"/>
      <c r="SG267" s="7"/>
      <c r="SH267" s="7"/>
      <c r="SI267" s="7"/>
      <c r="SJ267" s="7"/>
      <c r="SK267" s="7"/>
      <c r="SL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  <c r="RZ268" s="7"/>
      <c r="SA268" s="7"/>
      <c r="SB268" s="7"/>
      <c r="SC268" s="7"/>
      <c r="SD268" s="7"/>
      <c r="SE268" s="7"/>
      <c r="SF268" s="7"/>
      <c r="SG268" s="7"/>
      <c r="SH268" s="7"/>
      <c r="SI268" s="7"/>
      <c r="SJ268" s="7"/>
      <c r="SK268" s="7"/>
      <c r="SL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  <c r="RZ269" s="7"/>
      <c r="SA269" s="7"/>
      <c r="SB269" s="7"/>
      <c r="SC269" s="7"/>
      <c r="SD269" s="7"/>
      <c r="SE269" s="7"/>
      <c r="SF269" s="7"/>
      <c r="SG269" s="7"/>
      <c r="SH269" s="7"/>
      <c r="SI269" s="7"/>
      <c r="SJ269" s="7"/>
      <c r="SK269" s="7"/>
      <c r="SL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  <c r="RZ270" s="7"/>
      <c r="SA270" s="7"/>
      <c r="SB270" s="7"/>
      <c r="SC270" s="7"/>
      <c r="SD270" s="7"/>
      <c r="SE270" s="7"/>
      <c r="SF270" s="7"/>
      <c r="SG270" s="7"/>
      <c r="SH270" s="7"/>
      <c r="SI270" s="7"/>
      <c r="SJ270" s="7"/>
      <c r="SK270" s="7"/>
      <c r="SL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  <c r="RZ271" s="7"/>
      <c r="SA271" s="7"/>
      <c r="SB271" s="7"/>
      <c r="SC271" s="7"/>
      <c r="SD271" s="7"/>
      <c r="SE271" s="7"/>
      <c r="SF271" s="7"/>
      <c r="SG271" s="7"/>
      <c r="SH271" s="7"/>
      <c r="SI271" s="7"/>
      <c r="SJ271" s="7"/>
      <c r="SK271" s="7"/>
      <c r="SL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  <c r="RZ272" s="7"/>
      <c r="SA272" s="7"/>
      <c r="SB272" s="7"/>
      <c r="SC272" s="7"/>
      <c r="SD272" s="7"/>
      <c r="SE272" s="7"/>
      <c r="SF272" s="7"/>
      <c r="SG272" s="7"/>
      <c r="SH272" s="7"/>
      <c r="SI272" s="7"/>
      <c r="SJ272" s="7"/>
      <c r="SK272" s="7"/>
      <c r="SL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  <c r="RZ273" s="7"/>
      <c r="SA273" s="7"/>
      <c r="SB273" s="7"/>
      <c r="SC273" s="7"/>
      <c r="SD273" s="7"/>
      <c r="SE273" s="7"/>
      <c r="SF273" s="7"/>
      <c r="SG273" s="7"/>
      <c r="SH273" s="7"/>
      <c r="SI273" s="7"/>
      <c r="SJ273" s="7"/>
      <c r="SK273" s="7"/>
      <c r="SL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  <c r="RZ274" s="7"/>
      <c r="SA274" s="7"/>
      <c r="SB274" s="7"/>
      <c r="SC274" s="7"/>
      <c r="SD274" s="7"/>
      <c r="SE274" s="7"/>
      <c r="SF274" s="7"/>
      <c r="SG274" s="7"/>
      <c r="SH274" s="7"/>
      <c r="SI274" s="7"/>
      <c r="SJ274" s="7"/>
      <c r="SK274" s="7"/>
      <c r="SL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  <c r="RZ275" s="7"/>
      <c r="SA275" s="7"/>
      <c r="SB275" s="7"/>
      <c r="SC275" s="7"/>
      <c r="SD275" s="7"/>
      <c r="SE275" s="7"/>
      <c r="SF275" s="7"/>
      <c r="SG275" s="7"/>
      <c r="SH275" s="7"/>
      <c r="SI275" s="7"/>
      <c r="SJ275" s="7"/>
      <c r="SK275" s="7"/>
      <c r="SL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  <c r="RZ276" s="7"/>
      <c r="SA276" s="7"/>
      <c r="SB276" s="7"/>
      <c r="SC276" s="7"/>
      <c r="SD276" s="7"/>
      <c r="SE276" s="7"/>
      <c r="SF276" s="7"/>
      <c r="SG276" s="7"/>
      <c r="SH276" s="7"/>
      <c r="SI276" s="7"/>
      <c r="SJ276" s="7"/>
      <c r="SK276" s="7"/>
      <c r="SL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  <c r="RZ277" s="7"/>
      <c r="SA277" s="7"/>
      <c r="SB277" s="7"/>
      <c r="SC277" s="7"/>
      <c r="SD277" s="7"/>
      <c r="SE277" s="7"/>
      <c r="SF277" s="7"/>
      <c r="SG277" s="7"/>
      <c r="SH277" s="7"/>
      <c r="SI277" s="7"/>
      <c r="SJ277" s="7"/>
      <c r="SK277" s="7"/>
      <c r="SL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  <c r="RZ278" s="7"/>
      <c r="SA278" s="7"/>
      <c r="SB278" s="7"/>
      <c r="SC278" s="7"/>
      <c r="SD278" s="7"/>
      <c r="SE278" s="7"/>
      <c r="SF278" s="7"/>
      <c r="SG278" s="7"/>
      <c r="SH278" s="7"/>
      <c r="SI278" s="7"/>
      <c r="SJ278" s="7"/>
      <c r="SK278" s="7"/>
      <c r="SL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  <c r="RZ279" s="7"/>
      <c r="SA279" s="7"/>
      <c r="SB279" s="7"/>
      <c r="SC279" s="7"/>
      <c r="SD279" s="7"/>
      <c r="SE279" s="7"/>
      <c r="SF279" s="7"/>
      <c r="SG279" s="7"/>
      <c r="SH279" s="7"/>
      <c r="SI279" s="7"/>
      <c r="SJ279" s="7"/>
      <c r="SK279" s="7"/>
      <c r="SL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  <c r="RZ280" s="7"/>
      <c r="SA280" s="7"/>
      <c r="SB280" s="7"/>
      <c r="SC280" s="7"/>
      <c r="SD280" s="7"/>
      <c r="SE280" s="7"/>
      <c r="SF280" s="7"/>
      <c r="SG280" s="7"/>
      <c r="SH280" s="7"/>
      <c r="SI280" s="7"/>
      <c r="SJ280" s="7"/>
      <c r="SK280" s="7"/>
      <c r="SL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  <c r="RZ281" s="7"/>
      <c r="SA281" s="7"/>
      <c r="SB281" s="7"/>
      <c r="SC281" s="7"/>
      <c r="SD281" s="7"/>
      <c r="SE281" s="7"/>
      <c r="SF281" s="7"/>
      <c r="SG281" s="7"/>
      <c r="SH281" s="7"/>
      <c r="SI281" s="7"/>
      <c r="SJ281" s="7"/>
      <c r="SK281" s="7"/>
      <c r="SL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  <c r="RZ282" s="7"/>
      <c r="SA282" s="7"/>
      <c r="SB282" s="7"/>
      <c r="SC282" s="7"/>
      <c r="SD282" s="7"/>
      <c r="SE282" s="7"/>
      <c r="SF282" s="7"/>
      <c r="SG282" s="7"/>
      <c r="SH282" s="7"/>
      <c r="SI282" s="7"/>
      <c r="SJ282" s="7"/>
      <c r="SK282" s="7"/>
      <c r="SL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  <c r="RZ283" s="7"/>
      <c r="SA283" s="7"/>
      <c r="SB283" s="7"/>
      <c r="SC283" s="7"/>
      <c r="SD283" s="7"/>
      <c r="SE283" s="7"/>
      <c r="SF283" s="7"/>
      <c r="SG283" s="7"/>
      <c r="SH283" s="7"/>
      <c r="SI283" s="7"/>
      <c r="SJ283" s="7"/>
      <c r="SK283" s="7"/>
      <c r="SL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  <c r="RZ284" s="7"/>
      <c r="SA284" s="7"/>
      <c r="SB284" s="7"/>
      <c r="SC284" s="7"/>
      <c r="SD284" s="7"/>
      <c r="SE284" s="7"/>
      <c r="SF284" s="7"/>
      <c r="SG284" s="7"/>
      <c r="SH284" s="7"/>
      <c r="SI284" s="7"/>
      <c r="SJ284" s="7"/>
      <c r="SK284" s="7"/>
      <c r="SL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  <c r="RZ285" s="7"/>
      <c r="SA285" s="7"/>
      <c r="SB285" s="7"/>
      <c r="SC285" s="7"/>
      <c r="SD285" s="7"/>
      <c r="SE285" s="7"/>
      <c r="SF285" s="7"/>
      <c r="SG285" s="7"/>
      <c r="SH285" s="7"/>
      <c r="SI285" s="7"/>
      <c r="SJ285" s="7"/>
      <c r="SK285" s="7"/>
      <c r="SL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  <c r="RZ286" s="7"/>
      <c r="SA286" s="7"/>
      <c r="SB286" s="7"/>
      <c r="SC286" s="7"/>
      <c r="SD286" s="7"/>
      <c r="SE286" s="7"/>
      <c r="SF286" s="7"/>
      <c r="SG286" s="7"/>
      <c r="SH286" s="7"/>
      <c r="SI286" s="7"/>
      <c r="SJ286" s="7"/>
      <c r="SK286" s="7"/>
      <c r="SL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  <c r="RZ287" s="7"/>
      <c r="SA287" s="7"/>
      <c r="SB287" s="7"/>
      <c r="SC287" s="7"/>
      <c r="SD287" s="7"/>
      <c r="SE287" s="7"/>
      <c r="SF287" s="7"/>
      <c r="SG287" s="7"/>
      <c r="SH287" s="7"/>
      <c r="SI287" s="7"/>
      <c r="SJ287" s="7"/>
      <c r="SK287" s="7"/>
      <c r="SL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  <c r="RZ288" s="7"/>
      <c r="SA288" s="7"/>
      <c r="SB288" s="7"/>
      <c r="SC288" s="7"/>
      <c r="SD288" s="7"/>
      <c r="SE288" s="7"/>
      <c r="SF288" s="7"/>
      <c r="SG288" s="7"/>
      <c r="SH288" s="7"/>
      <c r="SI288" s="7"/>
      <c r="SJ288" s="7"/>
      <c r="SK288" s="7"/>
      <c r="SL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  <c r="RZ289" s="7"/>
      <c r="SA289" s="7"/>
      <c r="SB289" s="7"/>
      <c r="SC289" s="7"/>
      <c r="SD289" s="7"/>
      <c r="SE289" s="7"/>
      <c r="SF289" s="7"/>
      <c r="SG289" s="7"/>
      <c r="SH289" s="7"/>
      <c r="SI289" s="7"/>
      <c r="SJ289" s="7"/>
      <c r="SK289" s="7"/>
      <c r="SL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  <c r="RZ290" s="7"/>
      <c r="SA290" s="7"/>
      <c r="SB290" s="7"/>
      <c r="SC290" s="7"/>
      <c r="SD290" s="7"/>
      <c r="SE290" s="7"/>
      <c r="SF290" s="7"/>
      <c r="SG290" s="7"/>
      <c r="SH290" s="7"/>
      <c r="SI290" s="7"/>
      <c r="SJ290" s="7"/>
      <c r="SK290" s="7"/>
      <c r="SL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  <c r="RZ291" s="7"/>
      <c r="SA291" s="7"/>
      <c r="SB291" s="7"/>
      <c r="SC291" s="7"/>
      <c r="SD291" s="7"/>
      <c r="SE291" s="7"/>
      <c r="SF291" s="7"/>
      <c r="SG291" s="7"/>
      <c r="SH291" s="7"/>
      <c r="SI291" s="7"/>
      <c r="SJ291" s="7"/>
      <c r="SK291" s="7"/>
      <c r="SL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  <c r="RZ292" s="7"/>
      <c r="SA292" s="7"/>
      <c r="SB292" s="7"/>
      <c r="SC292" s="7"/>
      <c r="SD292" s="7"/>
      <c r="SE292" s="7"/>
      <c r="SF292" s="7"/>
      <c r="SG292" s="7"/>
      <c r="SH292" s="7"/>
      <c r="SI292" s="7"/>
      <c r="SJ292" s="7"/>
      <c r="SK292" s="7"/>
      <c r="SL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  <c r="RZ293" s="7"/>
      <c r="SA293" s="7"/>
      <c r="SB293" s="7"/>
      <c r="SC293" s="7"/>
      <c r="SD293" s="7"/>
      <c r="SE293" s="7"/>
      <c r="SF293" s="7"/>
      <c r="SG293" s="7"/>
      <c r="SH293" s="7"/>
      <c r="SI293" s="7"/>
      <c r="SJ293" s="7"/>
      <c r="SK293" s="7"/>
      <c r="SL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  <c r="RZ294" s="7"/>
      <c r="SA294" s="7"/>
      <c r="SB294" s="7"/>
      <c r="SC294" s="7"/>
      <c r="SD294" s="7"/>
      <c r="SE294" s="7"/>
      <c r="SF294" s="7"/>
      <c r="SG294" s="7"/>
      <c r="SH294" s="7"/>
      <c r="SI294" s="7"/>
      <c r="SJ294" s="7"/>
      <c r="SK294" s="7"/>
      <c r="SL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  <c r="RZ295" s="7"/>
      <c r="SA295" s="7"/>
      <c r="SB295" s="7"/>
      <c r="SC295" s="7"/>
      <c r="SD295" s="7"/>
      <c r="SE295" s="7"/>
      <c r="SF295" s="7"/>
      <c r="SG295" s="7"/>
      <c r="SH295" s="7"/>
      <c r="SI295" s="7"/>
      <c r="SJ295" s="7"/>
      <c r="SK295" s="7"/>
      <c r="SL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  <c r="RZ296" s="7"/>
      <c r="SA296" s="7"/>
      <c r="SB296" s="7"/>
      <c r="SC296" s="7"/>
      <c r="SD296" s="7"/>
      <c r="SE296" s="7"/>
      <c r="SF296" s="7"/>
      <c r="SG296" s="7"/>
      <c r="SH296" s="7"/>
      <c r="SI296" s="7"/>
      <c r="SJ296" s="7"/>
      <c r="SK296" s="7"/>
      <c r="SL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  <c r="RZ297" s="7"/>
      <c r="SA297" s="7"/>
      <c r="SB297" s="7"/>
      <c r="SC297" s="7"/>
      <c r="SD297" s="7"/>
      <c r="SE297" s="7"/>
      <c r="SF297" s="7"/>
      <c r="SG297" s="7"/>
      <c r="SH297" s="7"/>
      <c r="SI297" s="7"/>
      <c r="SJ297" s="7"/>
      <c r="SK297" s="7"/>
      <c r="SL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  <c r="RZ298" s="7"/>
      <c r="SA298" s="7"/>
      <c r="SB298" s="7"/>
      <c r="SC298" s="7"/>
      <c r="SD298" s="7"/>
      <c r="SE298" s="7"/>
      <c r="SF298" s="7"/>
      <c r="SG298" s="7"/>
      <c r="SH298" s="7"/>
      <c r="SI298" s="7"/>
      <c r="SJ298" s="7"/>
      <c r="SK298" s="7"/>
      <c r="SL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  <c r="RZ299" s="7"/>
      <c r="SA299" s="7"/>
      <c r="SB299" s="7"/>
      <c r="SC299" s="7"/>
      <c r="SD299" s="7"/>
      <c r="SE299" s="7"/>
      <c r="SF299" s="7"/>
      <c r="SG299" s="7"/>
      <c r="SH299" s="7"/>
      <c r="SI299" s="7"/>
      <c r="SJ299" s="7"/>
      <c r="SK299" s="7"/>
      <c r="SL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  <c r="RZ300" s="7"/>
      <c r="SA300" s="7"/>
      <c r="SB300" s="7"/>
      <c r="SC300" s="7"/>
      <c r="SD300" s="7"/>
      <c r="SE300" s="7"/>
      <c r="SF300" s="7"/>
      <c r="SG300" s="7"/>
      <c r="SH300" s="7"/>
      <c r="SI300" s="7"/>
      <c r="SJ300" s="7"/>
      <c r="SK300" s="7"/>
      <c r="SL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  <c r="RZ301" s="7"/>
      <c r="SA301" s="7"/>
      <c r="SB301" s="7"/>
      <c r="SC301" s="7"/>
      <c r="SD301" s="7"/>
      <c r="SE301" s="7"/>
      <c r="SF301" s="7"/>
      <c r="SG301" s="7"/>
      <c r="SH301" s="7"/>
      <c r="SI301" s="7"/>
      <c r="SJ301" s="7"/>
      <c r="SK301" s="7"/>
      <c r="SL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  <c r="RZ302" s="7"/>
      <c r="SA302" s="7"/>
      <c r="SB302" s="7"/>
      <c r="SC302" s="7"/>
      <c r="SD302" s="7"/>
      <c r="SE302" s="7"/>
      <c r="SF302" s="7"/>
      <c r="SG302" s="7"/>
      <c r="SH302" s="7"/>
      <c r="SI302" s="7"/>
      <c r="SJ302" s="7"/>
      <c r="SK302" s="7"/>
      <c r="SL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  <c r="RZ303" s="7"/>
      <c r="SA303" s="7"/>
      <c r="SB303" s="7"/>
      <c r="SC303" s="7"/>
      <c r="SD303" s="7"/>
      <c r="SE303" s="7"/>
      <c r="SF303" s="7"/>
      <c r="SG303" s="7"/>
      <c r="SH303" s="7"/>
      <c r="SI303" s="7"/>
      <c r="SJ303" s="7"/>
      <c r="SK303" s="7"/>
      <c r="SL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  <c r="RZ304" s="7"/>
      <c r="SA304" s="7"/>
      <c r="SB304" s="7"/>
      <c r="SC304" s="7"/>
      <c r="SD304" s="7"/>
      <c r="SE304" s="7"/>
      <c r="SF304" s="7"/>
      <c r="SG304" s="7"/>
      <c r="SH304" s="7"/>
      <c r="SI304" s="7"/>
      <c r="SJ304" s="7"/>
      <c r="SK304" s="7"/>
      <c r="SL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  <c r="RZ305" s="7"/>
      <c r="SA305" s="7"/>
      <c r="SB305" s="7"/>
      <c r="SC305" s="7"/>
      <c r="SD305" s="7"/>
      <c r="SE305" s="7"/>
      <c r="SF305" s="7"/>
      <c r="SG305" s="7"/>
      <c r="SH305" s="7"/>
      <c r="SI305" s="7"/>
      <c r="SJ305" s="7"/>
      <c r="SK305" s="7"/>
      <c r="SL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  <c r="RZ306" s="7"/>
      <c r="SA306" s="7"/>
      <c r="SB306" s="7"/>
      <c r="SC306" s="7"/>
      <c r="SD306" s="7"/>
      <c r="SE306" s="7"/>
      <c r="SF306" s="7"/>
      <c r="SG306" s="7"/>
      <c r="SH306" s="7"/>
      <c r="SI306" s="7"/>
      <c r="SJ306" s="7"/>
      <c r="SK306" s="7"/>
      <c r="SL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  <c r="RZ307" s="7"/>
      <c r="SA307" s="7"/>
      <c r="SB307" s="7"/>
      <c r="SC307" s="7"/>
      <c r="SD307" s="7"/>
      <c r="SE307" s="7"/>
      <c r="SF307" s="7"/>
      <c r="SG307" s="7"/>
      <c r="SH307" s="7"/>
      <c r="SI307" s="7"/>
      <c r="SJ307" s="7"/>
      <c r="SK307" s="7"/>
      <c r="SL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  <c r="RZ308" s="7"/>
      <c r="SA308" s="7"/>
      <c r="SB308" s="7"/>
      <c r="SC308" s="7"/>
      <c r="SD308" s="7"/>
      <c r="SE308" s="7"/>
      <c r="SF308" s="7"/>
      <c r="SG308" s="7"/>
      <c r="SH308" s="7"/>
      <c r="SI308" s="7"/>
      <c r="SJ308" s="7"/>
      <c r="SK308" s="7"/>
      <c r="SL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  <c r="RZ309" s="7"/>
      <c r="SA309" s="7"/>
      <c r="SB309" s="7"/>
      <c r="SC309" s="7"/>
      <c r="SD309" s="7"/>
      <c r="SE309" s="7"/>
      <c r="SF309" s="7"/>
      <c r="SG309" s="7"/>
      <c r="SH309" s="7"/>
      <c r="SI309" s="7"/>
      <c r="SJ309" s="7"/>
      <c r="SK309" s="7"/>
      <c r="SL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  <c r="RZ310" s="7"/>
      <c r="SA310" s="7"/>
      <c r="SB310" s="7"/>
      <c r="SC310" s="7"/>
      <c r="SD310" s="7"/>
      <c r="SE310" s="7"/>
      <c r="SF310" s="7"/>
      <c r="SG310" s="7"/>
      <c r="SH310" s="7"/>
      <c r="SI310" s="7"/>
      <c r="SJ310" s="7"/>
      <c r="SK310" s="7"/>
      <c r="SL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  <c r="RZ311" s="7"/>
      <c r="SA311" s="7"/>
      <c r="SB311" s="7"/>
      <c r="SC311" s="7"/>
      <c r="SD311" s="7"/>
      <c r="SE311" s="7"/>
      <c r="SF311" s="7"/>
      <c r="SG311" s="7"/>
      <c r="SH311" s="7"/>
      <c r="SI311" s="7"/>
      <c r="SJ311" s="7"/>
      <c r="SK311" s="7"/>
      <c r="SL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  <c r="RZ312" s="7"/>
      <c r="SA312" s="7"/>
      <c r="SB312" s="7"/>
      <c r="SC312" s="7"/>
      <c r="SD312" s="7"/>
      <c r="SE312" s="7"/>
      <c r="SF312" s="7"/>
      <c r="SG312" s="7"/>
      <c r="SH312" s="7"/>
      <c r="SI312" s="7"/>
      <c r="SJ312" s="7"/>
      <c r="SK312" s="7"/>
      <c r="SL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  <c r="RZ313" s="7"/>
      <c r="SA313" s="7"/>
      <c r="SB313" s="7"/>
      <c r="SC313" s="7"/>
      <c r="SD313" s="7"/>
      <c r="SE313" s="7"/>
      <c r="SF313" s="7"/>
      <c r="SG313" s="7"/>
      <c r="SH313" s="7"/>
      <c r="SI313" s="7"/>
      <c r="SJ313" s="7"/>
      <c r="SK313" s="7"/>
      <c r="SL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  <c r="RZ314" s="7"/>
      <c r="SA314" s="7"/>
      <c r="SB314" s="7"/>
      <c r="SC314" s="7"/>
      <c r="SD314" s="7"/>
      <c r="SE314" s="7"/>
      <c r="SF314" s="7"/>
      <c r="SG314" s="7"/>
      <c r="SH314" s="7"/>
      <c r="SI314" s="7"/>
      <c r="SJ314" s="7"/>
      <c r="SK314" s="7"/>
      <c r="SL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  <c r="RZ315" s="7"/>
      <c r="SA315" s="7"/>
      <c r="SB315" s="7"/>
      <c r="SC315" s="7"/>
      <c r="SD315" s="7"/>
      <c r="SE315" s="7"/>
      <c r="SF315" s="7"/>
      <c r="SG315" s="7"/>
      <c r="SH315" s="7"/>
      <c r="SI315" s="7"/>
      <c r="SJ315" s="7"/>
      <c r="SK315" s="7"/>
      <c r="SL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  <c r="RZ316" s="7"/>
      <c r="SA316" s="7"/>
      <c r="SB316" s="7"/>
      <c r="SC316" s="7"/>
      <c r="SD316" s="7"/>
      <c r="SE316" s="7"/>
      <c r="SF316" s="7"/>
      <c r="SG316" s="7"/>
      <c r="SH316" s="7"/>
      <c r="SI316" s="7"/>
      <c r="SJ316" s="7"/>
      <c r="SK316" s="7"/>
      <c r="SL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  <c r="RZ317" s="7"/>
      <c r="SA317" s="7"/>
      <c r="SB317" s="7"/>
      <c r="SC317" s="7"/>
      <c r="SD317" s="7"/>
      <c r="SE317" s="7"/>
      <c r="SF317" s="7"/>
      <c r="SG317" s="7"/>
      <c r="SH317" s="7"/>
      <c r="SI317" s="7"/>
      <c r="SJ317" s="7"/>
      <c r="SK317" s="7"/>
      <c r="SL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  <c r="RZ318" s="7"/>
      <c r="SA318" s="7"/>
      <c r="SB318" s="7"/>
      <c r="SC318" s="7"/>
      <c r="SD318" s="7"/>
      <c r="SE318" s="7"/>
      <c r="SF318" s="7"/>
      <c r="SG318" s="7"/>
      <c r="SH318" s="7"/>
      <c r="SI318" s="7"/>
      <c r="SJ318" s="7"/>
      <c r="SK318" s="7"/>
      <c r="SL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  <c r="RZ319" s="7"/>
      <c r="SA319" s="7"/>
      <c r="SB319" s="7"/>
      <c r="SC319" s="7"/>
      <c r="SD319" s="7"/>
      <c r="SE319" s="7"/>
      <c r="SF319" s="7"/>
      <c r="SG319" s="7"/>
      <c r="SH319" s="7"/>
      <c r="SI319" s="7"/>
      <c r="SJ319" s="7"/>
      <c r="SK319" s="7"/>
      <c r="SL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  <c r="RZ320" s="7"/>
      <c r="SA320" s="7"/>
      <c r="SB320" s="7"/>
      <c r="SC320" s="7"/>
      <c r="SD320" s="7"/>
      <c r="SE320" s="7"/>
      <c r="SF320" s="7"/>
      <c r="SG320" s="7"/>
      <c r="SH320" s="7"/>
      <c r="SI320" s="7"/>
      <c r="SJ320" s="7"/>
      <c r="SK320" s="7"/>
      <c r="SL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  <c r="RZ321" s="7"/>
      <c r="SA321" s="7"/>
      <c r="SB321" s="7"/>
      <c r="SC321" s="7"/>
      <c r="SD321" s="7"/>
      <c r="SE321" s="7"/>
      <c r="SF321" s="7"/>
      <c r="SG321" s="7"/>
      <c r="SH321" s="7"/>
      <c r="SI321" s="7"/>
      <c r="SJ321" s="7"/>
      <c r="SK321" s="7"/>
      <c r="SL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  <c r="RZ322" s="7"/>
      <c r="SA322" s="7"/>
      <c r="SB322" s="7"/>
      <c r="SC322" s="7"/>
      <c r="SD322" s="7"/>
      <c r="SE322" s="7"/>
      <c r="SF322" s="7"/>
      <c r="SG322" s="7"/>
      <c r="SH322" s="7"/>
      <c r="SI322" s="7"/>
      <c r="SJ322" s="7"/>
      <c r="SK322" s="7"/>
      <c r="SL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  <c r="RZ323" s="7"/>
      <c r="SA323" s="7"/>
      <c r="SB323" s="7"/>
      <c r="SC323" s="7"/>
      <c r="SD323" s="7"/>
      <c r="SE323" s="7"/>
      <c r="SF323" s="7"/>
      <c r="SG323" s="7"/>
      <c r="SH323" s="7"/>
      <c r="SI323" s="7"/>
      <c r="SJ323" s="7"/>
      <c r="SK323" s="7"/>
      <c r="SL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  <c r="RZ324" s="7"/>
      <c r="SA324" s="7"/>
      <c r="SB324" s="7"/>
      <c r="SC324" s="7"/>
      <c r="SD324" s="7"/>
      <c r="SE324" s="7"/>
      <c r="SF324" s="7"/>
      <c r="SG324" s="7"/>
      <c r="SH324" s="7"/>
      <c r="SI324" s="7"/>
      <c r="SJ324" s="7"/>
      <c r="SK324" s="7"/>
      <c r="SL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  <c r="RZ325" s="7"/>
      <c r="SA325" s="7"/>
      <c r="SB325" s="7"/>
      <c r="SC325" s="7"/>
      <c r="SD325" s="7"/>
      <c r="SE325" s="7"/>
      <c r="SF325" s="7"/>
      <c r="SG325" s="7"/>
      <c r="SH325" s="7"/>
      <c r="SI325" s="7"/>
      <c r="SJ325" s="7"/>
      <c r="SK325" s="7"/>
      <c r="SL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  <c r="RZ326" s="7"/>
      <c r="SA326" s="7"/>
      <c r="SB326" s="7"/>
      <c r="SC326" s="7"/>
      <c r="SD326" s="7"/>
      <c r="SE326" s="7"/>
      <c r="SF326" s="7"/>
      <c r="SG326" s="7"/>
      <c r="SH326" s="7"/>
      <c r="SI326" s="7"/>
      <c r="SJ326" s="7"/>
      <c r="SK326" s="7"/>
      <c r="SL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  <c r="RZ327" s="7"/>
      <c r="SA327" s="7"/>
      <c r="SB327" s="7"/>
      <c r="SC327" s="7"/>
      <c r="SD327" s="7"/>
      <c r="SE327" s="7"/>
      <c r="SF327" s="7"/>
      <c r="SG327" s="7"/>
      <c r="SH327" s="7"/>
      <c r="SI327" s="7"/>
      <c r="SJ327" s="7"/>
      <c r="SK327" s="7"/>
      <c r="SL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  <c r="RZ328" s="7"/>
      <c r="SA328" s="7"/>
      <c r="SB328" s="7"/>
      <c r="SC328" s="7"/>
      <c r="SD328" s="7"/>
      <c r="SE328" s="7"/>
      <c r="SF328" s="7"/>
      <c r="SG328" s="7"/>
      <c r="SH328" s="7"/>
      <c r="SI328" s="7"/>
      <c r="SJ328" s="7"/>
      <c r="SK328" s="7"/>
      <c r="SL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  <c r="RZ329" s="7"/>
      <c r="SA329" s="7"/>
      <c r="SB329" s="7"/>
      <c r="SC329" s="7"/>
      <c r="SD329" s="7"/>
      <c r="SE329" s="7"/>
      <c r="SF329" s="7"/>
      <c r="SG329" s="7"/>
      <c r="SH329" s="7"/>
      <c r="SI329" s="7"/>
      <c r="SJ329" s="7"/>
      <c r="SK329" s="7"/>
      <c r="SL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  <c r="RZ330" s="7"/>
      <c r="SA330" s="7"/>
      <c r="SB330" s="7"/>
      <c r="SC330" s="7"/>
      <c r="SD330" s="7"/>
      <c r="SE330" s="7"/>
      <c r="SF330" s="7"/>
      <c r="SG330" s="7"/>
      <c r="SH330" s="7"/>
      <c r="SI330" s="7"/>
      <c r="SJ330" s="7"/>
      <c r="SK330" s="7"/>
      <c r="SL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  <c r="RZ331" s="7"/>
      <c r="SA331" s="7"/>
      <c r="SB331" s="7"/>
      <c r="SC331" s="7"/>
      <c r="SD331" s="7"/>
      <c r="SE331" s="7"/>
      <c r="SF331" s="7"/>
      <c r="SG331" s="7"/>
      <c r="SH331" s="7"/>
      <c r="SI331" s="7"/>
      <c r="SJ331" s="7"/>
      <c r="SK331" s="7"/>
      <c r="SL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  <c r="RZ332" s="7"/>
      <c r="SA332" s="7"/>
      <c r="SB332" s="7"/>
      <c r="SC332" s="7"/>
      <c r="SD332" s="7"/>
      <c r="SE332" s="7"/>
      <c r="SF332" s="7"/>
      <c r="SG332" s="7"/>
      <c r="SH332" s="7"/>
      <c r="SI332" s="7"/>
      <c r="SJ332" s="7"/>
      <c r="SK332" s="7"/>
      <c r="SL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  <c r="RZ333" s="7"/>
      <c r="SA333" s="7"/>
      <c r="SB333" s="7"/>
      <c r="SC333" s="7"/>
      <c r="SD333" s="7"/>
      <c r="SE333" s="7"/>
      <c r="SF333" s="7"/>
      <c r="SG333" s="7"/>
      <c r="SH333" s="7"/>
      <c r="SI333" s="7"/>
      <c r="SJ333" s="7"/>
      <c r="SK333" s="7"/>
      <c r="SL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  <c r="RZ334" s="7"/>
      <c r="SA334" s="7"/>
      <c r="SB334" s="7"/>
      <c r="SC334" s="7"/>
      <c r="SD334" s="7"/>
      <c r="SE334" s="7"/>
      <c r="SF334" s="7"/>
      <c r="SG334" s="7"/>
      <c r="SH334" s="7"/>
      <c r="SI334" s="7"/>
      <c r="SJ334" s="7"/>
      <c r="SK334" s="7"/>
      <c r="SL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  <c r="RZ335" s="7"/>
      <c r="SA335" s="7"/>
      <c r="SB335" s="7"/>
      <c r="SC335" s="7"/>
      <c r="SD335" s="7"/>
      <c r="SE335" s="7"/>
      <c r="SF335" s="7"/>
      <c r="SG335" s="7"/>
      <c r="SH335" s="7"/>
      <c r="SI335" s="7"/>
      <c r="SJ335" s="7"/>
      <c r="SK335" s="7"/>
      <c r="SL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  <c r="RZ336" s="7"/>
      <c r="SA336" s="7"/>
      <c r="SB336" s="7"/>
      <c r="SC336" s="7"/>
      <c r="SD336" s="7"/>
      <c r="SE336" s="7"/>
      <c r="SF336" s="7"/>
      <c r="SG336" s="7"/>
      <c r="SH336" s="7"/>
      <c r="SI336" s="7"/>
      <c r="SJ336" s="7"/>
      <c r="SK336" s="7"/>
      <c r="SL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  <c r="RZ337" s="7"/>
      <c r="SA337" s="7"/>
      <c r="SB337" s="7"/>
      <c r="SC337" s="7"/>
      <c r="SD337" s="7"/>
      <c r="SE337" s="7"/>
      <c r="SF337" s="7"/>
      <c r="SG337" s="7"/>
      <c r="SH337" s="7"/>
      <c r="SI337" s="7"/>
      <c r="SJ337" s="7"/>
      <c r="SK337" s="7"/>
      <c r="SL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  <c r="RZ338" s="7"/>
      <c r="SA338" s="7"/>
      <c r="SB338" s="7"/>
      <c r="SC338" s="7"/>
      <c r="SD338" s="7"/>
      <c r="SE338" s="7"/>
      <c r="SF338" s="7"/>
      <c r="SG338" s="7"/>
      <c r="SH338" s="7"/>
      <c r="SI338" s="7"/>
      <c r="SJ338" s="7"/>
      <c r="SK338" s="7"/>
      <c r="SL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  <c r="RZ339" s="7"/>
      <c r="SA339" s="7"/>
      <c r="SB339" s="7"/>
      <c r="SC339" s="7"/>
      <c r="SD339" s="7"/>
      <c r="SE339" s="7"/>
      <c r="SF339" s="7"/>
      <c r="SG339" s="7"/>
      <c r="SH339" s="7"/>
      <c r="SI339" s="7"/>
      <c r="SJ339" s="7"/>
      <c r="SK339" s="7"/>
      <c r="SL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  <c r="RZ340" s="7"/>
      <c r="SA340" s="7"/>
      <c r="SB340" s="7"/>
      <c r="SC340" s="7"/>
      <c r="SD340" s="7"/>
      <c r="SE340" s="7"/>
      <c r="SF340" s="7"/>
      <c r="SG340" s="7"/>
      <c r="SH340" s="7"/>
      <c r="SI340" s="7"/>
      <c r="SJ340" s="7"/>
      <c r="SK340" s="7"/>
      <c r="SL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  <c r="RZ341" s="7"/>
      <c r="SA341" s="7"/>
      <c r="SB341" s="7"/>
      <c r="SC341" s="7"/>
      <c r="SD341" s="7"/>
      <c r="SE341" s="7"/>
      <c r="SF341" s="7"/>
      <c r="SG341" s="7"/>
      <c r="SH341" s="7"/>
      <c r="SI341" s="7"/>
      <c r="SJ341" s="7"/>
      <c r="SK341" s="7"/>
      <c r="SL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  <c r="RZ342" s="7"/>
      <c r="SA342" s="7"/>
      <c r="SB342" s="7"/>
      <c r="SC342" s="7"/>
      <c r="SD342" s="7"/>
      <c r="SE342" s="7"/>
      <c r="SF342" s="7"/>
      <c r="SG342" s="7"/>
      <c r="SH342" s="7"/>
      <c r="SI342" s="7"/>
      <c r="SJ342" s="7"/>
      <c r="SK342" s="7"/>
      <c r="SL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  <c r="RZ343" s="7"/>
      <c r="SA343" s="7"/>
      <c r="SB343" s="7"/>
      <c r="SC343" s="7"/>
      <c r="SD343" s="7"/>
      <c r="SE343" s="7"/>
      <c r="SF343" s="7"/>
      <c r="SG343" s="7"/>
      <c r="SH343" s="7"/>
      <c r="SI343" s="7"/>
      <c r="SJ343" s="7"/>
      <c r="SK343" s="7"/>
      <c r="SL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  <c r="RZ344" s="7"/>
      <c r="SA344" s="7"/>
      <c r="SB344" s="7"/>
      <c r="SC344" s="7"/>
      <c r="SD344" s="7"/>
      <c r="SE344" s="7"/>
      <c r="SF344" s="7"/>
      <c r="SG344" s="7"/>
      <c r="SH344" s="7"/>
      <c r="SI344" s="7"/>
      <c r="SJ344" s="7"/>
      <c r="SK344" s="7"/>
      <c r="SL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  <c r="RZ345" s="7"/>
      <c r="SA345" s="7"/>
      <c r="SB345" s="7"/>
      <c r="SC345" s="7"/>
      <c r="SD345" s="7"/>
      <c r="SE345" s="7"/>
      <c r="SF345" s="7"/>
      <c r="SG345" s="7"/>
      <c r="SH345" s="7"/>
      <c r="SI345" s="7"/>
      <c r="SJ345" s="7"/>
      <c r="SK345" s="7"/>
      <c r="SL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  <c r="RZ346" s="7"/>
      <c r="SA346" s="7"/>
      <c r="SB346" s="7"/>
      <c r="SC346" s="7"/>
      <c r="SD346" s="7"/>
      <c r="SE346" s="7"/>
      <c r="SF346" s="7"/>
      <c r="SG346" s="7"/>
      <c r="SH346" s="7"/>
      <c r="SI346" s="7"/>
      <c r="SJ346" s="7"/>
      <c r="SK346" s="7"/>
      <c r="SL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  <c r="RZ347" s="7"/>
      <c r="SA347" s="7"/>
      <c r="SB347" s="7"/>
      <c r="SC347" s="7"/>
      <c r="SD347" s="7"/>
      <c r="SE347" s="7"/>
      <c r="SF347" s="7"/>
      <c r="SG347" s="7"/>
      <c r="SH347" s="7"/>
      <c r="SI347" s="7"/>
      <c r="SJ347" s="7"/>
      <c r="SK347" s="7"/>
      <c r="SL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  <c r="RZ348" s="7"/>
      <c r="SA348" s="7"/>
      <c r="SB348" s="7"/>
      <c r="SC348" s="7"/>
      <c r="SD348" s="7"/>
      <c r="SE348" s="7"/>
      <c r="SF348" s="7"/>
      <c r="SG348" s="7"/>
      <c r="SH348" s="7"/>
      <c r="SI348" s="7"/>
      <c r="SJ348" s="7"/>
      <c r="SK348" s="7"/>
      <c r="SL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  <c r="RZ349" s="7"/>
      <c r="SA349" s="7"/>
      <c r="SB349" s="7"/>
      <c r="SC349" s="7"/>
      <c r="SD349" s="7"/>
      <c r="SE349" s="7"/>
      <c r="SF349" s="7"/>
      <c r="SG349" s="7"/>
      <c r="SH349" s="7"/>
      <c r="SI349" s="7"/>
      <c r="SJ349" s="7"/>
      <c r="SK349" s="7"/>
      <c r="SL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  <c r="RZ350" s="7"/>
      <c r="SA350" s="7"/>
      <c r="SB350" s="7"/>
      <c r="SC350" s="7"/>
      <c r="SD350" s="7"/>
      <c r="SE350" s="7"/>
      <c r="SF350" s="7"/>
      <c r="SG350" s="7"/>
      <c r="SH350" s="7"/>
      <c r="SI350" s="7"/>
      <c r="SJ350" s="7"/>
      <c r="SK350" s="7"/>
      <c r="SL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  <c r="RZ351" s="7"/>
      <c r="SA351" s="7"/>
      <c r="SB351" s="7"/>
      <c r="SC351" s="7"/>
      <c r="SD351" s="7"/>
      <c r="SE351" s="7"/>
      <c r="SF351" s="7"/>
      <c r="SG351" s="7"/>
      <c r="SH351" s="7"/>
      <c r="SI351" s="7"/>
      <c r="SJ351" s="7"/>
      <c r="SK351" s="7"/>
      <c r="SL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  <c r="RZ352" s="7"/>
      <c r="SA352" s="7"/>
      <c r="SB352" s="7"/>
      <c r="SC352" s="7"/>
      <c r="SD352" s="7"/>
      <c r="SE352" s="7"/>
      <c r="SF352" s="7"/>
      <c r="SG352" s="7"/>
      <c r="SH352" s="7"/>
      <c r="SI352" s="7"/>
      <c r="SJ352" s="7"/>
      <c r="SK352" s="7"/>
      <c r="SL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  <c r="RZ353" s="7"/>
      <c r="SA353" s="7"/>
      <c r="SB353" s="7"/>
      <c r="SC353" s="7"/>
      <c r="SD353" s="7"/>
      <c r="SE353" s="7"/>
      <c r="SF353" s="7"/>
      <c r="SG353" s="7"/>
      <c r="SH353" s="7"/>
      <c r="SI353" s="7"/>
      <c r="SJ353" s="7"/>
      <c r="SK353" s="7"/>
      <c r="SL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  <c r="RZ354" s="7"/>
      <c r="SA354" s="7"/>
      <c r="SB354" s="7"/>
      <c r="SC354" s="7"/>
      <c r="SD354" s="7"/>
      <c r="SE354" s="7"/>
      <c r="SF354" s="7"/>
      <c r="SG354" s="7"/>
      <c r="SH354" s="7"/>
      <c r="SI354" s="7"/>
      <c r="SJ354" s="7"/>
      <c r="SK354" s="7"/>
      <c r="SL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  <c r="RZ355" s="7"/>
      <c r="SA355" s="7"/>
      <c r="SB355" s="7"/>
      <c r="SC355" s="7"/>
      <c r="SD355" s="7"/>
      <c r="SE355" s="7"/>
      <c r="SF355" s="7"/>
      <c r="SG355" s="7"/>
      <c r="SH355" s="7"/>
      <c r="SI355" s="7"/>
      <c r="SJ355" s="7"/>
      <c r="SK355" s="7"/>
      <c r="SL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  <c r="RZ356" s="7"/>
      <c r="SA356" s="7"/>
      <c r="SB356" s="7"/>
      <c r="SC356" s="7"/>
      <c r="SD356" s="7"/>
      <c r="SE356" s="7"/>
      <c r="SF356" s="7"/>
      <c r="SG356" s="7"/>
      <c r="SH356" s="7"/>
      <c r="SI356" s="7"/>
      <c r="SJ356" s="7"/>
      <c r="SK356" s="7"/>
      <c r="SL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  <c r="RZ357" s="7"/>
      <c r="SA357" s="7"/>
      <c r="SB357" s="7"/>
      <c r="SC357" s="7"/>
      <c r="SD357" s="7"/>
      <c r="SE357" s="7"/>
      <c r="SF357" s="7"/>
      <c r="SG357" s="7"/>
      <c r="SH357" s="7"/>
      <c r="SI357" s="7"/>
      <c r="SJ357" s="7"/>
      <c r="SK357" s="7"/>
      <c r="SL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  <c r="RZ358" s="7"/>
      <c r="SA358" s="7"/>
      <c r="SB358" s="7"/>
      <c r="SC358" s="7"/>
      <c r="SD358" s="7"/>
      <c r="SE358" s="7"/>
      <c r="SF358" s="7"/>
      <c r="SG358" s="7"/>
      <c r="SH358" s="7"/>
      <c r="SI358" s="7"/>
      <c r="SJ358" s="7"/>
      <c r="SK358" s="7"/>
      <c r="SL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  <c r="RZ359" s="7"/>
      <c r="SA359" s="7"/>
      <c r="SB359" s="7"/>
      <c r="SC359" s="7"/>
      <c r="SD359" s="7"/>
      <c r="SE359" s="7"/>
      <c r="SF359" s="7"/>
      <c r="SG359" s="7"/>
      <c r="SH359" s="7"/>
      <c r="SI359" s="7"/>
      <c r="SJ359" s="7"/>
      <c r="SK359" s="7"/>
      <c r="SL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  <c r="RZ360" s="7"/>
      <c r="SA360" s="7"/>
      <c r="SB360" s="7"/>
      <c r="SC360" s="7"/>
      <c r="SD360" s="7"/>
      <c r="SE360" s="7"/>
      <c r="SF360" s="7"/>
      <c r="SG360" s="7"/>
      <c r="SH360" s="7"/>
      <c r="SI360" s="7"/>
      <c r="SJ360" s="7"/>
      <c r="SK360" s="7"/>
      <c r="SL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  <c r="RZ361" s="7"/>
      <c r="SA361" s="7"/>
      <c r="SB361" s="7"/>
      <c r="SC361" s="7"/>
      <c r="SD361" s="7"/>
      <c r="SE361" s="7"/>
      <c r="SF361" s="7"/>
      <c r="SG361" s="7"/>
      <c r="SH361" s="7"/>
      <c r="SI361" s="7"/>
      <c r="SJ361" s="7"/>
      <c r="SK361" s="7"/>
      <c r="SL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  <c r="RZ362" s="7"/>
      <c r="SA362" s="7"/>
      <c r="SB362" s="7"/>
      <c r="SC362" s="7"/>
      <c r="SD362" s="7"/>
      <c r="SE362" s="7"/>
      <c r="SF362" s="7"/>
      <c r="SG362" s="7"/>
      <c r="SH362" s="7"/>
      <c r="SI362" s="7"/>
      <c r="SJ362" s="7"/>
      <c r="SK362" s="7"/>
      <c r="SL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  <c r="RZ363" s="7"/>
      <c r="SA363" s="7"/>
      <c r="SB363" s="7"/>
      <c r="SC363" s="7"/>
      <c r="SD363" s="7"/>
      <c r="SE363" s="7"/>
      <c r="SF363" s="7"/>
      <c r="SG363" s="7"/>
      <c r="SH363" s="7"/>
      <c r="SI363" s="7"/>
      <c r="SJ363" s="7"/>
      <c r="SK363" s="7"/>
      <c r="SL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  <c r="RZ364" s="7"/>
      <c r="SA364" s="7"/>
      <c r="SB364" s="7"/>
      <c r="SC364" s="7"/>
      <c r="SD364" s="7"/>
      <c r="SE364" s="7"/>
      <c r="SF364" s="7"/>
      <c r="SG364" s="7"/>
      <c r="SH364" s="7"/>
      <c r="SI364" s="7"/>
      <c r="SJ364" s="7"/>
      <c r="SK364" s="7"/>
      <c r="SL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  <c r="RZ365" s="7"/>
      <c r="SA365" s="7"/>
      <c r="SB365" s="7"/>
      <c r="SC365" s="7"/>
      <c r="SD365" s="7"/>
      <c r="SE365" s="7"/>
      <c r="SF365" s="7"/>
      <c r="SG365" s="7"/>
      <c r="SH365" s="7"/>
      <c r="SI365" s="7"/>
      <c r="SJ365" s="7"/>
      <c r="SK365" s="7"/>
      <c r="SL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  <c r="RZ366" s="7"/>
      <c r="SA366" s="7"/>
      <c r="SB366" s="7"/>
      <c r="SC366" s="7"/>
      <c r="SD366" s="7"/>
      <c r="SE366" s="7"/>
      <c r="SF366" s="7"/>
      <c r="SG366" s="7"/>
      <c r="SH366" s="7"/>
      <c r="SI366" s="7"/>
      <c r="SJ366" s="7"/>
      <c r="SK366" s="7"/>
      <c r="SL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  <c r="RZ367" s="7"/>
      <c r="SA367" s="7"/>
      <c r="SB367" s="7"/>
      <c r="SC367" s="7"/>
      <c r="SD367" s="7"/>
      <c r="SE367" s="7"/>
      <c r="SF367" s="7"/>
      <c r="SG367" s="7"/>
      <c r="SH367" s="7"/>
      <c r="SI367" s="7"/>
      <c r="SJ367" s="7"/>
      <c r="SK367" s="7"/>
      <c r="SL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  <c r="RZ368" s="7"/>
      <c r="SA368" s="7"/>
      <c r="SB368" s="7"/>
      <c r="SC368" s="7"/>
      <c r="SD368" s="7"/>
      <c r="SE368" s="7"/>
      <c r="SF368" s="7"/>
      <c r="SG368" s="7"/>
      <c r="SH368" s="7"/>
      <c r="SI368" s="7"/>
      <c r="SJ368" s="7"/>
      <c r="SK368" s="7"/>
      <c r="SL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  <c r="RZ369" s="7"/>
      <c r="SA369" s="7"/>
      <c r="SB369" s="7"/>
      <c r="SC369" s="7"/>
      <c r="SD369" s="7"/>
      <c r="SE369" s="7"/>
      <c r="SF369" s="7"/>
      <c r="SG369" s="7"/>
      <c r="SH369" s="7"/>
      <c r="SI369" s="7"/>
      <c r="SJ369" s="7"/>
      <c r="SK369" s="7"/>
      <c r="SL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  <c r="RZ370" s="7"/>
      <c r="SA370" s="7"/>
      <c r="SB370" s="7"/>
      <c r="SC370" s="7"/>
      <c r="SD370" s="7"/>
      <c r="SE370" s="7"/>
      <c r="SF370" s="7"/>
      <c r="SG370" s="7"/>
      <c r="SH370" s="7"/>
      <c r="SI370" s="7"/>
      <c r="SJ370" s="7"/>
      <c r="SK370" s="7"/>
      <c r="SL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  <c r="RZ371" s="7"/>
      <c r="SA371" s="7"/>
      <c r="SB371" s="7"/>
      <c r="SC371" s="7"/>
      <c r="SD371" s="7"/>
      <c r="SE371" s="7"/>
      <c r="SF371" s="7"/>
      <c r="SG371" s="7"/>
      <c r="SH371" s="7"/>
      <c r="SI371" s="7"/>
      <c r="SJ371" s="7"/>
      <c r="SK371" s="7"/>
      <c r="SL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  <c r="RZ372" s="7"/>
      <c r="SA372" s="7"/>
      <c r="SB372" s="7"/>
      <c r="SC372" s="7"/>
      <c r="SD372" s="7"/>
      <c r="SE372" s="7"/>
      <c r="SF372" s="7"/>
      <c r="SG372" s="7"/>
      <c r="SH372" s="7"/>
      <c r="SI372" s="7"/>
      <c r="SJ372" s="7"/>
      <c r="SK372" s="7"/>
      <c r="SL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  <c r="RZ373" s="7"/>
      <c r="SA373" s="7"/>
      <c r="SB373" s="7"/>
      <c r="SC373" s="7"/>
      <c r="SD373" s="7"/>
      <c r="SE373" s="7"/>
      <c r="SF373" s="7"/>
      <c r="SG373" s="7"/>
      <c r="SH373" s="7"/>
      <c r="SI373" s="7"/>
      <c r="SJ373" s="7"/>
      <c r="SK373" s="7"/>
      <c r="SL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  <c r="RZ374" s="7"/>
      <c r="SA374" s="7"/>
      <c r="SB374" s="7"/>
      <c r="SC374" s="7"/>
      <c r="SD374" s="7"/>
      <c r="SE374" s="7"/>
      <c r="SF374" s="7"/>
      <c r="SG374" s="7"/>
      <c r="SH374" s="7"/>
      <c r="SI374" s="7"/>
      <c r="SJ374" s="7"/>
      <c r="SK374" s="7"/>
      <c r="SL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  <c r="RZ375" s="7"/>
      <c r="SA375" s="7"/>
      <c r="SB375" s="7"/>
      <c r="SC375" s="7"/>
      <c r="SD375" s="7"/>
      <c r="SE375" s="7"/>
      <c r="SF375" s="7"/>
      <c r="SG375" s="7"/>
      <c r="SH375" s="7"/>
      <c r="SI375" s="7"/>
      <c r="SJ375" s="7"/>
      <c r="SK375" s="7"/>
      <c r="SL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  <c r="RZ376" s="7"/>
      <c r="SA376" s="7"/>
      <c r="SB376" s="7"/>
      <c r="SC376" s="7"/>
      <c r="SD376" s="7"/>
      <c r="SE376" s="7"/>
      <c r="SF376" s="7"/>
      <c r="SG376" s="7"/>
      <c r="SH376" s="7"/>
      <c r="SI376" s="7"/>
      <c r="SJ376" s="7"/>
      <c r="SK376" s="7"/>
      <c r="SL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  <c r="RZ377" s="7"/>
      <c r="SA377" s="7"/>
      <c r="SB377" s="7"/>
      <c r="SC377" s="7"/>
      <c r="SD377" s="7"/>
      <c r="SE377" s="7"/>
      <c r="SF377" s="7"/>
      <c r="SG377" s="7"/>
      <c r="SH377" s="7"/>
      <c r="SI377" s="7"/>
      <c r="SJ377" s="7"/>
      <c r="SK377" s="7"/>
      <c r="SL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  <c r="RZ378" s="7"/>
      <c r="SA378" s="7"/>
      <c r="SB378" s="7"/>
      <c r="SC378" s="7"/>
      <c r="SD378" s="7"/>
      <c r="SE378" s="7"/>
      <c r="SF378" s="7"/>
      <c r="SG378" s="7"/>
      <c r="SH378" s="7"/>
      <c r="SI378" s="7"/>
      <c r="SJ378" s="7"/>
      <c r="SK378" s="7"/>
      <c r="SL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  <c r="RZ379" s="7"/>
      <c r="SA379" s="7"/>
      <c r="SB379" s="7"/>
      <c r="SC379" s="7"/>
      <c r="SD379" s="7"/>
      <c r="SE379" s="7"/>
      <c r="SF379" s="7"/>
      <c r="SG379" s="7"/>
      <c r="SH379" s="7"/>
      <c r="SI379" s="7"/>
      <c r="SJ379" s="7"/>
      <c r="SK379" s="7"/>
      <c r="SL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  <c r="RZ380" s="7"/>
      <c r="SA380" s="7"/>
      <c r="SB380" s="7"/>
      <c r="SC380" s="7"/>
      <c r="SD380" s="7"/>
      <c r="SE380" s="7"/>
      <c r="SF380" s="7"/>
      <c r="SG380" s="7"/>
      <c r="SH380" s="7"/>
      <c r="SI380" s="7"/>
      <c r="SJ380" s="7"/>
      <c r="SK380" s="7"/>
      <c r="SL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  <c r="RZ381" s="7"/>
      <c r="SA381" s="7"/>
      <c r="SB381" s="7"/>
      <c r="SC381" s="7"/>
      <c r="SD381" s="7"/>
      <c r="SE381" s="7"/>
      <c r="SF381" s="7"/>
      <c r="SG381" s="7"/>
      <c r="SH381" s="7"/>
      <c r="SI381" s="7"/>
      <c r="SJ381" s="7"/>
      <c r="SK381" s="7"/>
      <c r="SL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  <c r="RZ382" s="7"/>
      <c r="SA382" s="7"/>
      <c r="SB382" s="7"/>
      <c r="SC382" s="7"/>
      <c r="SD382" s="7"/>
      <c r="SE382" s="7"/>
      <c r="SF382" s="7"/>
      <c r="SG382" s="7"/>
      <c r="SH382" s="7"/>
      <c r="SI382" s="7"/>
      <c r="SJ382" s="7"/>
      <c r="SK382" s="7"/>
      <c r="SL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  <c r="RZ383" s="7"/>
      <c r="SA383" s="7"/>
      <c r="SB383" s="7"/>
      <c r="SC383" s="7"/>
      <c r="SD383" s="7"/>
      <c r="SE383" s="7"/>
      <c r="SF383" s="7"/>
      <c r="SG383" s="7"/>
      <c r="SH383" s="7"/>
      <c r="SI383" s="7"/>
      <c r="SJ383" s="7"/>
      <c r="SK383" s="7"/>
      <c r="SL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  <c r="RZ384" s="7"/>
      <c r="SA384" s="7"/>
      <c r="SB384" s="7"/>
      <c r="SC384" s="7"/>
      <c r="SD384" s="7"/>
      <c r="SE384" s="7"/>
      <c r="SF384" s="7"/>
      <c r="SG384" s="7"/>
      <c r="SH384" s="7"/>
      <c r="SI384" s="7"/>
      <c r="SJ384" s="7"/>
      <c r="SK384" s="7"/>
      <c r="SL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  <c r="RZ385" s="7"/>
      <c r="SA385" s="7"/>
      <c r="SB385" s="7"/>
      <c r="SC385" s="7"/>
      <c r="SD385" s="7"/>
      <c r="SE385" s="7"/>
      <c r="SF385" s="7"/>
      <c r="SG385" s="7"/>
      <c r="SH385" s="7"/>
      <c r="SI385" s="7"/>
      <c r="SJ385" s="7"/>
      <c r="SK385" s="7"/>
      <c r="SL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  <c r="RZ386" s="7"/>
      <c r="SA386" s="7"/>
      <c r="SB386" s="7"/>
      <c r="SC386" s="7"/>
      <c r="SD386" s="7"/>
      <c r="SE386" s="7"/>
      <c r="SF386" s="7"/>
      <c r="SG386" s="7"/>
      <c r="SH386" s="7"/>
      <c r="SI386" s="7"/>
      <c r="SJ386" s="7"/>
      <c r="SK386" s="7"/>
      <c r="SL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  <c r="RZ387" s="7"/>
      <c r="SA387" s="7"/>
      <c r="SB387" s="7"/>
      <c r="SC387" s="7"/>
      <c r="SD387" s="7"/>
      <c r="SE387" s="7"/>
      <c r="SF387" s="7"/>
      <c r="SG387" s="7"/>
      <c r="SH387" s="7"/>
      <c r="SI387" s="7"/>
      <c r="SJ387" s="7"/>
      <c r="SK387" s="7"/>
      <c r="SL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  <c r="RZ388" s="7"/>
      <c r="SA388" s="7"/>
      <c r="SB388" s="7"/>
      <c r="SC388" s="7"/>
      <c r="SD388" s="7"/>
      <c r="SE388" s="7"/>
      <c r="SF388" s="7"/>
      <c r="SG388" s="7"/>
      <c r="SH388" s="7"/>
      <c r="SI388" s="7"/>
      <c r="SJ388" s="7"/>
      <c r="SK388" s="7"/>
      <c r="SL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  <c r="RZ389" s="7"/>
      <c r="SA389" s="7"/>
      <c r="SB389" s="7"/>
      <c r="SC389" s="7"/>
      <c r="SD389" s="7"/>
      <c r="SE389" s="7"/>
      <c r="SF389" s="7"/>
      <c r="SG389" s="7"/>
      <c r="SH389" s="7"/>
      <c r="SI389" s="7"/>
      <c r="SJ389" s="7"/>
      <c r="SK389" s="7"/>
      <c r="SL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  <c r="RZ390" s="7"/>
      <c r="SA390" s="7"/>
      <c r="SB390" s="7"/>
      <c r="SC390" s="7"/>
      <c r="SD390" s="7"/>
      <c r="SE390" s="7"/>
      <c r="SF390" s="7"/>
      <c r="SG390" s="7"/>
      <c r="SH390" s="7"/>
      <c r="SI390" s="7"/>
      <c r="SJ390" s="7"/>
      <c r="SK390" s="7"/>
      <c r="SL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  <c r="RZ391" s="7"/>
      <c r="SA391" s="7"/>
      <c r="SB391" s="7"/>
      <c r="SC391" s="7"/>
      <c r="SD391" s="7"/>
      <c r="SE391" s="7"/>
      <c r="SF391" s="7"/>
      <c r="SG391" s="7"/>
      <c r="SH391" s="7"/>
      <c r="SI391" s="7"/>
      <c r="SJ391" s="7"/>
      <c r="SK391" s="7"/>
      <c r="SL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  <c r="RZ392" s="7"/>
      <c r="SA392" s="7"/>
      <c r="SB392" s="7"/>
      <c r="SC392" s="7"/>
      <c r="SD392" s="7"/>
      <c r="SE392" s="7"/>
      <c r="SF392" s="7"/>
      <c r="SG392" s="7"/>
      <c r="SH392" s="7"/>
      <c r="SI392" s="7"/>
      <c r="SJ392" s="7"/>
      <c r="SK392" s="7"/>
      <c r="SL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  <c r="RZ393" s="7"/>
      <c r="SA393" s="7"/>
      <c r="SB393" s="7"/>
      <c r="SC393" s="7"/>
      <c r="SD393" s="7"/>
      <c r="SE393" s="7"/>
      <c r="SF393" s="7"/>
      <c r="SG393" s="7"/>
      <c r="SH393" s="7"/>
      <c r="SI393" s="7"/>
      <c r="SJ393" s="7"/>
      <c r="SK393" s="7"/>
      <c r="SL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  <c r="RZ394" s="7"/>
      <c r="SA394" s="7"/>
      <c r="SB394" s="7"/>
      <c r="SC394" s="7"/>
      <c r="SD394" s="7"/>
      <c r="SE394" s="7"/>
      <c r="SF394" s="7"/>
      <c r="SG394" s="7"/>
      <c r="SH394" s="7"/>
      <c r="SI394" s="7"/>
      <c r="SJ394" s="7"/>
      <c r="SK394" s="7"/>
      <c r="SL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  <c r="RZ395" s="7"/>
      <c r="SA395" s="7"/>
      <c r="SB395" s="7"/>
      <c r="SC395" s="7"/>
      <c r="SD395" s="7"/>
      <c r="SE395" s="7"/>
      <c r="SF395" s="7"/>
      <c r="SG395" s="7"/>
      <c r="SH395" s="7"/>
      <c r="SI395" s="7"/>
      <c r="SJ395" s="7"/>
      <c r="SK395" s="7"/>
      <c r="SL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  <c r="RZ396" s="7"/>
      <c r="SA396" s="7"/>
      <c r="SB396" s="7"/>
      <c r="SC396" s="7"/>
      <c r="SD396" s="7"/>
      <c r="SE396" s="7"/>
      <c r="SF396" s="7"/>
      <c r="SG396" s="7"/>
      <c r="SH396" s="7"/>
      <c r="SI396" s="7"/>
      <c r="SJ396" s="7"/>
      <c r="SK396" s="7"/>
      <c r="SL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  <c r="RZ397" s="7"/>
      <c r="SA397" s="7"/>
      <c r="SB397" s="7"/>
      <c r="SC397" s="7"/>
      <c r="SD397" s="7"/>
      <c r="SE397" s="7"/>
      <c r="SF397" s="7"/>
      <c r="SG397" s="7"/>
      <c r="SH397" s="7"/>
      <c r="SI397" s="7"/>
      <c r="SJ397" s="7"/>
      <c r="SK397" s="7"/>
      <c r="SL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  <c r="RZ398" s="7"/>
      <c r="SA398" s="7"/>
      <c r="SB398" s="7"/>
      <c r="SC398" s="7"/>
      <c r="SD398" s="7"/>
      <c r="SE398" s="7"/>
      <c r="SF398" s="7"/>
      <c r="SG398" s="7"/>
      <c r="SH398" s="7"/>
      <c r="SI398" s="7"/>
      <c r="SJ398" s="7"/>
      <c r="SK398" s="7"/>
      <c r="SL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  <c r="RZ399" s="7"/>
      <c r="SA399" s="7"/>
      <c r="SB399" s="7"/>
      <c r="SC399" s="7"/>
      <c r="SD399" s="7"/>
      <c r="SE399" s="7"/>
      <c r="SF399" s="7"/>
      <c r="SG399" s="7"/>
      <c r="SH399" s="7"/>
      <c r="SI399" s="7"/>
      <c r="SJ399" s="7"/>
      <c r="SK399" s="7"/>
      <c r="SL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  <c r="RZ400" s="7"/>
      <c r="SA400" s="7"/>
      <c r="SB400" s="7"/>
      <c r="SC400" s="7"/>
      <c r="SD400" s="7"/>
      <c r="SE400" s="7"/>
      <c r="SF400" s="7"/>
      <c r="SG400" s="7"/>
      <c r="SH400" s="7"/>
      <c r="SI400" s="7"/>
      <c r="SJ400" s="7"/>
      <c r="SK400" s="7"/>
      <c r="SL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  <c r="RZ401" s="7"/>
      <c r="SA401" s="7"/>
      <c r="SB401" s="7"/>
      <c r="SC401" s="7"/>
      <c r="SD401" s="7"/>
      <c r="SE401" s="7"/>
      <c r="SF401" s="7"/>
      <c r="SG401" s="7"/>
      <c r="SH401" s="7"/>
      <c r="SI401" s="7"/>
      <c r="SJ401" s="7"/>
      <c r="SK401" s="7"/>
      <c r="SL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  <c r="RZ402" s="7"/>
      <c r="SA402" s="7"/>
      <c r="SB402" s="7"/>
      <c r="SC402" s="7"/>
      <c r="SD402" s="7"/>
      <c r="SE402" s="7"/>
      <c r="SF402" s="7"/>
      <c r="SG402" s="7"/>
      <c r="SH402" s="7"/>
      <c r="SI402" s="7"/>
      <c r="SJ402" s="7"/>
      <c r="SK402" s="7"/>
      <c r="SL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  <c r="RZ403" s="7"/>
      <c r="SA403" s="7"/>
      <c r="SB403" s="7"/>
      <c r="SC403" s="7"/>
      <c r="SD403" s="7"/>
      <c r="SE403" s="7"/>
      <c r="SF403" s="7"/>
      <c r="SG403" s="7"/>
      <c r="SH403" s="7"/>
      <c r="SI403" s="7"/>
      <c r="SJ403" s="7"/>
      <c r="SK403" s="7"/>
      <c r="SL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  <c r="RZ404" s="7"/>
      <c r="SA404" s="7"/>
      <c r="SB404" s="7"/>
      <c r="SC404" s="7"/>
      <c r="SD404" s="7"/>
      <c r="SE404" s="7"/>
      <c r="SF404" s="7"/>
      <c r="SG404" s="7"/>
      <c r="SH404" s="7"/>
      <c r="SI404" s="7"/>
      <c r="SJ404" s="7"/>
      <c r="SK404" s="7"/>
      <c r="SL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  <c r="RZ405" s="7"/>
      <c r="SA405" s="7"/>
      <c r="SB405" s="7"/>
      <c r="SC405" s="7"/>
      <c r="SD405" s="7"/>
      <c r="SE405" s="7"/>
      <c r="SF405" s="7"/>
      <c r="SG405" s="7"/>
      <c r="SH405" s="7"/>
      <c r="SI405" s="7"/>
      <c r="SJ405" s="7"/>
      <c r="SK405" s="7"/>
      <c r="SL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  <c r="RZ406" s="7"/>
      <c r="SA406" s="7"/>
      <c r="SB406" s="7"/>
      <c r="SC406" s="7"/>
      <c r="SD406" s="7"/>
      <c r="SE406" s="7"/>
      <c r="SF406" s="7"/>
      <c r="SG406" s="7"/>
      <c r="SH406" s="7"/>
      <c r="SI406" s="7"/>
      <c r="SJ406" s="7"/>
      <c r="SK406" s="7"/>
      <c r="SL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  <c r="RZ407" s="7"/>
      <c r="SA407" s="7"/>
      <c r="SB407" s="7"/>
      <c r="SC407" s="7"/>
      <c r="SD407" s="7"/>
      <c r="SE407" s="7"/>
      <c r="SF407" s="7"/>
      <c r="SG407" s="7"/>
      <c r="SH407" s="7"/>
      <c r="SI407" s="7"/>
      <c r="SJ407" s="7"/>
      <c r="SK407" s="7"/>
      <c r="SL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  <c r="RZ408" s="7"/>
      <c r="SA408" s="7"/>
      <c r="SB408" s="7"/>
      <c r="SC408" s="7"/>
      <c r="SD408" s="7"/>
      <c r="SE408" s="7"/>
      <c r="SF408" s="7"/>
      <c r="SG408" s="7"/>
      <c r="SH408" s="7"/>
      <c r="SI408" s="7"/>
      <c r="SJ408" s="7"/>
      <c r="SK408" s="7"/>
      <c r="SL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  <c r="RZ409" s="7"/>
      <c r="SA409" s="7"/>
      <c r="SB409" s="7"/>
      <c r="SC409" s="7"/>
      <c r="SD409" s="7"/>
      <c r="SE409" s="7"/>
      <c r="SF409" s="7"/>
      <c r="SG409" s="7"/>
      <c r="SH409" s="7"/>
      <c r="SI409" s="7"/>
      <c r="SJ409" s="7"/>
      <c r="SK409" s="7"/>
      <c r="SL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  <c r="RZ410" s="7"/>
      <c r="SA410" s="7"/>
      <c r="SB410" s="7"/>
      <c r="SC410" s="7"/>
      <c r="SD410" s="7"/>
      <c r="SE410" s="7"/>
      <c r="SF410" s="7"/>
      <c r="SG410" s="7"/>
      <c r="SH410" s="7"/>
      <c r="SI410" s="7"/>
      <c r="SJ410" s="7"/>
      <c r="SK410" s="7"/>
      <c r="SL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  <c r="RZ411" s="7"/>
      <c r="SA411" s="7"/>
      <c r="SB411" s="7"/>
      <c r="SC411" s="7"/>
      <c r="SD411" s="7"/>
      <c r="SE411" s="7"/>
      <c r="SF411" s="7"/>
      <c r="SG411" s="7"/>
      <c r="SH411" s="7"/>
      <c r="SI411" s="7"/>
      <c r="SJ411" s="7"/>
      <c r="SK411" s="7"/>
      <c r="SL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  <c r="RZ412" s="7"/>
      <c r="SA412" s="7"/>
      <c r="SB412" s="7"/>
      <c r="SC412" s="7"/>
      <c r="SD412" s="7"/>
      <c r="SE412" s="7"/>
      <c r="SF412" s="7"/>
      <c r="SG412" s="7"/>
      <c r="SH412" s="7"/>
      <c r="SI412" s="7"/>
      <c r="SJ412" s="7"/>
      <c r="SK412" s="7"/>
      <c r="SL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  <c r="RZ413" s="7"/>
      <c r="SA413" s="7"/>
      <c r="SB413" s="7"/>
      <c r="SC413" s="7"/>
      <c r="SD413" s="7"/>
      <c r="SE413" s="7"/>
      <c r="SF413" s="7"/>
      <c r="SG413" s="7"/>
      <c r="SH413" s="7"/>
      <c r="SI413" s="7"/>
      <c r="SJ413" s="7"/>
      <c r="SK413" s="7"/>
      <c r="SL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  <c r="RZ414" s="7"/>
      <c r="SA414" s="7"/>
      <c r="SB414" s="7"/>
      <c r="SC414" s="7"/>
      <c r="SD414" s="7"/>
      <c r="SE414" s="7"/>
      <c r="SF414" s="7"/>
      <c r="SG414" s="7"/>
      <c r="SH414" s="7"/>
      <c r="SI414" s="7"/>
      <c r="SJ414" s="7"/>
      <c r="SK414" s="7"/>
      <c r="SL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  <c r="RZ415" s="7"/>
      <c r="SA415" s="7"/>
      <c r="SB415" s="7"/>
      <c r="SC415" s="7"/>
      <c r="SD415" s="7"/>
      <c r="SE415" s="7"/>
      <c r="SF415" s="7"/>
      <c r="SG415" s="7"/>
      <c r="SH415" s="7"/>
      <c r="SI415" s="7"/>
      <c r="SJ415" s="7"/>
      <c r="SK415" s="7"/>
      <c r="SL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  <c r="RZ416" s="7"/>
      <c r="SA416" s="7"/>
      <c r="SB416" s="7"/>
      <c r="SC416" s="7"/>
      <c r="SD416" s="7"/>
      <c r="SE416" s="7"/>
      <c r="SF416" s="7"/>
      <c r="SG416" s="7"/>
      <c r="SH416" s="7"/>
      <c r="SI416" s="7"/>
      <c r="SJ416" s="7"/>
      <c r="SK416" s="7"/>
      <c r="SL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  <c r="RZ417" s="7"/>
      <c r="SA417" s="7"/>
      <c r="SB417" s="7"/>
      <c r="SC417" s="7"/>
      <c r="SD417" s="7"/>
      <c r="SE417" s="7"/>
      <c r="SF417" s="7"/>
      <c r="SG417" s="7"/>
      <c r="SH417" s="7"/>
      <c r="SI417" s="7"/>
      <c r="SJ417" s="7"/>
      <c r="SK417" s="7"/>
      <c r="SL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  <c r="RZ418" s="7"/>
      <c r="SA418" s="7"/>
      <c r="SB418" s="7"/>
      <c r="SC418" s="7"/>
      <c r="SD418" s="7"/>
      <c r="SE418" s="7"/>
      <c r="SF418" s="7"/>
      <c r="SG418" s="7"/>
      <c r="SH418" s="7"/>
      <c r="SI418" s="7"/>
      <c r="SJ418" s="7"/>
      <c r="SK418" s="7"/>
      <c r="SL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  <c r="RZ419" s="7"/>
      <c r="SA419" s="7"/>
      <c r="SB419" s="7"/>
      <c r="SC419" s="7"/>
      <c r="SD419" s="7"/>
      <c r="SE419" s="7"/>
      <c r="SF419" s="7"/>
      <c r="SG419" s="7"/>
      <c r="SH419" s="7"/>
      <c r="SI419" s="7"/>
      <c r="SJ419" s="7"/>
      <c r="SK419" s="7"/>
      <c r="SL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  <c r="RZ420" s="7"/>
      <c r="SA420" s="7"/>
      <c r="SB420" s="7"/>
      <c r="SC420" s="7"/>
      <c r="SD420" s="7"/>
      <c r="SE420" s="7"/>
      <c r="SF420" s="7"/>
      <c r="SG420" s="7"/>
      <c r="SH420" s="7"/>
      <c r="SI420" s="7"/>
      <c r="SJ420" s="7"/>
      <c r="SK420" s="7"/>
      <c r="SL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  <c r="RZ421" s="7"/>
      <c r="SA421" s="7"/>
      <c r="SB421" s="7"/>
      <c r="SC421" s="7"/>
      <c r="SD421" s="7"/>
      <c r="SE421" s="7"/>
      <c r="SF421" s="7"/>
      <c r="SG421" s="7"/>
      <c r="SH421" s="7"/>
      <c r="SI421" s="7"/>
      <c r="SJ421" s="7"/>
      <c r="SK421" s="7"/>
      <c r="SL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  <c r="RZ422" s="7"/>
      <c r="SA422" s="7"/>
      <c r="SB422" s="7"/>
      <c r="SC422" s="7"/>
      <c r="SD422" s="7"/>
      <c r="SE422" s="7"/>
      <c r="SF422" s="7"/>
      <c r="SG422" s="7"/>
      <c r="SH422" s="7"/>
      <c r="SI422" s="7"/>
      <c r="SJ422" s="7"/>
      <c r="SK422" s="7"/>
      <c r="SL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  <c r="RZ423" s="7"/>
      <c r="SA423" s="7"/>
      <c r="SB423" s="7"/>
      <c r="SC423" s="7"/>
      <c r="SD423" s="7"/>
      <c r="SE423" s="7"/>
      <c r="SF423" s="7"/>
      <c r="SG423" s="7"/>
      <c r="SH423" s="7"/>
      <c r="SI423" s="7"/>
      <c r="SJ423" s="7"/>
      <c r="SK423" s="7"/>
      <c r="SL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  <c r="RZ424" s="7"/>
      <c r="SA424" s="7"/>
      <c r="SB424" s="7"/>
      <c r="SC424" s="7"/>
      <c r="SD424" s="7"/>
      <c r="SE424" s="7"/>
      <c r="SF424" s="7"/>
      <c r="SG424" s="7"/>
      <c r="SH424" s="7"/>
      <c r="SI424" s="7"/>
      <c r="SJ424" s="7"/>
      <c r="SK424" s="7"/>
      <c r="SL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  <c r="RZ425" s="7"/>
      <c r="SA425" s="7"/>
      <c r="SB425" s="7"/>
      <c r="SC425" s="7"/>
      <c r="SD425" s="7"/>
      <c r="SE425" s="7"/>
      <c r="SF425" s="7"/>
      <c r="SG425" s="7"/>
      <c r="SH425" s="7"/>
      <c r="SI425" s="7"/>
      <c r="SJ425" s="7"/>
      <c r="SK425" s="7"/>
      <c r="SL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  <c r="RZ426" s="7"/>
      <c r="SA426" s="7"/>
      <c r="SB426" s="7"/>
      <c r="SC426" s="7"/>
      <c r="SD426" s="7"/>
      <c r="SE426" s="7"/>
      <c r="SF426" s="7"/>
      <c r="SG426" s="7"/>
      <c r="SH426" s="7"/>
      <c r="SI426" s="7"/>
      <c r="SJ426" s="7"/>
      <c r="SK426" s="7"/>
      <c r="SL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  <c r="RZ427" s="7"/>
      <c r="SA427" s="7"/>
      <c r="SB427" s="7"/>
      <c r="SC427" s="7"/>
      <c r="SD427" s="7"/>
      <c r="SE427" s="7"/>
      <c r="SF427" s="7"/>
      <c r="SG427" s="7"/>
      <c r="SH427" s="7"/>
      <c r="SI427" s="7"/>
      <c r="SJ427" s="7"/>
      <c r="SK427" s="7"/>
      <c r="SL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  <c r="RZ428" s="7"/>
      <c r="SA428" s="7"/>
      <c r="SB428" s="7"/>
      <c r="SC428" s="7"/>
      <c r="SD428" s="7"/>
      <c r="SE428" s="7"/>
      <c r="SF428" s="7"/>
      <c r="SG428" s="7"/>
      <c r="SH428" s="7"/>
      <c r="SI428" s="7"/>
      <c r="SJ428" s="7"/>
      <c r="SK428" s="7"/>
      <c r="SL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  <c r="RZ429" s="7"/>
      <c r="SA429" s="7"/>
      <c r="SB429" s="7"/>
      <c r="SC429" s="7"/>
      <c r="SD429" s="7"/>
      <c r="SE429" s="7"/>
      <c r="SF429" s="7"/>
      <c r="SG429" s="7"/>
      <c r="SH429" s="7"/>
      <c r="SI429" s="7"/>
      <c r="SJ429" s="7"/>
      <c r="SK429" s="7"/>
      <c r="SL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  <c r="RZ430" s="7"/>
      <c r="SA430" s="7"/>
      <c r="SB430" s="7"/>
      <c r="SC430" s="7"/>
      <c r="SD430" s="7"/>
      <c r="SE430" s="7"/>
      <c r="SF430" s="7"/>
      <c r="SG430" s="7"/>
      <c r="SH430" s="7"/>
      <c r="SI430" s="7"/>
      <c r="SJ430" s="7"/>
      <c r="SK430" s="7"/>
      <c r="SL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  <c r="RZ431" s="7"/>
      <c r="SA431" s="7"/>
      <c r="SB431" s="7"/>
      <c r="SC431" s="7"/>
      <c r="SD431" s="7"/>
      <c r="SE431" s="7"/>
      <c r="SF431" s="7"/>
      <c r="SG431" s="7"/>
      <c r="SH431" s="7"/>
      <c r="SI431" s="7"/>
      <c r="SJ431" s="7"/>
      <c r="SK431" s="7"/>
      <c r="SL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  <c r="RZ432" s="7"/>
      <c r="SA432" s="7"/>
      <c r="SB432" s="7"/>
      <c r="SC432" s="7"/>
      <c r="SD432" s="7"/>
      <c r="SE432" s="7"/>
      <c r="SF432" s="7"/>
      <c r="SG432" s="7"/>
      <c r="SH432" s="7"/>
      <c r="SI432" s="7"/>
      <c r="SJ432" s="7"/>
      <c r="SK432" s="7"/>
      <c r="SL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  <c r="RZ433" s="7"/>
      <c r="SA433" s="7"/>
      <c r="SB433" s="7"/>
      <c r="SC433" s="7"/>
      <c r="SD433" s="7"/>
      <c r="SE433" s="7"/>
      <c r="SF433" s="7"/>
      <c r="SG433" s="7"/>
      <c r="SH433" s="7"/>
      <c r="SI433" s="7"/>
      <c r="SJ433" s="7"/>
      <c r="SK433" s="7"/>
      <c r="SL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  <c r="RZ434" s="7"/>
      <c r="SA434" s="7"/>
      <c r="SB434" s="7"/>
      <c r="SC434" s="7"/>
      <c r="SD434" s="7"/>
      <c r="SE434" s="7"/>
      <c r="SF434" s="7"/>
      <c r="SG434" s="7"/>
      <c r="SH434" s="7"/>
      <c r="SI434" s="7"/>
      <c r="SJ434" s="7"/>
      <c r="SK434" s="7"/>
      <c r="SL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  <c r="RZ435" s="7"/>
      <c r="SA435" s="7"/>
      <c r="SB435" s="7"/>
      <c r="SC435" s="7"/>
      <c r="SD435" s="7"/>
      <c r="SE435" s="7"/>
      <c r="SF435" s="7"/>
      <c r="SG435" s="7"/>
      <c r="SH435" s="7"/>
      <c r="SI435" s="7"/>
      <c r="SJ435" s="7"/>
      <c r="SK435" s="7"/>
      <c r="SL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  <c r="RZ436" s="7"/>
      <c r="SA436" s="7"/>
      <c r="SB436" s="7"/>
      <c r="SC436" s="7"/>
      <c r="SD436" s="7"/>
      <c r="SE436" s="7"/>
      <c r="SF436" s="7"/>
      <c r="SG436" s="7"/>
      <c r="SH436" s="7"/>
      <c r="SI436" s="7"/>
      <c r="SJ436" s="7"/>
      <c r="SK436" s="7"/>
      <c r="SL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  <c r="RZ437" s="7"/>
      <c r="SA437" s="7"/>
      <c r="SB437" s="7"/>
      <c r="SC437" s="7"/>
      <c r="SD437" s="7"/>
      <c r="SE437" s="7"/>
      <c r="SF437" s="7"/>
      <c r="SG437" s="7"/>
      <c r="SH437" s="7"/>
      <c r="SI437" s="7"/>
      <c r="SJ437" s="7"/>
      <c r="SK437" s="7"/>
      <c r="SL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  <c r="RZ438" s="7"/>
      <c r="SA438" s="7"/>
      <c r="SB438" s="7"/>
      <c r="SC438" s="7"/>
      <c r="SD438" s="7"/>
      <c r="SE438" s="7"/>
      <c r="SF438" s="7"/>
      <c r="SG438" s="7"/>
      <c r="SH438" s="7"/>
      <c r="SI438" s="7"/>
      <c r="SJ438" s="7"/>
      <c r="SK438" s="7"/>
      <c r="SL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  <c r="RZ439" s="7"/>
      <c r="SA439" s="7"/>
      <c r="SB439" s="7"/>
      <c r="SC439" s="7"/>
      <c r="SD439" s="7"/>
      <c r="SE439" s="7"/>
      <c r="SF439" s="7"/>
      <c r="SG439" s="7"/>
      <c r="SH439" s="7"/>
      <c r="SI439" s="7"/>
      <c r="SJ439" s="7"/>
      <c r="SK439" s="7"/>
      <c r="SL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  <c r="RZ440" s="7"/>
      <c r="SA440" s="7"/>
      <c r="SB440" s="7"/>
      <c r="SC440" s="7"/>
      <c r="SD440" s="7"/>
      <c r="SE440" s="7"/>
      <c r="SF440" s="7"/>
      <c r="SG440" s="7"/>
      <c r="SH440" s="7"/>
      <c r="SI440" s="7"/>
      <c r="SJ440" s="7"/>
      <c r="SK440" s="7"/>
      <c r="SL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  <c r="RZ441" s="7"/>
      <c r="SA441" s="7"/>
      <c r="SB441" s="7"/>
      <c r="SC441" s="7"/>
      <c r="SD441" s="7"/>
      <c r="SE441" s="7"/>
      <c r="SF441" s="7"/>
      <c r="SG441" s="7"/>
      <c r="SH441" s="7"/>
      <c r="SI441" s="7"/>
      <c r="SJ441" s="7"/>
      <c r="SK441" s="7"/>
      <c r="SL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  <c r="RZ442" s="7"/>
      <c r="SA442" s="7"/>
      <c r="SB442" s="7"/>
      <c r="SC442" s="7"/>
      <c r="SD442" s="7"/>
      <c r="SE442" s="7"/>
      <c r="SF442" s="7"/>
      <c r="SG442" s="7"/>
      <c r="SH442" s="7"/>
      <c r="SI442" s="7"/>
      <c r="SJ442" s="7"/>
      <c r="SK442" s="7"/>
      <c r="SL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  <c r="RZ443" s="7"/>
      <c r="SA443" s="7"/>
      <c r="SB443" s="7"/>
      <c r="SC443" s="7"/>
      <c r="SD443" s="7"/>
      <c r="SE443" s="7"/>
      <c r="SF443" s="7"/>
      <c r="SG443" s="7"/>
      <c r="SH443" s="7"/>
      <c r="SI443" s="7"/>
      <c r="SJ443" s="7"/>
      <c r="SK443" s="7"/>
      <c r="SL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  <c r="RZ444" s="7"/>
      <c r="SA444" s="7"/>
      <c r="SB444" s="7"/>
      <c r="SC444" s="7"/>
      <c r="SD444" s="7"/>
      <c r="SE444" s="7"/>
      <c r="SF444" s="7"/>
      <c r="SG444" s="7"/>
      <c r="SH444" s="7"/>
      <c r="SI444" s="7"/>
      <c r="SJ444" s="7"/>
      <c r="SK444" s="7"/>
      <c r="SL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  <c r="RZ445" s="7"/>
      <c r="SA445" s="7"/>
      <c r="SB445" s="7"/>
      <c r="SC445" s="7"/>
      <c r="SD445" s="7"/>
      <c r="SE445" s="7"/>
      <c r="SF445" s="7"/>
      <c r="SG445" s="7"/>
      <c r="SH445" s="7"/>
      <c r="SI445" s="7"/>
      <c r="SJ445" s="7"/>
      <c r="SK445" s="7"/>
      <c r="SL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  <c r="RZ446" s="7"/>
      <c r="SA446" s="7"/>
      <c r="SB446" s="7"/>
      <c r="SC446" s="7"/>
      <c r="SD446" s="7"/>
      <c r="SE446" s="7"/>
      <c r="SF446" s="7"/>
      <c r="SG446" s="7"/>
      <c r="SH446" s="7"/>
      <c r="SI446" s="7"/>
      <c r="SJ446" s="7"/>
      <c r="SK446" s="7"/>
      <c r="SL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  <c r="RZ447" s="7"/>
      <c r="SA447" s="7"/>
      <c r="SB447" s="7"/>
      <c r="SC447" s="7"/>
      <c r="SD447" s="7"/>
      <c r="SE447" s="7"/>
      <c r="SF447" s="7"/>
      <c r="SG447" s="7"/>
      <c r="SH447" s="7"/>
      <c r="SI447" s="7"/>
      <c r="SJ447" s="7"/>
      <c r="SK447" s="7"/>
      <c r="SL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  <c r="RZ448" s="7"/>
      <c r="SA448" s="7"/>
      <c r="SB448" s="7"/>
      <c r="SC448" s="7"/>
      <c r="SD448" s="7"/>
      <c r="SE448" s="7"/>
      <c r="SF448" s="7"/>
      <c r="SG448" s="7"/>
      <c r="SH448" s="7"/>
      <c r="SI448" s="7"/>
      <c r="SJ448" s="7"/>
      <c r="SK448" s="7"/>
      <c r="SL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  <c r="RZ449" s="7"/>
      <c r="SA449" s="7"/>
      <c r="SB449" s="7"/>
      <c r="SC449" s="7"/>
      <c r="SD449" s="7"/>
      <c r="SE449" s="7"/>
      <c r="SF449" s="7"/>
      <c r="SG449" s="7"/>
      <c r="SH449" s="7"/>
      <c r="SI449" s="7"/>
      <c r="SJ449" s="7"/>
      <c r="SK449" s="7"/>
      <c r="SL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  <c r="RZ450" s="7"/>
      <c r="SA450" s="7"/>
      <c r="SB450" s="7"/>
      <c r="SC450" s="7"/>
      <c r="SD450" s="7"/>
      <c r="SE450" s="7"/>
      <c r="SF450" s="7"/>
      <c r="SG450" s="7"/>
      <c r="SH450" s="7"/>
      <c r="SI450" s="7"/>
      <c r="SJ450" s="7"/>
      <c r="SK450" s="7"/>
      <c r="SL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  <c r="RZ451" s="7"/>
      <c r="SA451" s="7"/>
      <c r="SB451" s="7"/>
      <c r="SC451" s="7"/>
      <c r="SD451" s="7"/>
      <c r="SE451" s="7"/>
      <c r="SF451" s="7"/>
      <c r="SG451" s="7"/>
      <c r="SH451" s="7"/>
      <c r="SI451" s="7"/>
      <c r="SJ451" s="7"/>
      <c r="SK451" s="7"/>
      <c r="SL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  <c r="RZ452" s="7"/>
      <c r="SA452" s="7"/>
      <c r="SB452" s="7"/>
      <c r="SC452" s="7"/>
      <c r="SD452" s="7"/>
      <c r="SE452" s="7"/>
      <c r="SF452" s="7"/>
      <c r="SG452" s="7"/>
      <c r="SH452" s="7"/>
      <c r="SI452" s="7"/>
      <c r="SJ452" s="7"/>
      <c r="SK452" s="7"/>
      <c r="SL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  <c r="RZ453" s="7"/>
      <c r="SA453" s="7"/>
      <c r="SB453" s="7"/>
      <c r="SC453" s="7"/>
      <c r="SD453" s="7"/>
      <c r="SE453" s="7"/>
      <c r="SF453" s="7"/>
      <c r="SG453" s="7"/>
      <c r="SH453" s="7"/>
      <c r="SI453" s="7"/>
      <c r="SJ453" s="7"/>
      <c r="SK453" s="7"/>
      <c r="SL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  <c r="RZ454" s="7"/>
      <c r="SA454" s="7"/>
      <c r="SB454" s="7"/>
      <c r="SC454" s="7"/>
      <c r="SD454" s="7"/>
      <c r="SE454" s="7"/>
      <c r="SF454" s="7"/>
      <c r="SG454" s="7"/>
      <c r="SH454" s="7"/>
      <c r="SI454" s="7"/>
      <c r="SJ454" s="7"/>
      <c r="SK454" s="7"/>
      <c r="SL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  <c r="RZ455" s="7"/>
      <c r="SA455" s="7"/>
      <c r="SB455" s="7"/>
      <c r="SC455" s="7"/>
      <c r="SD455" s="7"/>
      <c r="SE455" s="7"/>
      <c r="SF455" s="7"/>
      <c r="SG455" s="7"/>
      <c r="SH455" s="7"/>
      <c r="SI455" s="7"/>
      <c r="SJ455" s="7"/>
      <c r="SK455" s="7"/>
      <c r="SL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  <c r="RZ456" s="7"/>
      <c r="SA456" s="7"/>
      <c r="SB456" s="7"/>
      <c r="SC456" s="7"/>
      <c r="SD456" s="7"/>
      <c r="SE456" s="7"/>
      <c r="SF456" s="7"/>
      <c r="SG456" s="7"/>
      <c r="SH456" s="7"/>
      <c r="SI456" s="7"/>
      <c r="SJ456" s="7"/>
      <c r="SK456" s="7"/>
      <c r="SL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  <c r="RZ457" s="7"/>
      <c r="SA457" s="7"/>
      <c r="SB457" s="7"/>
      <c r="SC457" s="7"/>
      <c r="SD457" s="7"/>
      <c r="SE457" s="7"/>
      <c r="SF457" s="7"/>
      <c r="SG457" s="7"/>
      <c r="SH457" s="7"/>
      <c r="SI457" s="7"/>
      <c r="SJ457" s="7"/>
      <c r="SK457" s="7"/>
      <c r="SL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  <c r="RZ458" s="7"/>
      <c r="SA458" s="7"/>
      <c r="SB458" s="7"/>
      <c r="SC458" s="7"/>
      <c r="SD458" s="7"/>
      <c r="SE458" s="7"/>
      <c r="SF458" s="7"/>
      <c r="SG458" s="7"/>
      <c r="SH458" s="7"/>
      <c r="SI458" s="7"/>
      <c r="SJ458" s="7"/>
      <c r="SK458" s="7"/>
      <c r="SL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  <c r="RZ459" s="7"/>
      <c r="SA459" s="7"/>
      <c r="SB459" s="7"/>
      <c r="SC459" s="7"/>
      <c r="SD459" s="7"/>
      <c r="SE459" s="7"/>
      <c r="SF459" s="7"/>
      <c r="SG459" s="7"/>
      <c r="SH459" s="7"/>
      <c r="SI459" s="7"/>
      <c r="SJ459" s="7"/>
      <c r="SK459" s="7"/>
      <c r="SL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  <c r="RZ460" s="7"/>
      <c r="SA460" s="7"/>
      <c r="SB460" s="7"/>
      <c r="SC460" s="7"/>
      <c r="SD460" s="7"/>
      <c r="SE460" s="7"/>
      <c r="SF460" s="7"/>
      <c r="SG460" s="7"/>
      <c r="SH460" s="7"/>
      <c r="SI460" s="7"/>
      <c r="SJ460" s="7"/>
      <c r="SK460" s="7"/>
      <c r="SL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  <c r="RZ461" s="7"/>
      <c r="SA461" s="7"/>
      <c r="SB461" s="7"/>
      <c r="SC461" s="7"/>
      <c r="SD461" s="7"/>
      <c r="SE461" s="7"/>
      <c r="SF461" s="7"/>
      <c r="SG461" s="7"/>
      <c r="SH461" s="7"/>
      <c r="SI461" s="7"/>
      <c r="SJ461" s="7"/>
      <c r="SK461" s="7"/>
      <c r="SL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  <c r="RZ462" s="7"/>
      <c r="SA462" s="7"/>
      <c r="SB462" s="7"/>
      <c r="SC462" s="7"/>
      <c r="SD462" s="7"/>
      <c r="SE462" s="7"/>
      <c r="SF462" s="7"/>
      <c r="SG462" s="7"/>
      <c r="SH462" s="7"/>
      <c r="SI462" s="7"/>
      <c r="SJ462" s="7"/>
      <c r="SK462" s="7"/>
      <c r="SL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  <c r="RZ463" s="7"/>
      <c r="SA463" s="7"/>
      <c r="SB463" s="7"/>
      <c r="SC463" s="7"/>
      <c r="SD463" s="7"/>
      <c r="SE463" s="7"/>
      <c r="SF463" s="7"/>
      <c r="SG463" s="7"/>
      <c r="SH463" s="7"/>
      <c r="SI463" s="7"/>
      <c r="SJ463" s="7"/>
      <c r="SK463" s="7"/>
      <c r="SL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  <c r="RZ464" s="7"/>
      <c r="SA464" s="7"/>
      <c r="SB464" s="7"/>
      <c r="SC464" s="7"/>
      <c r="SD464" s="7"/>
      <c r="SE464" s="7"/>
      <c r="SF464" s="7"/>
      <c r="SG464" s="7"/>
      <c r="SH464" s="7"/>
      <c r="SI464" s="7"/>
      <c r="SJ464" s="7"/>
      <c r="SK464" s="7"/>
      <c r="SL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  <c r="RZ465" s="7"/>
      <c r="SA465" s="7"/>
      <c r="SB465" s="7"/>
      <c r="SC465" s="7"/>
      <c r="SD465" s="7"/>
      <c r="SE465" s="7"/>
      <c r="SF465" s="7"/>
      <c r="SG465" s="7"/>
      <c r="SH465" s="7"/>
      <c r="SI465" s="7"/>
      <c r="SJ465" s="7"/>
      <c r="SK465" s="7"/>
      <c r="SL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  <c r="RZ466" s="7"/>
      <c r="SA466" s="7"/>
      <c r="SB466" s="7"/>
      <c r="SC466" s="7"/>
      <c r="SD466" s="7"/>
      <c r="SE466" s="7"/>
      <c r="SF466" s="7"/>
      <c r="SG466" s="7"/>
      <c r="SH466" s="7"/>
      <c r="SI466" s="7"/>
      <c r="SJ466" s="7"/>
      <c r="SK466" s="7"/>
      <c r="SL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  <c r="RZ467" s="7"/>
      <c r="SA467" s="7"/>
      <c r="SB467" s="7"/>
      <c r="SC467" s="7"/>
      <c r="SD467" s="7"/>
      <c r="SE467" s="7"/>
      <c r="SF467" s="7"/>
      <c r="SG467" s="7"/>
      <c r="SH467" s="7"/>
      <c r="SI467" s="7"/>
      <c r="SJ467" s="7"/>
      <c r="SK467" s="7"/>
      <c r="SL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  <c r="RZ468" s="7"/>
      <c r="SA468" s="7"/>
      <c r="SB468" s="7"/>
      <c r="SC468" s="7"/>
      <c r="SD468" s="7"/>
      <c r="SE468" s="7"/>
      <c r="SF468" s="7"/>
      <c r="SG468" s="7"/>
      <c r="SH468" s="7"/>
      <c r="SI468" s="7"/>
      <c r="SJ468" s="7"/>
      <c r="SK468" s="7"/>
      <c r="SL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  <c r="RZ469" s="7"/>
      <c r="SA469" s="7"/>
      <c r="SB469" s="7"/>
      <c r="SC469" s="7"/>
      <c r="SD469" s="7"/>
      <c r="SE469" s="7"/>
      <c r="SF469" s="7"/>
      <c r="SG469" s="7"/>
      <c r="SH469" s="7"/>
      <c r="SI469" s="7"/>
      <c r="SJ469" s="7"/>
      <c r="SK469" s="7"/>
      <c r="SL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  <c r="RZ470" s="7"/>
      <c r="SA470" s="7"/>
      <c r="SB470" s="7"/>
      <c r="SC470" s="7"/>
      <c r="SD470" s="7"/>
      <c r="SE470" s="7"/>
      <c r="SF470" s="7"/>
      <c r="SG470" s="7"/>
      <c r="SH470" s="7"/>
      <c r="SI470" s="7"/>
      <c r="SJ470" s="7"/>
      <c r="SK470" s="7"/>
      <c r="SL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  <c r="RZ471" s="7"/>
      <c r="SA471" s="7"/>
      <c r="SB471" s="7"/>
      <c r="SC471" s="7"/>
      <c r="SD471" s="7"/>
      <c r="SE471" s="7"/>
      <c r="SF471" s="7"/>
      <c r="SG471" s="7"/>
      <c r="SH471" s="7"/>
      <c r="SI471" s="7"/>
      <c r="SJ471" s="7"/>
      <c r="SK471" s="7"/>
      <c r="SL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  <c r="RZ472" s="7"/>
      <c r="SA472" s="7"/>
      <c r="SB472" s="7"/>
      <c r="SC472" s="7"/>
      <c r="SD472" s="7"/>
      <c r="SE472" s="7"/>
      <c r="SF472" s="7"/>
      <c r="SG472" s="7"/>
      <c r="SH472" s="7"/>
      <c r="SI472" s="7"/>
      <c r="SJ472" s="7"/>
      <c r="SK472" s="7"/>
      <c r="SL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  <c r="RZ473" s="7"/>
      <c r="SA473" s="7"/>
      <c r="SB473" s="7"/>
      <c r="SC473" s="7"/>
      <c r="SD473" s="7"/>
      <c r="SE473" s="7"/>
      <c r="SF473" s="7"/>
      <c r="SG473" s="7"/>
      <c r="SH473" s="7"/>
      <c r="SI473" s="7"/>
      <c r="SJ473" s="7"/>
      <c r="SK473" s="7"/>
      <c r="SL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  <c r="RZ474" s="7"/>
      <c r="SA474" s="7"/>
      <c r="SB474" s="7"/>
      <c r="SC474" s="7"/>
      <c r="SD474" s="7"/>
      <c r="SE474" s="7"/>
      <c r="SF474" s="7"/>
      <c r="SG474" s="7"/>
      <c r="SH474" s="7"/>
      <c r="SI474" s="7"/>
      <c r="SJ474" s="7"/>
      <c r="SK474" s="7"/>
      <c r="SL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  <c r="RZ475" s="7"/>
      <c r="SA475" s="7"/>
      <c r="SB475" s="7"/>
      <c r="SC475" s="7"/>
      <c r="SD475" s="7"/>
      <c r="SE475" s="7"/>
      <c r="SF475" s="7"/>
      <c r="SG475" s="7"/>
      <c r="SH475" s="7"/>
      <c r="SI475" s="7"/>
      <c r="SJ475" s="7"/>
      <c r="SK475" s="7"/>
      <c r="SL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  <c r="RZ476" s="7"/>
      <c r="SA476" s="7"/>
      <c r="SB476" s="7"/>
      <c r="SC476" s="7"/>
      <c r="SD476" s="7"/>
      <c r="SE476" s="7"/>
      <c r="SF476" s="7"/>
      <c r="SG476" s="7"/>
      <c r="SH476" s="7"/>
      <c r="SI476" s="7"/>
      <c r="SJ476" s="7"/>
      <c r="SK476" s="7"/>
      <c r="SL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  <c r="RZ477" s="7"/>
      <c r="SA477" s="7"/>
      <c r="SB477" s="7"/>
      <c r="SC477" s="7"/>
      <c r="SD477" s="7"/>
      <c r="SE477" s="7"/>
      <c r="SF477" s="7"/>
      <c r="SG477" s="7"/>
      <c r="SH477" s="7"/>
      <c r="SI477" s="7"/>
      <c r="SJ477" s="7"/>
      <c r="SK477" s="7"/>
      <c r="SL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  <c r="RZ478" s="7"/>
      <c r="SA478" s="7"/>
      <c r="SB478" s="7"/>
      <c r="SC478" s="7"/>
      <c r="SD478" s="7"/>
      <c r="SE478" s="7"/>
      <c r="SF478" s="7"/>
      <c r="SG478" s="7"/>
      <c r="SH478" s="7"/>
      <c r="SI478" s="7"/>
      <c r="SJ478" s="7"/>
      <c r="SK478" s="7"/>
      <c r="SL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  <c r="RZ479" s="7"/>
      <c r="SA479" s="7"/>
      <c r="SB479" s="7"/>
      <c r="SC479" s="7"/>
      <c r="SD479" s="7"/>
      <c r="SE479" s="7"/>
      <c r="SF479" s="7"/>
      <c r="SG479" s="7"/>
      <c r="SH479" s="7"/>
      <c r="SI479" s="7"/>
      <c r="SJ479" s="7"/>
      <c r="SK479" s="7"/>
      <c r="SL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  <c r="RZ480" s="7"/>
      <c r="SA480" s="7"/>
      <c r="SB480" s="7"/>
      <c r="SC480" s="7"/>
      <c r="SD480" s="7"/>
      <c r="SE480" s="7"/>
      <c r="SF480" s="7"/>
      <c r="SG480" s="7"/>
      <c r="SH480" s="7"/>
      <c r="SI480" s="7"/>
      <c r="SJ480" s="7"/>
      <c r="SK480" s="7"/>
      <c r="SL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  <c r="RZ481" s="7"/>
      <c r="SA481" s="7"/>
      <c r="SB481" s="7"/>
      <c r="SC481" s="7"/>
      <c r="SD481" s="7"/>
      <c r="SE481" s="7"/>
      <c r="SF481" s="7"/>
      <c r="SG481" s="7"/>
      <c r="SH481" s="7"/>
      <c r="SI481" s="7"/>
      <c r="SJ481" s="7"/>
      <c r="SK481" s="7"/>
      <c r="SL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  <c r="RZ482" s="7"/>
      <c r="SA482" s="7"/>
      <c r="SB482" s="7"/>
      <c r="SC482" s="7"/>
      <c r="SD482" s="7"/>
      <c r="SE482" s="7"/>
      <c r="SF482" s="7"/>
      <c r="SG482" s="7"/>
      <c r="SH482" s="7"/>
      <c r="SI482" s="7"/>
      <c r="SJ482" s="7"/>
      <c r="SK482" s="7"/>
      <c r="SL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  <c r="RZ483" s="7"/>
      <c r="SA483" s="7"/>
      <c r="SB483" s="7"/>
      <c r="SC483" s="7"/>
      <c r="SD483" s="7"/>
      <c r="SE483" s="7"/>
      <c r="SF483" s="7"/>
      <c r="SG483" s="7"/>
      <c r="SH483" s="7"/>
      <c r="SI483" s="7"/>
      <c r="SJ483" s="7"/>
      <c r="SK483" s="7"/>
      <c r="SL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  <c r="RZ484" s="7"/>
      <c r="SA484" s="7"/>
      <c r="SB484" s="7"/>
      <c r="SC484" s="7"/>
      <c r="SD484" s="7"/>
      <c r="SE484" s="7"/>
      <c r="SF484" s="7"/>
      <c r="SG484" s="7"/>
      <c r="SH484" s="7"/>
      <c r="SI484" s="7"/>
      <c r="SJ484" s="7"/>
      <c r="SK484" s="7"/>
      <c r="SL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  <c r="RZ485" s="7"/>
      <c r="SA485" s="7"/>
      <c r="SB485" s="7"/>
      <c r="SC485" s="7"/>
      <c r="SD485" s="7"/>
      <c r="SE485" s="7"/>
      <c r="SF485" s="7"/>
      <c r="SG485" s="7"/>
      <c r="SH485" s="7"/>
      <c r="SI485" s="7"/>
      <c r="SJ485" s="7"/>
      <c r="SK485" s="7"/>
      <c r="SL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  <c r="RZ486" s="7"/>
      <c r="SA486" s="7"/>
      <c r="SB486" s="7"/>
      <c r="SC486" s="7"/>
      <c r="SD486" s="7"/>
      <c r="SE486" s="7"/>
      <c r="SF486" s="7"/>
      <c r="SG486" s="7"/>
      <c r="SH486" s="7"/>
      <c r="SI486" s="7"/>
      <c r="SJ486" s="7"/>
      <c r="SK486" s="7"/>
      <c r="SL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  <c r="RZ487" s="7"/>
      <c r="SA487" s="7"/>
      <c r="SB487" s="7"/>
      <c r="SC487" s="7"/>
      <c r="SD487" s="7"/>
      <c r="SE487" s="7"/>
      <c r="SF487" s="7"/>
      <c r="SG487" s="7"/>
      <c r="SH487" s="7"/>
      <c r="SI487" s="7"/>
      <c r="SJ487" s="7"/>
      <c r="SK487" s="7"/>
      <c r="SL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  <c r="RZ488" s="7"/>
      <c r="SA488" s="7"/>
      <c r="SB488" s="7"/>
      <c r="SC488" s="7"/>
      <c r="SD488" s="7"/>
      <c r="SE488" s="7"/>
      <c r="SF488" s="7"/>
      <c r="SG488" s="7"/>
      <c r="SH488" s="7"/>
      <c r="SI488" s="7"/>
      <c r="SJ488" s="7"/>
      <c r="SK488" s="7"/>
      <c r="SL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  <c r="RZ489" s="7"/>
      <c r="SA489" s="7"/>
      <c r="SB489" s="7"/>
      <c r="SC489" s="7"/>
      <c r="SD489" s="7"/>
      <c r="SE489" s="7"/>
      <c r="SF489" s="7"/>
      <c r="SG489" s="7"/>
      <c r="SH489" s="7"/>
      <c r="SI489" s="7"/>
      <c r="SJ489" s="7"/>
      <c r="SK489" s="7"/>
      <c r="SL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  <c r="RZ490" s="7"/>
      <c r="SA490" s="7"/>
      <c r="SB490" s="7"/>
      <c r="SC490" s="7"/>
      <c r="SD490" s="7"/>
      <c r="SE490" s="7"/>
      <c r="SF490" s="7"/>
      <c r="SG490" s="7"/>
      <c r="SH490" s="7"/>
      <c r="SI490" s="7"/>
      <c r="SJ490" s="7"/>
      <c r="SK490" s="7"/>
      <c r="SL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  <c r="RZ491" s="7"/>
      <c r="SA491" s="7"/>
      <c r="SB491" s="7"/>
      <c r="SC491" s="7"/>
      <c r="SD491" s="7"/>
      <c r="SE491" s="7"/>
      <c r="SF491" s="7"/>
      <c r="SG491" s="7"/>
      <c r="SH491" s="7"/>
      <c r="SI491" s="7"/>
      <c r="SJ491" s="7"/>
      <c r="SK491" s="7"/>
      <c r="SL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  <c r="RZ492" s="7"/>
      <c r="SA492" s="7"/>
      <c r="SB492" s="7"/>
      <c r="SC492" s="7"/>
      <c r="SD492" s="7"/>
      <c r="SE492" s="7"/>
      <c r="SF492" s="7"/>
      <c r="SG492" s="7"/>
      <c r="SH492" s="7"/>
      <c r="SI492" s="7"/>
      <c r="SJ492" s="7"/>
      <c r="SK492" s="7"/>
      <c r="SL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  <c r="RZ493" s="7"/>
      <c r="SA493" s="7"/>
      <c r="SB493" s="7"/>
      <c r="SC493" s="7"/>
      <c r="SD493" s="7"/>
      <c r="SE493" s="7"/>
      <c r="SF493" s="7"/>
      <c r="SG493" s="7"/>
      <c r="SH493" s="7"/>
      <c r="SI493" s="7"/>
      <c r="SJ493" s="7"/>
      <c r="SK493" s="7"/>
      <c r="SL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  <c r="RZ494" s="7"/>
      <c r="SA494" s="7"/>
      <c r="SB494" s="7"/>
      <c r="SC494" s="7"/>
      <c r="SD494" s="7"/>
      <c r="SE494" s="7"/>
      <c r="SF494" s="7"/>
      <c r="SG494" s="7"/>
      <c r="SH494" s="7"/>
      <c r="SI494" s="7"/>
      <c r="SJ494" s="7"/>
      <c r="SK494" s="7"/>
      <c r="SL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  <c r="RZ495" s="7"/>
      <c r="SA495" s="7"/>
      <c r="SB495" s="7"/>
      <c r="SC495" s="7"/>
      <c r="SD495" s="7"/>
      <c r="SE495" s="7"/>
      <c r="SF495" s="7"/>
      <c r="SG495" s="7"/>
      <c r="SH495" s="7"/>
      <c r="SI495" s="7"/>
      <c r="SJ495" s="7"/>
      <c r="SK495" s="7"/>
      <c r="SL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  <c r="RZ496" s="7"/>
      <c r="SA496" s="7"/>
      <c r="SB496" s="7"/>
      <c r="SC496" s="7"/>
      <c r="SD496" s="7"/>
      <c r="SE496" s="7"/>
      <c r="SF496" s="7"/>
      <c r="SG496" s="7"/>
      <c r="SH496" s="7"/>
      <c r="SI496" s="7"/>
      <c r="SJ496" s="7"/>
      <c r="SK496" s="7"/>
      <c r="SL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  <c r="RZ497" s="7"/>
      <c r="SA497" s="7"/>
      <c r="SB497" s="7"/>
      <c r="SC497" s="7"/>
      <c r="SD497" s="7"/>
      <c r="SE497" s="7"/>
      <c r="SF497" s="7"/>
      <c r="SG497" s="7"/>
      <c r="SH497" s="7"/>
      <c r="SI497" s="7"/>
      <c r="SJ497" s="7"/>
      <c r="SK497" s="7"/>
      <c r="SL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  <c r="RZ498" s="7"/>
      <c r="SA498" s="7"/>
      <c r="SB498" s="7"/>
      <c r="SC498" s="7"/>
      <c r="SD498" s="7"/>
      <c r="SE498" s="7"/>
      <c r="SF498" s="7"/>
      <c r="SG498" s="7"/>
      <c r="SH498" s="7"/>
      <c r="SI498" s="7"/>
      <c r="SJ498" s="7"/>
      <c r="SK498" s="7"/>
      <c r="SL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  <c r="RZ499" s="7"/>
      <c r="SA499" s="7"/>
      <c r="SB499" s="7"/>
      <c r="SC499" s="7"/>
      <c r="SD499" s="7"/>
      <c r="SE499" s="7"/>
      <c r="SF499" s="7"/>
      <c r="SG499" s="7"/>
      <c r="SH499" s="7"/>
      <c r="SI499" s="7"/>
      <c r="SJ499" s="7"/>
      <c r="SK499" s="7"/>
      <c r="SL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  <c r="RZ500" s="7"/>
      <c r="SA500" s="7"/>
      <c r="SB500" s="7"/>
      <c r="SC500" s="7"/>
      <c r="SD500" s="7"/>
      <c r="SE500" s="7"/>
      <c r="SF500" s="7"/>
      <c r="SG500" s="7"/>
      <c r="SH500" s="7"/>
      <c r="SI500" s="7"/>
      <c r="SJ500" s="7"/>
      <c r="SK500" s="7"/>
      <c r="SL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  <c r="RZ501" s="7"/>
      <c r="SA501" s="7"/>
      <c r="SB501" s="7"/>
      <c r="SC501" s="7"/>
      <c r="SD501" s="7"/>
      <c r="SE501" s="7"/>
      <c r="SF501" s="7"/>
      <c r="SG501" s="7"/>
      <c r="SH501" s="7"/>
      <c r="SI501" s="7"/>
      <c r="SJ501" s="7"/>
      <c r="SK501" s="7"/>
      <c r="SL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  <c r="RZ502" s="7"/>
      <c r="SA502" s="7"/>
      <c r="SB502" s="7"/>
      <c r="SC502" s="7"/>
      <c r="SD502" s="7"/>
      <c r="SE502" s="7"/>
      <c r="SF502" s="7"/>
      <c r="SG502" s="7"/>
      <c r="SH502" s="7"/>
      <c r="SI502" s="7"/>
      <c r="SJ502" s="7"/>
      <c r="SK502" s="7"/>
      <c r="SL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  <c r="RZ503" s="7"/>
      <c r="SA503" s="7"/>
      <c r="SB503" s="7"/>
      <c r="SC503" s="7"/>
      <c r="SD503" s="7"/>
      <c r="SE503" s="7"/>
      <c r="SF503" s="7"/>
      <c r="SG503" s="7"/>
      <c r="SH503" s="7"/>
      <c r="SI503" s="7"/>
      <c r="SJ503" s="7"/>
      <c r="SK503" s="7"/>
      <c r="SL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  <c r="RZ504" s="7"/>
      <c r="SA504" s="7"/>
      <c r="SB504" s="7"/>
      <c r="SC504" s="7"/>
      <c r="SD504" s="7"/>
      <c r="SE504" s="7"/>
      <c r="SF504" s="7"/>
      <c r="SG504" s="7"/>
      <c r="SH504" s="7"/>
      <c r="SI504" s="7"/>
      <c r="SJ504" s="7"/>
      <c r="SK504" s="7"/>
      <c r="SL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  <c r="RZ505" s="7"/>
      <c r="SA505" s="7"/>
      <c r="SB505" s="7"/>
      <c r="SC505" s="7"/>
      <c r="SD505" s="7"/>
      <c r="SE505" s="7"/>
      <c r="SF505" s="7"/>
      <c r="SG505" s="7"/>
      <c r="SH505" s="7"/>
      <c r="SI505" s="7"/>
      <c r="SJ505" s="7"/>
      <c r="SK505" s="7"/>
      <c r="SL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  <c r="RZ506" s="7"/>
      <c r="SA506" s="7"/>
      <c r="SB506" s="7"/>
      <c r="SC506" s="7"/>
      <c r="SD506" s="7"/>
      <c r="SE506" s="7"/>
      <c r="SF506" s="7"/>
      <c r="SG506" s="7"/>
      <c r="SH506" s="7"/>
      <c r="SI506" s="7"/>
      <c r="SJ506" s="7"/>
      <c r="SK506" s="7"/>
      <c r="SL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  <c r="RZ507" s="7"/>
      <c r="SA507" s="7"/>
      <c r="SB507" s="7"/>
      <c r="SC507" s="7"/>
      <c r="SD507" s="7"/>
      <c r="SE507" s="7"/>
      <c r="SF507" s="7"/>
      <c r="SG507" s="7"/>
      <c r="SH507" s="7"/>
      <c r="SI507" s="7"/>
      <c r="SJ507" s="7"/>
      <c r="SK507" s="7"/>
      <c r="SL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  <c r="RZ508" s="7"/>
      <c r="SA508" s="7"/>
      <c r="SB508" s="7"/>
      <c r="SC508" s="7"/>
      <c r="SD508" s="7"/>
      <c r="SE508" s="7"/>
      <c r="SF508" s="7"/>
      <c r="SG508" s="7"/>
      <c r="SH508" s="7"/>
      <c r="SI508" s="7"/>
      <c r="SJ508" s="7"/>
      <c r="SK508" s="7"/>
      <c r="SL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  <c r="RZ509" s="7"/>
      <c r="SA509" s="7"/>
      <c r="SB509" s="7"/>
      <c r="SC509" s="7"/>
      <c r="SD509" s="7"/>
      <c r="SE509" s="7"/>
      <c r="SF509" s="7"/>
      <c r="SG509" s="7"/>
      <c r="SH509" s="7"/>
      <c r="SI509" s="7"/>
      <c r="SJ509" s="7"/>
      <c r="SK509" s="7"/>
      <c r="SL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  <c r="RZ510" s="7"/>
      <c r="SA510" s="7"/>
      <c r="SB510" s="7"/>
      <c r="SC510" s="7"/>
      <c r="SD510" s="7"/>
      <c r="SE510" s="7"/>
      <c r="SF510" s="7"/>
      <c r="SG510" s="7"/>
      <c r="SH510" s="7"/>
      <c r="SI510" s="7"/>
      <c r="SJ510" s="7"/>
      <c r="SK510" s="7"/>
      <c r="SL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  <c r="RZ511" s="7"/>
      <c r="SA511" s="7"/>
      <c r="SB511" s="7"/>
      <c r="SC511" s="7"/>
      <c r="SD511" s="7"/>
      <c r="SE511" s="7"/>
      <c r="SF511" s="7"/>
      <c r="SG511" s="7"/>
      <c r="SH511" s="7"/>
      <c r="SI511" s="7"/>
      <c r="SJ511" s="7"/>
      <c r="SK511" s="7"/>
      <c r="SL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  <c r="RZ512" s="7"/>
      <c r="SA512" s="7"/>
      <c r="SB512" s="7"/>
      <c r="SC512" s="7"/>
      <c r="SD512" s="7"/>
      <c r="SE512" s="7"/>
      <c r="SF512" s="7"/>
      <c r="SG512" s="7"/>
      <c r="SH512" s="7"/>
      <c r="SI512" s="7"/>
      <c r="SJ512" s="7"/>
      <c r="SK512" s="7"/>
      <c r="SL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  <c r="RZ513" s="7"/>
      <c r="SA513" s="7"/>
      <c r="SB513" s="7"/>
      <c r="SC513" s="7"/>
      <c r="SD513" s="7"/>
      <c r="SE513" s="7"/>
      <c r="SF513" s="7"/>
      <c r="SG513" s="7"/>
      <c r="SH513" s="7"/>
      <c r="SI513" s="7"/>
      <c r="SJ513" s="7"/>
      <c r="SK513" s="7"/>
      <c r="SL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  <c r="RZ514" s="7"/>
      <c r="SA514" s="7"/>
      <c r="SB514" s="7"/>
      <c r="SC514" s="7"/>
      <c r="SD514" s="7"/>
      <c r="SE514" s="7"/>
      <c r="SF514" s="7"/>
      <c r="SG514" s="7"/>
      <c r="SH514" s="7"/>
      <c r="SI514" s="7"/>
      <c r="SJ514" s="7"/>
      <c r="SK514" s="7"/>
      <c r="SL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  <c r="RZ515" s="7"/>
      <c r="SA515" s="7"/>
      <c r="SB515" s="7"/>
      <c r="SC515" s="7"/>
      <c r="SD515" s="7"/>
      <c r="SE515" s="7"/>
      <c r="SF515" s="7"/>
      <c r="SG515" s="7"/>
      <c r="SH515" s="7"/>
      <c r="SI515" s="7"/>
      <c r="SJ515" s="7"/>
      <c r="SK515" s="7"/>
      <c r="SL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  <c r="RZ516" s="7"/>
      <c r="SA516" s="7"/>
      <c r="SB516" s="7"/>
      <c r="SC516" s="7"/>
      <c r="SD516" s="7"/>
      <c r="SE516" s="7"/>
      <c r="SF516" s="7"/>
      <c r="SG516" s="7"/>
      <c r="SH516" s="7"/>
      <c r="SI516" s="7"/>
      <c r="SJ516" s="7"/>
      <c r="SK516" s="7"/>
      <c r="SL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  <c r="RZ517" s="7"/>
      <c r="SA517" s="7"/>
      <c r="SB517" s="7"/>
      <c r="SC517" s="7"/>
      <c r="SD517" s="7"/>
      <c r="SE517" s="7"/>
      <c r="SF517" s="7"/>
      <c r="SG517" s="7"/>
      <c r="SH517" s="7"/>
      <c r="SI517" s="7"/>
      <c r="SJ517" s="7"/>
      <c r="SK517" s="7"/>
      <c r="SL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  <c r="RZ518" s="7"/>
      <c r="SA518" s="7"/>
      <c r="SB518" s="7"/>
      <c r="SC518" s="7"/>
      <c r="SD518" s="7"/>
      <c r="SE518" s="7"/>
      <c r="SF518" s="7"/>
      <c r="SG518" s="7"/>
      <c r="SH518" s="7"/>
      <c r="SI518" s="7"/>
      <c r="SJ518" s="7"/>
      <c r="SK518" s="7"/>
      <c r="SL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  <c r="RZ519" s="7"/>
      <c r="SA519" s="7"/>
      <c r="SB519" s="7"/>
      <c r="SC519" s="7"/>
      <c r="SD519" s="7"/>
      <c r="SE519" s="7"/>
      <c r="SF519" s="7"/>
      <c r="SG519" s="7"/>
      <c r="SH519" s="7"/>
      <c r="SI519" s="7"/>
      <c r="SJ519" s="7"/>
      <c r="SK519" s="7"/>
      <c r="SL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  <c r="RZ520" s="7"/>
      <c r="SA520" s="7"/>
      <c r="SB520" s="7"/>
      <c r="SC520" s="7"/>
      <c r="SD520" s="7"/>
      <c r="SE520" s="7"/>
      <c r="SF520" s="7"/>
      <c r="SG520" s="7"/>
      <c r="SH520" s="7"/>
      <c r="SI520" s="7"/>
      <c r="SJ520" s="7"/>
      <c r="SK520" s="7"/>
      <c r="SL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  <c r="RZ521" s="7"/>
      <c r="SA521" s="7"/>
      <c r="SB521" s="7"/>
      <c r="SC521" s="7"/>
      <c r="SD521" s="7"/>
      <c r="SE521" s="7"/>
      <c r="SF521" s="7"/>
      <c r="SG521" s="7"/>
      <c r="SH521" s="7"/>
      <c r="SI521" s="7"/>
      <c r="SJ521" s="7"/>
      <c r="SK521" s="7"/>
      <c r="SL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  <c r="RZ522" s="7"/>
      <c r="SA522" s="7"/>
      <c r="SB522" s="7"/>
      <c r="SC522" s="7"/>
      <c r="SD522" s="7"/>
      <c r="SE522" s="7"/>
      <c r="SF522" s="7"/>
      <c r="SG522" s="7"/>
      <c r="SH522" s="7"/>
      <c r="SI522" s="7"/>
      <c r="SJ522" s="7"/>
      <c r="SK522" s="7"/>
      <c r="SL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  <c r="RZ523" s="7"/>
      <c r="SA523" s="7"/>
      <c r="SB523" s="7"/>
      <c r="SC523" s="7"/>
      <c r="SD523" s="7"/>
      <c r="SE523" s="7"/>
      <c r="SF523" s="7"/>
      <c r="SG523" s="7"/>
      <c r="SH523" s="7"/>
      <c r="SI523" s="7"/>
      <c r="SJ523" s="7"/>
      <c r="SK523" s="7"/>
      <c r="SL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  <c r="RZ524" s="7"/>
      <c r="SA524" s="7"/>
      <c r="SB524" s="7"/>
      <c r="SC524" s="7"/>
      <c r="SD524" s="7"/>
      <c r="SE524" s="7"/>
      <c r="SF524" s="7"/>
      <c r="SG524" s="7"/>
      <c r="SH524" s="7"/>
      <c r="SI524" s="7"/>
      <c r="SJ524" s="7"/>
      <c r="SK524" s="7"/>
      <c r="SL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  <c r="RZ525" s="7"/>
      <c r="SA525" s="7"/>
      <c r="SB525" s="7"/>
      <c r="SC525" s="7"/>
      <c r="SD525" s="7"/>
      <c r="SE525" s="7"/>
      <c r="SF525" s="7"/>
      <c r="SG525" s="7"/>
      <c r="SH525" s="7"/>
      <c r="SI525" s="7"/>
      <c r="SJ525" s="7"/>
      <c r="SK525" s="7"/>
      <c r="SL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  <c r="RZ526" s="7"/>
      <c r="SA526" s="7"/>
      <c r="SB526" s="7"/>
      <c r="SC526" s="7"/>
      <c r="SD526" s="7"/>
      <c r="SE526" s="7"/>
      <c r="SF526" s="7"/>
      <c r="SG526" s="7"/>
      <c r="SH526" s="7"/>
      <c r="SI526" s="7"/>
      <c r="SJ526" s="7"/>
      <c r="SK526" s="7"/>
      <c r="SL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  <c r="RZ527" s="7"/>
      <c r="SA527" s="7"/>
      <c r="SB527" s="7"/>
      <c r="SC527" s="7"/>
      <c r="SD527" s="7"/>
      <c r="SE527" s="7"/>
      <c r="SF527" s="7"/>
      <c r="SG527" s="7"/>
      <c r="SH527" s="7"/>
      <c r="SI527" s="7"/>
      <c r="SJ527" s="7"/>
      <c r="SK527" s="7"/>
      <c r="SL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  <c r="RZ528" s="7"/>
      <c r="SA528" s="7"/>
      <c r="SB528" s="7"/>
      <c r="SC528" s="7"/>
      <c r="SD528" s="7"/>
      <c r="SE528" s="7"/>
      <c r="SF528" s="7"/>
      <c r="SG528" s="7"/>
      <c r="SH528" s="7"/>
      <c r="SI528" s="7"/>
      <c r="SJ528" s="7"/>
      <c r="SK528" s="7"/>
      <c r="SL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  <c r="RZ529" s="7"/>
      <c r="SA529" s="7"/>
      <c r="SB529" s="7"/>
      <c r="SC529" s="7"/>
      <c r="SD529" s="7"/>
      <c r="SE529" s="7"/>
      <c r="SF529" s="7"/>
      <c r="SG529" s="7"/>
      <c r="SH529" s="7"/>
      <c r="SI529" s="7"/>
      <c r="SJ529" s="7"/>
      <c r="SK529" s="7"/>
      <c r="SL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  <c r="RZ530" s="7"/>
      <c r="SA530" s="7"/>
      <c r="SB530" s="7"/>
      <c r="SC530" s="7"/>
      <c r="SD530" s="7"/>
      <c r="SE530" s="7"/>
      <c r="SF530" s="7"/>
      <c r="SG530" s="7"/>
      <c r="SH530" s="7"/>
      <c r="SI530" s="7"/>
      <c r="SJ530" s="7"/>
      <c r="SK530" s="7"/>
      <c r="SL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  <c r="RZ531" s="7"/>
      <c r="SA531" s="7"/>
      <c r="SB531" s="7"/>
      <c r="SC531" s="7"/>
      <c r="SD531" s="7"/>
      <c r="SE531" s="7"/>
      <c r="SF531" s="7"/>
      <c r="SG531" s="7"/>
      <c r="SH531" s="7"/>
      <c r="SI531" s="7"/>
      <c r="SJ531" s="7"/>
      <c r="SK531" s="7"/>
      <c r="SL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  <c r="RZ532" s="7"/>
      <c r="SA532" s="7"/>
      <c r="SB532" s="7"/>
      <c r="SC532" s="7"/>
      <c r="SD532" s="7"/>
      <c r="SE532" s="7"/>
      <c r="SF532" s="7"/>
      <c r="SG532" s="7"/>
      <c r="SH532" s="7"/>
      <c r="SI532" s="7"/>
      <c r="SJ532" s="7"/>
      <c r="SK532" s="7"/>
      <c r="SL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  <c r="RZ533" s="7"/>
      <c r="SA533" s="7"/>
      <c r="SB533" s="7"/>
      <c r="SC533" s="7"/>
      <c r="SD533" s="7"/>
      <c r="SE533" s="7"/>
      <c r="SF533" s="7"/>
      <c r="SG533" s="7"/>
      <c r="SH533" s="7"/>
      <c r="SI533" s="7"/>
      <c r="SJ533" s="7"/>
      <c r="SK533" s="7"/>
      <c r="SL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  <c r="RZ534" s="7"/>
      <c r="SA534" s="7"/>
      <c r="SB534" s="7"/>
      <c r="SC534" s="7"/>
      <c r="SD534" s="7"/>
      <c r="SE534" s="7"/>
      <c r="SF534" s="7"/>
      <c r="SG534" s="7"/>
      <c r="SH534" s="7"/>
      <c r="SI534" s="7"/>
      <c r="SJ534" s="7"/>
      <c r="SK534" s="7"/>
      <c r="SL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  <c r="RZ535" s="7"/>
      <c r="SA535" s="7"/>
      <c r="SB535" s="7"/>
      <c r="SC535" s="7"/>
      <c r="SD535" s="7"/>
      <c r="SE535" s="7"/>
      <c r="SF535" s="7"/>
      <c r="SG535" s="7"/>
      <c r="SH535" s="7"/>
      <c r="SI535" s="7"/>
      <c r="SJ535" s="7"/>
      <c r="SK535" s="7"/>
      <c r="SL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  <c r="RZ536" s="7"/>
      <c r="SA536" s="7"/>
      <c r="SB536" s="7"/>
      <c r="SC536" s="7"/>
      <c r="SD536" s="7"/>
      <c r="SE536" s="7"/>
      <c r="SF536" s="7"/>
      <c r="SG536" s="7"/>
      <c r="SH536" s="7"/>
      <c r="SI536" s="7"/>
      <c r="SJ536" s="7"/>
      <c r="SK536" s="7"/>
      <c r="SL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  <c r="RZ537" s="7"/>
      <c r="SA537" s="7"/>
      <c r="SB537" s="7"/>
      <c r="SC537" s="7"/>
      <c r="SD537" s="7"/>
      <c r="SE537" s="7"/>
      <c r="SF537" s="7"/>
      <c r="SG537" s="7"/>
      <c r="SH537" s="7"/>
      <c r="SI537" s="7"/>
      <c r="SJ537" s="7"/>
      <c r="SK537" s="7"/>
      <c r="SL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  <c r="RZ538" s="7"/>
      <c r="SA538" s="7"/>
      <c r="SB538" s="7"/>
      <c r="SC538" s="7"/>
      <c r="SD538" s="7"/>
      <c r="SE538" s="7"/>
      <c r="SF538" s="7"/>
      <c r="SG538" s="7"/>
      <c r="SH538" s="7"/>
      <c r="SI538" s="7"/>
      <c r="SJ538" s="7"/>
      <c r="SK538" s="7"/>
      <c r="SL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  <c r="RZ539" s="7"/>
      <c r="SA539" s="7"/>
      <c r="SB539" s="7"/>
      <c r="SC539" s="7"/>
      <c r="SD539" s="7"/>
      <c r="SE539" s="7"/>
      <c r="SF539" s="7"/>
      <c r="SG539" s="7"/>
      <c r="SH539" s="7"/>
      <c r="SI539" s="7"/>
      <c r="SJ539" s="7"/>
      <c r="SK539" s="7"/>
      <c r="SL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  <c r="RZ540" s="7"/>
      <c r="SA540" s="7"/>
      <c r="SB540" s="7"/>
      <c r="SC540" s="7"/>
      <c r="SD540" s="7"/>
      <c r="SE540" s="7"/>
      <c r="SF540" s="7"/>
      <c r="SG540" s="7"/>
      <c r="SH540" s="7"/>
      <c r="SI540" s="7"/>
      <c r="SJ540" s="7"/>
      <c r="SK540" s="7"/>
      <c r="SL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  <c r="RZ541" s="7"/>
      <c r="SA541" s="7"/>
      <c r="SB541" s="7"/>
      <c r="SC541" s="7"/>
      <c r="SD541" s="7"/>
      <c r="SE541" s="7"/>
      <c r="SF541" s="7"/>
      <c r="SG541" s="7"/>
      <c r="SH541" s="7"/>
      <c r="SI541" s="7"/>
      <c r="SJ541" s="7"/>
      <c r="SK541" s="7"/>
      <c r="SL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  <c r="RZ542" s="7"/>
      <c r="SA542" s="7"/>
      <c r="SB542" s="7"/>
      <c r="SC542" s="7"/>
      <c r="SD542" s="7"/>
      <c r="SE542" s="7"/>
      <c r="SF542" s="7"/>
      <c r="SG542" s="7"/>
      <c r="SH542" s="7"/>
      <c r="SI542" s="7"/>
      <c r="SJ542" s="7"/>
      <c r="SK542" s="7"/>
      <c r="SL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  <c r="RZ543" s="7"/>
      <c r="SA543" s="7"/>
      <c r="SB543" s="7"/>
      <c r="SC543" s="7"/>
      <c r="SD543" s="7"/>
      <c r="SE543" s="7"/>
      <c r="SF543" s="7"/>
      <c r="SG543" s="7"/>
      <c r="SH543" s="7"/>
      <c r="SI543" s="7"/>
      <c r="SJ543" s="7"/>
      <c r="SK543" s="7"/>
      <c r="SL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  <c r="RZ544" s="7"/>
      <c r="SA544" s="7"/>
      <c r="SB544" s="7"/>
      <c r="SC544" s="7"/>
      <c r="SD544" s="7"/>
      <c r="SE544" s="7"/>
      <c r="SF544" s="7"/>
      <c r="SG544" s="7"/>
      <c r="SH544" s="7"/>
      <c r="SI544" s="7"/>
      <c r="SJ544" s="7"/>
      <c r="SK544" s="7"/>
      <c r="SL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  <c r="RZ545" s="7"/>
      <c r="SA545" s="7"/>
      <c r="SB545" s="7"/>
      <c r="SC545" s="7"/>
      <c r="SD545" s="7"/>
      <c r="SE545" s="7"/>
      <c r="SF545" s="7"/>
      <c r="SG545" s="7"/>
      <c r="SH545" s="7"/>
      <c r="SI545" s="7"/>
      <c r="SJ545" s="7"/>
      <c r="SK545" s="7"/>
      <c r="SL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  <c r="RZ546" s="7"/>
      <c r="SA546" s="7"/>
      <c r="SB546" s="7"/>
      <c r="SC546" s="7"/>
      <c r="SD546" s="7"/>
      <c r="SE546" s="7"/>
      <c r="SF546" s="7"/>
      <c r="SG546" s="7"/>
      <c r="SH546" s="7"/>
      <c r="SI546" s="7"/>
      <c r="SJ546" s="7"/>
      <c r="SK546" s="7"/>
      <c r="SL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  <c r="RZ547" s="7"/>
      <c r="SA547" s="7"/>
      <c r="SB547" s="7"/>
      <c r="SC547" s="7"/>
      <c r="SD547" s="7"/>
      <c r="SE547" s="7"/>
      <c r="SF547" s="7"/>
      <c r="SG547" s="7"/>
      <c r="SH547" s="7"/>
      <c r="SI547" s="7"/>
      <c r="SJ547" s="7"/>
      <c r="SK547" s="7"/>
      <c r="SL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  <c r="RZ548" s="7"/>
      <c r="SA548" s="7"/>
      <c r="SB548" s="7"/>
      <c r="SC548" s="7"/>
      <c r="SD548" s="7"/>
      <c r="SE548" s="7"/>
      <c r="SF548" s="7"/>
      <c r="SG548" s="7"/>
      <c r="SH548" s="7"/>
      <c r="SI548" s="7"/>
      <c r="SJ548" s="7"/>
      <c r="SK548" s="7"/>
      <c r="SL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  <c r="RZ549" s="7"/>
      <c r="SA549" s="7"/>
      <c r="SB549" s="7"/>
      <c r="SC549" s="7"/>
      <c r="SD549" s="7"/>
      <c r="SE549" s="7"/>
      <c r="SF549" s="7"/>
      <c r="SG549" s="7"/>
      <c r="SH549" s="7"/>
      <c r="SI549" s="7"/>
      <c r="SJ549" s="7"/>
      <c r="SK549" s="7"/>
      <c r="SL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  <c r="RZ550" s="7"/>
      <c r="SA550" s="7"/>
      <c r="SB550" s="7"/>
      <c r="SC550" s="7"/>
      <c r="SD550" s="7"/>
      <c r="SE550" s="7"/>
      <c r="SF550" s="7"/>
      <c r="SG550" s="7"/>
      <c r="SH550" s="7"/>
      <c r="SI550" s="7"/>
      <c r="SJ550" s="7"/>
      <c r="SK550" s="7"/>
      <c r="SL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  <c r="RZ551" s="7"/>
      <c r="SA551" s="7"/>
      <c r="SB551" s="7"/>
      <c r="SC551" s="7"/>
      <c r="SD551" s="7"/>
      <c r="SE551" s="7"/>
      <c r="SF551" s="7"/>
      <c r="SG551" s="7"/>
      <c r="SH551" s="7"/>
      <c r="SI551" s="7"/>
      <c r="SJ551" s="7"/>
      <c r="SK551" s="7"/>
      <c r="SL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  <c r="RZ552" s="7"/>
      <c r="SA552" s="7"/>
      <c r="SB552" s="7"/>
      <c r="SC552" s="7"/>
      <c r="SD552" s="7"/>
      <c r="SE552" s="7"/>
      <c r="SF552" s="7"/>
      <c r="SG552" s="7"/>
      <c r="SH552" s="7"/>
      <c r="SI552" s="7"/>
      <c r="SJ552" s="7"/>
      <c r="SK552" s="7"/>
      <c r="SL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  <c r="RZ553" s="7"/>
      <c r="SA553" s="7"/>
      <c r="SB553" s="7"/>
      <c r="SC553" s="7"/>
      <c r="SD553" s="7"/>
      <c r="SE553" s="7"/>
      <c r="SF553" s="7"/>
      <c r="SG553" s="7"/>
      <c r="SH553" s="7"/>
      <c r="SI553" s="7"/>
      <c r="SJ553" s="7"/>
      <c r="SK553" s="7"/>
      <c r="SL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  <c r="RZ554" s="7"/>
      <c r="SA554" s="7"/>
      <c r="SB554" s="7"/>
      <c r="SC554" s="7"/>
      <c r="SD554" s="7"/>
      <c r="SE554" s="7"/>
      <c r="SF554" s="7"/>
      <c r="SG554" s="7"/>
      <c r="SH554" s="7"/>
      <c r="SI554" s="7"/>
      <c r="SJ554" s="7"/>
      <c r="SK554" s="7"/>
      <c r="SL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  <c r="RZ555" s="7"/>
      <c r="SA555" s="7"/>
      <c r="SB555" s="7"/>
      <c r="SC555" s="7"/>
      <c r="SD555" s="7"/>
      <c r="SE555" s="7"/>
      <c r="SF555" s="7"/>
      <c r="SG555" s="7"/>
      <c r="SH555" s="7"/>
      <c r="SI555" s="7"/>
      <c r="SJ555" s="7"/>
      <c r="SK555" s="7"/>
      <c r="SL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  <c r="RZ556" s="7"/>
      <c r="SA556" s="7"/>
      <c r="SB556" s="7"/>
      <c r="SC556" s="7"/>
      <c r="SD556" s="7"/>
      <c r="SE556" s="7"/>
      <c r="SF556" s="7"/>
      <c r="SG556" s="7"/>
      <c r="SH556" s="7"/>
      <c r="SI556" s="7"/>
      <c r="SJ556" s="7"/>
      <c r="SK556" s="7"/>
      <c r="SL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  <c r="RZ557" s="7"/>
      <c r="SA557" s="7"/>
      <c r="SB557" s="7"/>
      <c r="SC557" s="7"/>
      <c r="SD557" s="7"/>
      <c r="SE557" s="7"/>
      <c r="SF557" s="7"/>
      <c r="SG557" s="7"/>
      <c r="SH557" s="7"/>
      <c r="SI557" s="7"/>
      <c r="SJ557" s="7"/>
      <c r="SK557" s="7"/>
      <c r="SL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  <c r="RZ558" s="7"/>
      <c r="SA558" s="7"/>
      <c r="SB558" s="7"/>
      <c r="SC558" s="7"/>
      <c r="SD558" s="7"/>
      <c r="SE558" s="7"/>
      <c r="SF558" s="7"/>
      <c r="SG558" s="7"/>
      <c r="SH558" s="7"/>
      <c r="SI558" s="7"/>
      <c r="SJ558" s="7"/>
      <c r="SK558" s="7"/>
      <c r="SL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  <c r="RZ559" s="7"/>
      <c r="SA559" s="7"/>
      <c r="SB559" s="7"/>
      <c r="SC559" s="7"/>
      <c r="SD559" s="7"/>
      <c r="SE559" s="7"/>
      <c r="SF559" s="7"/>
      <c r="SG559" s="7"/>
      <c r="SH559" s="7"/>
      <c r="SI559" s="7"/>
      <c r="SJ559" s="7"/>
      <c r="SK559" s="7"/>
      <c r="SL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  <c r="RZ560" s="7"/>
      <c r="SA560" s="7"/>
      <c r="SB560" s="7"/>
      <c r="SC560" s="7"/>
      <c r="SD560" s="7"/>
      <c r="SE560" s="7"/>
      <c r="SF560" s="7"/>
      <c r="SG560" s="7"/>
      <c r="SH560" s="7"/>
      <c r="SI560" s="7"/>
      <c r="SJ560" s="7"/>
      <c r="SK560" s="7"/>
      <c r="SL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  <c r="RZ561" s="7"/>
      <c r="SA561" s="7"/>
      <c r="SB561" s="7"/>
      <c r="SC561" s="7"/>
      <c r="SD561" s="7"/>
      <c r="SE561" s="7"/>
      <c r="SF561" s="7"/>
      <c r="SG561" s="7"/>
      <c r="SH561" s="7"/>
      <c r="SI561" s="7"/>
      <c r="SJ561" s="7"/>
      <c r="SK561" s="7"/>
      <c r="SL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  <c r="RZ562" s="7"/>
      <c r="SA562" s="7"/>
      <c r="SB562" s="7"/>
      <c r="SC562" s="7"/>
      <c r="SD562" s="7"/>
      <c r="SE562" s="7"/>
      <c r="SF562" s="7"/>
      <c r="SG562" s="7"/>
      <c r="SH562" s="7"/>
      <c r="SI562" s="7"/>
      <c r="SJ562" s="7"/>
      <c r="SK562" s="7"/>
      <c r="SL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  <c r="RZ563" s="7"/>
      <c r="SA563" s="7"/>
      <c r="SB563" s="7"/>
      <c r="SC563" s="7"/>
      <c r="SD563" s="7"/>
      <c r="SE563" s="7"/>
      <c r="SF563" s="7"/>
      <c r="SG563" s="7"/>
      <c r="SH563" s="7"/>
      <c r="SI563" s="7"/>
      <c r="SJ563" s="7"/>
      <c r="SK563" s="7"/>
      <c r="SL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  <c r="RZ564" s="7"/>
      <c r="SA564" s="7"/>
      <c r="SB564" s="7"/>
      <c r="SC564" s="7"/>
      <c r="SD564" s="7"/>
      <c r="SE564" s="7"/>
      <c r="SF564" s="7"/>
      <c r="SG564" s="7"/>
      <c r="SH564" s="7"/>
      <c r="SI564" s="7"/>
      <c r="SJ564" s="7"/>
      <c r="SK564" s="7"/>
      <c r="SL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  <c r="RZ565" s="7"/>
      <c r="SA565" s="7"/>
      <c r="SB565" s="7"/>
      <c r="SC565" s="7"/>
      <c r="SD565" s="7"/>
      <c r="SE565" s="7"/>
      <c r="SF565" s="7"/>
      <c r="SG565" s="7"/>
      <c r="SH565" s="7"/>
      <c r="SI565" s="7"/>
      <c r="SJ565" s="7"/>
      <c r="SK565" s="7"/>
      <c r="SL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  <c r="RZ566" s="7"/>
      <c r="SA566" s="7"/>
      <c r="SB566" s="7"/>
      <c r="SC566" s="7"/>
      <c r="SD566" s="7"/>
      <c r="SE566" s="7"/>
      <c r="SF566" s="7"/>
      <c r="SG566" s="7"/>
      <c r="SH566" s="7"/>
      <c r="SI566" s="7"/>
      <c r="SJ566" s="7"/>
      <c r="SK566" s="7"/>
      <c r="SL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  <c r="RZ567" s="7"/>
      <c r="SA567" s="7"/>
      <c r="SB567" s="7"/>
      <c r="SC567" s="7"/>
      <c r="SD567" s="7"/>
      <c r="SE567" s="7"/>
      <c r="SF567" s="7"/>
      <c r="SG567" s="7"/>
      <c r="SH567" s="7"/>
      <c r="SI567" s="7"/>
      <c r="SJ567" s="7"/>
      <c r="SK567" s="7"/>
      <c r="SL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  <c r="RZ568" s="7"/>
      <c r="SA568" s="7"/>
      <c r="SB568" s="7"/>
      <c r="SC568" s="7"/>
      <c r="SD568" s="7"/>
      <c r="SE568" s="7"/>
      <c r="SF568" s="7"/>
      <c r="SG568" s="7"/>
      <c r="SH568" s="7"/>
      <c r="SI568" s="7"/>
      <c r="SJ568" s="7"/>
      <c r="SK568" s="7"/>
      <c r="SL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  <c r="RZ569" s="7"/>
      <c r="SA569" s="7"/>
      <c r="SB569" s="7"/>
      <c r="SC569" s="7"/>
      <c r="SD569" s="7"/>
      <c r="SE569" s="7"/>
      <c r="SF569" s="7"/>
      <c r="SG569" s="7"/>
      <c r="SH569" s="7"/>
      <c r="SI569" s="7"/>
      <c r="SJ569" s="7"/>
      <c r="SK569" s="7"/>
      <c r="SL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  <c r="RZ570" s="7"/>
      <c r="SA570" s="7"/>
      <c r="SB570" s="7"/>
      <c r="SC570" s="7"/>
      <c r="SD570" s="7"/>
      <c r="SE570" s="7"/>
      <c r="SF570" s="7"/>
      <c r="SG570" s="7"/>
      <c r="SH570" s="7"/>
      <c r="SI570" s="7"/>
      <c r="SJ570" s="7"/>
      <c r="SK570" s="7"/>
      <c r="SL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  <c r="RZ571" s="7"/>
      <c r="SA571" s="7"/>
      <c r="SB571" s="7"/>
      <c r="SC571" s="7"/>
      <c r="SD571" s="7"/>
      <c r="SE571" s="7"/>
      <c r="SF571" s="7"/>
      <c r="SG571" s="7"/>
      <c r="SH571" s="7"/>
      <c r="SI571" s="7"/>
      <c r="SJ571" s="7"/>
      <c r="SK571" s="7"/>
      <c r="SL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  <c r="RZ572" s="7"/>
      <c r="SA572" s="7"/>
      <c r="SB572" s="7"/>
      <c r="SC572" s="7"/>
      <c r="SD572" s="7"/>
      <c r="SE572" s="7"/>
      <c r="SF572" s="7"/>
      <c r="SG572" s="7"/>
      <c r="SH572" s="7"/>
      <c r="SI572" s="7"/>
      <c r="SJ572" s="7"/>
      <c r="SK572" s="7"/>
      <c r="SL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  <c r="RZ573" s="7"/>
      <c r="SA573" s="7"/>
      <c r="SB573" s="7"/>
      <c r="SC573" s="7"/>
      <c r="SD573" s="7"/>
      <c r="SE573" s="7"/>
      <c r="SF573" s="7"/>
      <c r="SG573" s="7"/>
      <c r="SH573" s="7"/>
      <c r="SI573" s="7"/>
      <c r="SJ573" s="7"/>
      <c r="SK573" s="7"/>
      <c r="SL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  <c r="RZ574" s="7"/>
      <c r="SA574" s="7"/>
      <c r="SB574" s="7"/>
      <c r="SC574" s="7"/>
      <c r="SD574" s="7"/>
      <c r="SE574" s="7"/>
      <c r="SF574" s="7"/>
      <c r="SG574" s="7"/>
      <c r="SH574" s="7"/>
      <c r="SI574" s="7"/>
      <c r="SJ574" s="7"/>
      <c r="SK574" s="7"/>
      <c r="SL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  <c r="RZ575" s="7"/>
      <c r="SA575" s="7"/>
      <c r="SB575" s="7"/>
      <c r="SC575" s="7"/>
      <c r="SD575" s="7"/>
      <c r="SE575" s="7"/>
      <c r="SF575" s="7"/>
      <c r="SG575" s="7"/>
      <c r="SH575" s="7"/>
      <c r="SI575" s="7"/>
      <c r="SJ575" s="7"/>
      <c r="SK575" s="7"/>
      <c r="SL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  <c r="RZ576" s="7"/>
      <c r="SA576" s="7"/>
      <c r="SB576" s="7"/>
      <c r="SC576" s="7"/>
      <c r="SD576" s="7"/>
      <c r="SE576" s="7"/>
      <c r="SF576" s="7"/>
      <c r="SG576" s="7"/>
      <c r="SH576" s="7"/>
      <c r="SI576" s="7"/>
      <c r="SJ576" s="7"/>
      <c r="SK576" s="7"/>
      <c r="SL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  <c r="RZ577" s="7"/>
      <c r="SA577" s="7"/>
      <c r="SB577" s="7"/>
      <c r="SC577" s="7"/>
      <c r="SD577" s="7"/>
      <c r="SE577" s="7"/>
      <c r="SF577" s="7"/>
      <c r="SG577" s="7"/>
      <c r="SH577" s="7"/>
      <c r="SI577" s="7"/>
      <c r="SJ577" s="7"/>
      <c r="SK577" s="7"/>
      <c r="SL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  <c r="RZ578" s="7"/>
      <c r="SA578" s="7"/>
      <c r="SB578" s="7"/>
      <c r="SC578" s="7"/>
      <c r="SD578" s="7"/>
      <c r="SE578" s="7"/>
      <c r="SF578" s="7"/>
      <c r="SG578" s="7"/>
      <c r="SH578" s="7"/>
      <c r="SI578" s="7"/>
      <c r="SJ578" s="7"/>
      <c r="SK578" s="7"/>
      <c r="SL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  <c r="RZ579" s="7"/>
      <c r="SA579" s="7"/>
      <c r="SB579" s="7"/>
      <c r="SC579" s="7"/>
      <c r="SD579" s="7"/>
      <c r="SE579" s="7"/>
      <c r="SF579" s="7"/>
      <c r="SG579" s="7"/>
      <c r="SH579" s="7"/>
      <c r="SI579" s="7"/>
      <c r="SJ579" s="7"/>
      <c r="SK579" s="7"/>
      <c r="SL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  <c r="RZ580" s="7"/>
      <c r="SA580" s="7"/>
      <c r="SB580" s="7"/>
      <c r="SC580" s="7"/>
      <c r="SD580" s="7"/>
      <c r="SE580" s="7"/>
      <c r="SF580" s="7"/>
      <c r="SG580" s="7"/>
      <c r="SH580" s="7"/>
      <c r="SI580" s="7"/>
      <c r="SJ580" s="7"/>
      <c r="SK580" s="7"/>
      <c r="SL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  <c r="RZ581" s="7"/>
      <c r="SA581" s="7"/>
      <c r="SB581" s="7"/>
      <c r="SC581" s="7"/>
      <c r="SD581" s="7"/>
      <c r="SE581" s="7"/>
      <c r="SF581" s="7"/>
      <c r="SG581" s="7"/>
      <c r="SH581" s="7"/>
      <c r="SI581" s="7"/>
      <c r="SJ581" s="7"/>
      <c r="SK581" s="7"/>
      <c r="SL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  <c r="RZ582" s="7"/>
      <c r="SA582" s="7"/>
      <c r="SB582" s="7"/>
      <c r="SC582" s="7"/>
      <c r="SD582" s="7"/>
      <c r="SE582" s="7"/>
      <c r="SF582" s="7"/>
      <c r="SG582" s="7"/>
      <c r="SH582" s="7"/>
      <c r="SI582" s="7"/>
      <c r="SJ582" s="7"/>
      <c r="SK582" s="7"/>
      <c r="SL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  <c r="RZ583" s="7"/>
      <c r="SA583" s="7"/>
      <c r="SB583" s="7"/>
      <c r="SC583" s="7"/>
      <c r="SD583" s="7"/>
      <c r="SE583" s="7"/>
      <c r="SF583" s="7"/>
      <c r="SG583" s="7"/>
      <c r="SH583" s="7"/>
      <c r="SI583" s="7"/>
      <c r="SJ583" s="7"/>
      <c r="SK583" s="7"/>
      <c r="SL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  <c r="RZ584" s="7"/>
      <c r="SA584" s="7"/>
      <c r="SB584" s="7"/>
      <c r="SC584" s="7"/>
      <c r="SD584" s="7"/>
      <c r="SE584" s="7"/>
      <c r="SF584" s="7"/>
      <c r="SG584" s="7"/>
      <c r="SH584" s="7"/>
      <c r="SI584" s="7"/>
      <c r="SJ584" s="7"/>
      <c r="SK584" s="7"/>
      <c r="SL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  <c r="RZ585" s="7"/>
      <c r="SA585" s="7"/>
      <c r="SB585" s="7"/>
      <c r="SC585" s="7"/>
      <c r="SD585" s="7"/>
      <c r="SE585" s="7"/>
      <c r="SF585" s="7"/>
      <c r="SG585" s="7"/>
      <c r="SH585" s="7"/>
      <c r="SI585" s="7"/>
      <c r="SJ585" s="7"/>
      <c r="SK585" s="7"/>
      <c r="SL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  <c r="RZ586" s="7"/>
      <c r="SA586" s="7"/>
      <c r="SB586" s="7"/>
      <c r="SC586" s="7"/>
      <c r="SD586" s="7"/>
      <c r="SE586" s="7"/>
      <c r="SF586" s="7"/>
      <c r="SG586" s="7"/>
      <c r="SH586" s="7"/>
      <c r="SI586" s="7"/>
      <c r="SJ586" s="7"/>
      <c r="SK586" s="7"/>
      <c r="SL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  <c r="RZ587" s="7"/>
      <c r="SA587" s="7"/>
      <c r="SB587" s="7"/>
      <c r="SC587" s="7"/>
      <c r="SD587" s="7"/>
      <c r="SE587" s="7"/>
      <c r="SF587" s="7"/>
      <c r="SG587" s="7"/>
      <c r="SH587" s="7"/>
      <c r="SI587" s="7"/>
      <c r="SJ587" s="7"/>
      <c r="SK587" s="7"/>
      <c r="SL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  <c r="RZ588" s="7"/>
      <c r="SA588" s="7"/>
      <c r="SB588" s="7"/>
      <c r="SC588" s="7"/>
      <c r="SD588" s="7"/>
      <c r="SE588" s="7"/>
      <c r="SF588" s="7"/>
      <c r="SG588" s="7"/>
      <c r="SH588" s="7"/>
      <c r="SI588" s="7"/>
      <c r="SJ588" s="7"/>
      <c r="SK588" s="7"/>
      <c r="SL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  <c r="RZ589" s="7"/>
      <c r="SA589" s="7"/>
      <c r="SB589" s="7"/>
      <c r="SC589" s="7"/>
      <c r="SD589" s="7"/>
      <c r="SE589" s="7"/>
      <c r="SF589" s="7"/>
      <c r="SG589" s="7"/>
      <c r="SH589" s="7"/>
      <c r="SI589" s="7"/>
      <c r="SJ589" s="7"/>
      <c r="SK589" s="7"/>
      <c r="SL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  <c r="RZ590" s="7"/>
      <c r="SA590" s="7"/>
      <c r="SB590" s="7"/>
      <c r="SC590" s="7"/>
      <c r="SD590" s="7"/>
      <c r="SE590" s="7"/>
      <c r="SF590" s="7"/>
      <c r="SG590" s="7"/>
      <c r="SH590" s="7"/>
      <c r="SI590" s="7"/>
      <c r="SJ590" s="7"/>
      <c r="SK590" s="7"/>
      <c r="SL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  <c r="RZ591" s="7"/>
      <c r="SA591" s="7"/>
      <c r="SB591" s="7"/>
      <c r="SC591" s="7"/>
      <c r="SD591" s="7"/>
      <c r="SE591" s="7"/>
      <c r="SF591" s="7"/>
      <c r="SG591" s="7"/>
      <c r="SH591" s="7"/>
      <c r="SI591" s="7"/>
      <c r="SJ591" s="7"/>
      <c r="SK591" s="7"/>
      <c r="SL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  <c r="RZ592" s="7"/>
      <c r="SA592" s="7"/>
      <c r="SB592" s="7"/>
      <c r="SC592" s="7"/>
      <c r="SD592" s="7"/>
      <c r="SE592" s="7"/>
      <c r="SF592" s="7"/>
      <c r="SG592" s="7"/>
      <c r="SH592" s="7"/>
      <c r="SI592" s="7"/>
      <c r="SJ592" s="7"/>
      <c r="SK592" s="7"/>
      <c r="SL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  <c r="RZ593" s="7"/>
      <c r="SA593" s="7"/>
      <c r="SB593" s="7"/>
      <c r="SC593" s="7"/>
      <c r="SD593" s="7"/>
      <c r="SE593" s="7"/>
      <c r="SF593" s="7"/>
      <c r="SG593" s="7"/>
      <c r="SH593" s="7"/>
      <c r="SI593" s="7"/>
      <c r="SJ593" s="7"/>
      <c r="SK593" s="7"/>
      <c r="SL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  <c r="RZ594" s="7"/>
      <c r="SA594" s="7"/>
      <c r="SB594" s="7"/>
      <c r="SC594" s="7"/>
      <c r="SD594" s="7"/>
      <c r="SE594" s="7"/>
      <c r="SF594" s="7"/>
      <c r="SG594" s="7"/>
      <c r="SH594" s="7"/>
      <c r="SI594" s="7"/>
      <c r="SJ594" s="7"/>
      <c r="SK594" s="7"/>
      <c r="SL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  <c r="RZ595" s="7"/>
      <c r="SA595" s="7"/>
      <c r="SB595" s="7"/>
      <c r="SC595" s="7"/>
      <c r="SD595" s="7"/>
      <c r="SE595" s="7"/>
      <c r="SF595" s="7"/>
      <c r="SG595" s="7"/>
      <c r="SH595" s="7"/>
      <c r="SI595" s="7"/>
      <c r="SJ595" s="7"/>
      <c r="SK595" s="7"/>
      <c r="SL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  <c r="RZ596" s="7"/>
      <c r="SA596" s="7"/>
      <c r="SB596" s="7"/>
      <c r="SC596" s="7"/>
      <c r="SD596" s="7"/>
      <c r="SE596" s="7"/>
      <c r="SF596" s="7"/>
      <c r="SG596" s="7"/>
      <c r="SH596" s="7"/>
      <c r="SI596" s="7"/>
      <c r="SJ596" s="7"/>
      <c r="SK596" s="7"/>
      <c r="SL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  <c r="RZ597" s="7"/>
      <c r="SA597" s="7"/>
      <c r="SB597" s="7"/>
      <c r="SC597" s="7"/>
      <c r="SD597" s="7"/>
      <c r="SE597" s="7"/>
      <c r="SF597" s="7"/>
      <c r="SG597" s="7"/>
      <c r="SH597" s="7"/>
      <c r="SI597" s="7"/>
      <c r="SJ597" s="7"/>
      <c r="SK597" s="7"/>
      <c r="SL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  <c r="RZ598" s="7"/>
      <c r="SA598" s="7"/>
      <c r="SB598" s="7"/>
      <c r="SC598" s="7"/>
      <c r="SD598" s="7"/>
      <c r="SE598" s="7"/>
      <c r="SF598" s="7"/>
      <c r="SG598" s="7"/>
      <c r="SH598" s="7"/>
      <c r="SI598" s="7"/>
      <c r="SJ598" s="7"/>
      <c r="SK598" s="7"/>
      <c r="SL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  <c r="RZ599" s="7"/>
      <c r="SA599" s="7"/>
      <c r="SB599" s="7"/>
      <c r="SC599" s="7"/>
      <c r="SD599" s="7"/>
      <c r="SE599" s="7"/>
      <c r="SF599" s="7"/>
      <c r="SG599" s="7"/>
      <c r="SH599" s="7"/>
      <c r="SI599" s="7"/>
      <c r="SJ599" s="7"/>
      <c r="SK599" s="7"/>
      <c r="SL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  <c r="RZ600" s="7"/>
      <c r="SA600" s="7"/>
      <c r="SB600" s="7"/>
      <c r="SC600" s="7"/>
      <c r="SD600" s="7"/>
      <c r="SE600" s="7"/>
      <c r="SF600" s="7"/>
      <c r="SG600" s="7"/>
      <c r="SH600" s="7"/>
      <c r="SI600" s="7"/>
      <c r="SJ600" s="7"/>
      <c r="SK600" s="7"/>
      <c r="SL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  <c r="RZ601" s="7"/>
      <c r="SA601" s="7"/>
      <c r="SB601" s="7"/>
      <c r="SC601" s="7"/>
      <c r="SD601" s="7"/>
      <c r="SE601" s="7"/>
      <c r="SF601" s="7"/>
      <c r="SG601" s="7"/>
      <c r="SH601" s="7"/>
      <c r="SI601" s="7"/>
      <c r="SJ601" s="7"/>
      <c r="SK601" s="7"/>
      <c r="SL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  <c r="RZ602" s="7"/>
      <c r="SA602" s="7"/>
      <c r="SB602" s="7"/>
      <c r="SC602" s="7"/>
      <c r="SD602" s="7"/>
      <c r="SE602" s="7"/>
      <c r="SF602" s="7"/>
      <c r="SG602" s="7"/>
      <c r="SH602" s="7"/>
      <c r="SI602" s="7"/>
      <c r="SJ602" s="7"/>
      <c r="SK602" s="7"/>
      <c r="SL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  <c r="RZ603" s="7"/>
      <c r="SA603" s="7"/>
      <c r="SB603" s="7"/>
      <c r="SC603" s="7"/>
      <c r="SD603" s="7"/>
      <c r="SE603" s="7"/>
      <c r="SF603" s="7"/>
      <c r="SG603" s="7"/>
      <c r="SH603" s="7"/>
      <c r="SI603" s="7"/>
      <c r="SJ603" s="7"/>
      <c r="SK603" s="7"/>
      <c r="SL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  <c r="RZ604" s="7"/>
      <c r="SA604" s="7"/>
      <c r="SB604" s="7"/>
      <c r="SC604" s="7"/>
      <c r="SD604" s="7"/>
      <c r="SE604" s="7"/>
      <c r="SF604" s="7"/>
      <c r="SG604" s="7"/>
      <c r="SH604" s="7"/>
      <c r="SI604" s="7"/>
      <c r="SJ604" s="7"/>
      <c r="SK604" s="7"/>
      <c r="SL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  <c r="RZ605" s="7"/>
      <c r="SA605" s="7"/>
      <c r="SB605" s="7"/>
      <c r="SC605" s="7"/>
      <c r="SD605" s="7"/>
      <c r="SE605" s="7"/>
      <c r="SF605" s="7"/>
      <c r="SG605" s="7"/>
      <c r="SH605" s="7"/>
      <c r="SI605" s="7"/>
      <c r="SJ605" s="7"/>
      <c r="SK605" s="7"/>
      <c r="SL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  <c r="RZ606" s="7"/>
      <c r="SA606" s="7"/>
      <c r="SB606" s="7"/>
      <c r="SC606" s="7"/>
      <c r="SD606" s="7"/>
      <c r="SE606" s="7"/>
      <c r="SF606" s="7"/>
      <c r="SG606" s="7"/>
      <c r="SH606" s="7"/>
      <c r="SI606" s="7"/>
      <c r="SJ606" s="7"/>
      <c r="SK606" s="7"/>
      <c r="SL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  <c r="RZ607" s="7"/>
      <c r="SA607" s="7"/>
      <c r="SB607" s="7"/>
      <c r="SC607" s="7"/>
      <c r="SD607" s="7"/>
      <c r="SE607" s="7"/>
      <c r="SF607" s="7"/>
      <c r="SG607" s="7"/>
      <c r="SH607" s="7"/>
      <c r="SI607" s="7"/>
      <c r="SJ607" s="7"/>
      <c r="SK607" s="7"/>
      <c r="SL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  <c r="RZ608" s="7"/>
      <c r="SA608" s="7"/>
      <c r="SB608" s="7"/>
      <c r="SC608" s="7"/>
      <c r="SD608" s="7"/>
      <c r="SE608" s="7"/>
      <c r="SF608" s="7"/>
      <c r="SG608" s="7"/>
      <c r="SH608" s="7"/>
      <c r="SI608" s="7"/>
      <c r="SJ608" s="7"/>
      <c r="SK608" s="7"/>
      <c r="SL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  <c r="RZ609" s="7"/>
      <c r="SA609" s="7"/>
      <c r="SB609" s="7"/>
      <c r="SC609" s="7"/>
      <c r="SD609" s="7"/>
      <c r="SE609" s="7"/>
      <c r="SF609" s="7"/>
      <c r="SG609" s="7"/>
      <c r="SH609" s="7"/>
      <c r="SI609" s="7"/>
      <c r="SJ609" s="7"/>
      <c r="SK609" s="7"/>
      <c r="SL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  <c r="RZ610" s="7"/>
      <c r="SA610" s="7"/>
      <c r="SB610" s="7"/>
      <c r="SC610" s="7"/>
      <c r="SD610" s="7"/>
      <c r="SE610" s="7"/>
      <c r="SF610" s="7"/>
      <c r="SG610" s="7"/>
      <c r="SH610" s="7"/>
      <c r="SI610" s="7"/>
      <c r="SJ610" s="7"/>
      <c r="SK610" s="7"/>
      <c r="SL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  <c r="RZ611" s="7"/>
      <c r="SA611" s="7"/>
      <c r="SB611" s="7"/>
      <c r="SC611" s="7"/>
      <c r="SD611" s="7"/>
      <c r="SE611" s="7"/>
      <c r="SF611" s="7"/>
      <c r="SG611" s="7"/>
      <c r="SH611" s="7"/>
      <c r="SI611" s="7"/>
      <c r="SJ611" s="7"/>
      <c r="SK611" s="7"/>
      <c r="SL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  <c r="RZ612" s="7"/>
      <c r="SA612" s="7"/>
      <c r="SB612" s="7"/>
      <c r="SC612" s="7"/>
      <c r="SD612" s="7"/>
      <c r="SE612" s="7"/>
      <c r="SF612" s="7"/>
      <c r="SG612" s="7"/>
      <c r="SH612" s="7"/>
      <c r="SI612" s="7"/>
      <c r="SJ612" s="7"/>
      <c r="SK612" s="7"/>
      <c r="SL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  <c r="RZ613" s="7"/>
      <c r="SA613" s="7"/>
      <c r="SB613" s="7"/>
      <c r="SC613" s="7"/>
      <c r="SD613" s="7"/>
      <c r="SE613" s="7"/>
      <c r="SF613" s="7"/>
      <c r="SG613" s="7"/>
      <c r="SH613" s="7"/>
      <c r="SI613" s="7"/>
      <c r="SJ613" s="7"/>
      <c r="SK613" s="7"/>
      <c r="SL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  <c r="RZ614" s="7"/>
      <c r="SA614" s="7"/>
      <c r="SB614" s="7"/>
      <c r="SC614" s="7"/>
      <c r="SD614" s="7"/>
      <c r="SE614" s="7"/>
      <c r="SF614" s="7"/>
      <c r="SG614" s="7"/>
      <c r="SH614" s="7"/>
      <c r="SI614" s="7"/>
      <c r="SJ614" s="7"/>
      <c r="SK614" s="7"/>
      <c r="SL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  <c r="RZ615" s="7"/>
      <c r="SA615" s="7"/>
      <c r="SB615" s="7"/>
      <c r="SC615" s="7"/>
      <c r="SD615" s="7"/>
      <c r="SE615" s="7"/>
      <c r="SF615" s="7"/>
      <c r="SG615" s="7"/>
      <c r="SH615" s="7"/>
      <c r="SI615" s="7"/>
      <c r="SJ615" s="7"/>
      <c r="SK615" s="7"/>
      <c r="SL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  <c r="RZ616" s="7"/>
      <c r="SA616" s="7"/>
      <c r="SB616" s="7"/>
      <c r="SC616" s="7"/>
      <c r="SD616" s="7"/>
      <c r="SE616" s="7"/>
      <c r="SF616" s="7"/>
      <c r="SG616" s="7"/>
      <c r="SH616" s="7"/>
      <c r="SI616" s="7"/>
      <c r="SJ616" s="7"/>
      <c r="SK616" s="7"/>
      <c r="SL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  <c r="RZ617" s="7"/>
      <c r="SA617" s="7"/>
      <c r="SB617" s="7"/>
      <c r="SC617" s="7"/>
      <c r="SD617" s="7"/>
      <c r="SE617" s="7"/>
      <c r="SF617" s="7"/>
      <c r="SG617" s="7"/>
      <c r="SH617" s="7"/>
      <c r="SI617" s="7"/>
      <c r="SJ617" s="7"/>
      <c r="SK617" s="7"/>
      <c r="SL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  <c r="RZ618" s="7"/>
      <c r="SA618" s="7"/>
      <c r="SB618" s="7"/>
      <c r="SC618" s="7"/>
      <c r="SD618" s="7"/>
      <c r="SE618" s="7"/>
      <c r="SF618" s="7"/>
      <c r="SG618" s="7"/>
      <c r="SH618" s="7"/>
      <c r="SI618" s="7"/>
      <c r="SJ618" s="7"/>
      <c r="SK618" s="7"/>
      <c r="SL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  <c r="RZ619" s="7"/>
      <c r="SA619" s="7"/>
      <c r="SB619" s="7"/>
      <c r="SC619" s="7"/>
      <c r="SD619" s="7"/>
      <c r="SE619" s="7"/>
      <c r="SF619" s="7"/>
      <c r="SG619" s="7"/>
      <c r="SH619" s="7"/>
      <c r="SI619" s="7"/>
      <c r="SJ619" s="7"/>
      <c r="SK619" s="7"/>
      <c r="SL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  <c r="RZ620" s="7"/>
      <c r="SA620" s="7"/>
      <c r="SB620" s="7"/>
      <c r="SC620" s="7"/>
      <c r="SD620" s="7"/>
      <c r="SE620" s="7"/>
      <c r="SF620" s="7"/>
      <c r="SG620" s="7"/>
      <c r="SH620" s="7"/>
      <c r="SI620" s="7"/>
      <c r="SJ620" s="7"/>
      <c r="SK620" s="7"/>
      <c r="SL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  <c r="RZ621" s="7"/>
      <c r="SA621" s="7"/>
      <c r="SB621" s="7"/>
      <c r="SC621" s="7"/>
      <c r="SD621" s="7"/>
      <c r="SE621" s="7"/>
      <c r="SF621" s="7"/>
      <c r="SG621" s="7"/>
      <c r="SH621" s="7"/>
      <c r="SI621" s="7"/>
      <c r="SJ621" s="7"/>
      <c r="SK621" s="7"/>
      <c r="SL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  <c r="RZ622" s="7"/>
      <c r="SA622" s="7"/>
      <c r="SB622" s="7"/>
      <c r="SC622" s="7"/>
      <c r="SD622" s="7"/>
      <c r="SE622" s="7"/>
      <c r="SF622" s="7"/>
      <c r="SG622" s="7"/>
      <c r="SH622" s="7"/>
      <c r="SI622" s="7"/>
      <c r="SJ622" s="7"/>
      <c r="SK622" s="7"/>
      <c r="SL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  <c r="RZ623" s="7"/>
      <c r="SA623" s="7"/>
      <c r="SB623" s="7"/>
      <c r="SC623" s="7"/>
      <c r="SD623" s="7"/>
      <c r="SE623" s="7"/>
      <c r="SF623" s="7"/>
      <c r="SG623" s="7"/>
      <c r="SH623" s="7"/>
      <c r="SI623" s="7"/>
      <c r="SJ623" s="7"/>
      <c r="SK623" s="7"/>
      <c r="SL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  <c r="RZ624" s="7"/>
      <c r="SA624" s="7"/>
      <c r="SB624" s="7"/>
      <c r="SC624" s="7"/>
      <c r="SD624" s="7"/>
      <c r="SE624" s="7"/>
      <c r="SF624" s="7"/>
      <c r="SG624" s="7"/>
      <c r="SH624" s="7"/>
      <c r="SI624" s="7"/>
      <c r="SJ624" s="7"/>
      <c r="SK624" s="7"/>
      <c r="SL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  <c r="RZ625" s="7"/>
      <c r="SA625" s="7"/>
      <c r="SB625" s="7"/>
      <c r="SC625" s="7"/>
      <c r="SD625" s="7"/>
      <c r="SE625" s="7"/>
      <c r="SF625" s="7"/>
      <c r="SG625" s="7"/>
      <c r="SH625" s="7"/>
      <c r="SI625" s="7"/>
      <c r="SJ625" s="7"/>
      <c r="SK625" s="7"/>
      <c r="SL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  <c r="RZ626" s="7"/>
      <c r="SA626" s="7"/>
      <c r="SB626" s="7"/>
      <c r="SC626" s="7"/>
      <c r="SD626" s="7"/>
      <c r="SE626" s="7"/>
      <c r="SF626" s="7"/>
      <c r="SG626" s="7"/>
      <c r="SH626" s="7"/>
      <c r="SI626" s="7"/>
      <c r="SJ626" s="7"/>
      <c r="SK626" s="7"/>
      <c r="SL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  <c r="RZ627" s="7"/>
      <c r="SA627" s="7"/>
      <c r="SB627" s="7"/>
      <c r="SC627" s="7"/>
      <c r="SD627" s="7"/>
      <c r="SE627" s="7"/>
      <c r="SF627" s="7"/>
      <c r="SG627" s="7"/>
      <c r="SH627" s="7"/>
      <c r="SI627" s="7"/>
      <c r="SJ627" s="7"/>
      <c r="SK627" s="7"/>
      <c r="SL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  <c r="RZ628" s="7"/>
      <c r="SA628" s="7"/>
      <c r="SB628" s="7"/>
      <c r="SC628" s="7"/>
      <c r="SD628" s="7"/>
      <c r="SE628" s="7"/>
      <c r="SF628" s="7"/>
      <c r="SG628" s="7"/>
      <c r="SH628" s="7"/>
      <c r="SI628" s="7"/>
      <c r="SJ628" s="7"/>
      <c r="SK628" s="7"/>
      <c r="SL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  <c r="RZ629" s="7"/>
      <c r="SA629" s="7"/>
      <c r="SB629" s="7"/>
      <c r="SC629" s="7"/>
      <c r="SD629" s="7"/>
      <c r="SE629" s="7"/>
      <c r="SF629" s="7"/>
      <c r="SG629" s="7"/>
      <c r="SH629" s="7"/>
      <c r="SI629" s="7"/>
      <c r="SJ629" s="7"/>
      <c r="SK629" s="7"/>
      <c r="SL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  <c r="RZ630" s="7"/>
      <c r="SA630" s="7"/>
      <c r="SB630" s="7"/>
      <c r="SC630" s="7"/>
      <c r="SD630" s="7"/>
      <c r="SE630" s="7"/>
      <c r="SF630" s="7"/>
      <c r="SG630" s="7"/>
      <c r="SH630" s="7"/>
      <c r="SI630" s="7"/>
      <c r="SJ630" s="7"/>
      <c r="SK630" s="7"/>
      <c r="SL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  <c r="RZ631" s="7"/>
      <c r="SA631" s="7"/>
      <c r="SB631" s="7"/>
      <c r="SC631" s="7"/>
      <c r="SD631" s="7"/>
      <c r="SE631" s="7"/>
      <c r="SF631" s="7"/>
      <c r="SG631" s="7"/>
      <c r="SH631" s="7"/>
      <c r="SI631" s="7"/>
      <c r="SJ631" s="7"/>
      <c r="SK631" s="7"/>
      <c r="SL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  <c r="RZ632" s="7"/>
      <c r="SA632" s="7"/>
      <c r="SB632" s="7"/>
      <c r="SC632" s="7"/>
      <c r="SD632" s="7"/>
      <c r="SE632" s="7"/>
      <c r="SF632" s="7"/>
      <c r="SG632" s="7"/>
      <c r="SH632" s="7"/>
      <c r="SI632" s="7"/>
      <c r="SJ632" s="7"/>
      <c r="SK632" s="7"/>
      <c r="SL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  <c r="RZ633" s="7"/>
      <c r="SA633" s="7"/>
      <c r="SB633" s="7"/>
      <c r="SC633" s="7"/>
      <c r="SD633" s="7"/>
      <c r="SE633" s="7"/>
      <c r="SF633" s="7"/>
      <c r="SG633" s="7"/>
      <c r="SH633" s="7"/>
      <c r="SI633" s="7"/>
      <c r="SJ633" s="7"/>
      <c r="SK633" s="7"/>
      <c r="SL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  <c r="RZ634" s="7"/>
      <c r="SA634" s="7"/>
      <c r="SB634" s="7"/>
      <c r="SC634" s="7"/>
      <c r="SD634" s="7"/>
      <c r="SE634" s="7"/>
      <c r="SF634" s="7"/>
      <c r="SG634" s="7"/>
      <c r="SH634" s="7"/>
      <c r="SI634" s="7"/>
      <c r="SJ634" s="7"/>
      <c r="SK634" s="7"/>
      <c r="SL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  <c r="RZ635" s="7"/>
      <c r="SA635" s="7"/>
      <c r="SB635" s="7"/>
      <c r="SC635" s="7"/>
      <c r="SD635" s="7"/>
      <c r="SE635" s="7"/>
      <c r="SF635" s="7"/>
      <c r="SG635" s="7"/>
      <c r="SH635" s="7"/>
      <c r="SI635" s="7"/>
      <c r="SJ635" s="7"/>
      <c r="SK635" s="7"/>
      <c r="SL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  <c r="RZ636" s="7"/>
      <c r="SA636" s="7"/>
      <c r="SB636" s="7"/>
      <c r="SC636" s="7"/>
      <c r="SD636" s="7"/>
      <c r="SE636" s="7"/>
      <c r="SF636" s="7"/>
      <c r="SG636" s="7"/>
      <c r="SH636" s="7"/>
      <c r="SI636" s="7"/>
      <c r="SJ636" s="7"/>
      <c r="SK636" s="7"/>
      <c r="SL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  <c r="RZ637" s="7"/>
      <c r="SA637" s="7"/>
      <c r="SB637" s="7"/>
      <c r="SC637" s="7"/>
      <c r="SD637" s="7"/>
      <c r="SE637" s="7"/>
      <c r="SF637" s="7"/>
      <c r="SG637" s="7"/>
      <c r="SH637" s="7"/>
      <c r="SI637" s="7"/>
      <c r="SJ637" s="7"/>
      <c r="SK637" s="7"/>
      <c r="SL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  <c r="RZ638" s="7"/>
      <c r="SA638" s="7"/>
      <c r="SB638" s="7"/>
      <c r="SC638" s="7"/>
      <c r="SD638" s="7"/>
      <c r="SE638" s="7"/>
      <c r="SF638" s="7"/>
      <c r="SG638" s="7"/>
      <c r="SH638" s="7"/>
      <c r="SI638" s="7"/>
      <c r="SJ638" s="7"/>
      <c r="SK638" s="7"/>
      <c r="SL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  <c r="RZ639" s="7"/>
      <c r="SA639" s="7"/>
      <c r="SB639" s="7"/>
      <c r="SC639" s="7"/>
      <c r="SD639" s="7"/>
      <c r="SE639" s="7"/>
      <c r="SF639" s="7"/>
      <c r="SG639" s="7"/>
      <c r="SH639" s="7"/>
      <c r="SI639" s="7"/>
      <c r="SJ639" s="7"/>
      <c r="SK639" s="7"/>
      <c r="SL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  <c r="RZ640" s="7"/>
      <c r="SA640" s="7"/>
      <c r="SB640" s="7"/>
      <c r="SC640" s="7"/>
      <c r="SD640" s="7"/>
      <c r="SE640" s="7"/>
      <c r="SF640" s="7"/>
      <c r="SG640" s="7"/>
      <c r="SH640" s="7"/>
      <c r="SI640" s="7"/>
      <c r="SJ640" s="7"/>
      <c r="SK640" s="7"/>
      <c r="SL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  <c r="RZ641" s="7"/>
      <c r="SA641" s="7"/>
      <c r="SB641" s="7"/>
      <c r="SC641" s="7"/>
      <c r="SD641" s="7"/>
      <c r="SE641" s="7"/>
      <c r="SF641" s="7"/>
      <c r="SG641" s="7"/>
      <c r="SH641" s="7"/>
      <c r="SI641" s="7"/>
      <c r="SJ641" s="7"/>
      <c r="SK641" s="7"/>
      <c r="SL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  <c r="RZ642" s="7"/>
      <c r="SA642" s="7"/>
      <c r="SB642" s="7"/>
      <c r="SC642" s="7"/>
      <c r="SD642" s="7"/>
      <c r="SE642" s="7"/>
      <c r="SF642" s="7"/>
      <c r="SG642" s="7"/>
      <c r="SH642" s="7"/>
      <c r="SI642" s="7"/>
      <c r="SJ642" s="7"/>
      <c r="SK642" s="7"/>
      <c r="SL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  <c r="RZ643" s="7"/>
      <c r="SA643" s="7"/>
      <c r="SB643" s="7"/>
      <c r="SC643" s="7"/>
      <c r="SD643" s="7"/>
      <c r="SE643" s="7"/>
      <c r="SF643" s="7"/>
      <c r="SG643" s="7"/>
      <c r="SH643" s="7"/>
      <c r="SI643" s="7"/>
      <c r="SJ643" s="7"/>
      <c r="SK643" s="7"/>
      <c r="SL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  <c r="RZ644" s="7"/>
      <c r="SA644" s="7"/>
      <c r="SB644" s="7"/>
      <c r="SC644" s="7"/>
      <c r="SD644" s="7"/>
      <c r="SE644" s="7"/>
      <c r="SF644" s="7"/>
      <c r="SG644" s="7"/>
      <c r="SH644" s="7"/>
      <c r="SI644" s="7"/>
      <c r="SJ644" s="7"/>
      <c r="SK644" s="7"/>
      <c r="SL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  <c r="RZ645" s="7"/>
      <c r="SA645" s="7"/>
      <c r="SB645" s="7"/>
      <c r="SC645" s="7"/>
      <c r="SD645" s="7"/>
      <c r="SE645" s="7"/>
      <c r="SF645" s="7"/>
      <c r="SG645" s="7"/>
      <c r="SH645" s="7"/>
      <c r="SI645" s="7"/>
      <c r="SJ645" s="7"/>
      <c r="SK645" s="7"/>
      <c r="SL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  <c r="RZ646" s="7"/>
      <c r="SA646" s="7"/>
      <c r="SB646" s="7"/>
      <c r="SC646" s="7"/>
      <c r="SD646" s="7"/>
      <c r="SE646" s="7"/>
      <c r="SF646" s="7"/>
      <c r="SG646" s="7"/>
      <c r="SH646" s="7"/>
      <c r="SI646" s="7"/>
      <c r="SJ646" s="7"/>
      <c r="SK646" s="7"/>
      <c r="SL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  <c r="RZ647" s="7"/>
      <c r="SA647" s="7"/>
      <c r="SB647" s="7"/>
      <c r="SC647" s="7"/>
      <c r="SD647" s="7"/>
      <c r="SE647" s="7"/>
      <c r="SF647" s="7"/>
      <c r="SG647" s="7"/>
      <c r="SH647" s="7"/>
      <c r="SI647" s="7"/>
      <c r="SJ647" s="7"/>
      <c r="SK647" s="7"/>
      <c r="SL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  <c r="RZ648" s="7"/>
      <c r="SA648" s="7"/>
      <c r="SB648" s="7"/>
      <c r="SC648" s="7"/>
      <c r="SD648" s="7"/>
      <c r="SE648" s="7"/>
      <c r="SF648" s="7"/>
      <c r="SG648" s="7"/>
      <c r="SH648" s="7"/>
      <c r="SI648" s="7"/>
      <c r="SJ648" s="7"/>
      <c r="SK648" s="7"/>
      <c r="SL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  <c r="RZ649" s="7"/>
      <c r="SA649" s="7"/>
      <c r="SB649" s="7"/>
      <c r="SC649" s="7"/>
      <c r="SD649" s="7"/>
      <c r="SE649" s="7"/>
      <c r="SF649" s="7"/>
      <c r="SG649" s="7"/>
      <c r="SH649" s="7"/>
      <c r="SI649" s="7"/>
      <c r="SJ649" s="7"/>
      <c r="SK649" s="7"/>
      <c r="SL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  <c r="RZ650" s="7"/>
      <c r="SA650" s="7"/>
      <c r="SB650" s="7"/>
      <c r="SC650" s="7"/>
      <c r="SD650" s="7"/>
      <c r="SE650" s="7"/>
      <c r="SF650" s="7"/>
      <c r="SG650" s="7"/>
      <c r="SH650" s="7"/>
      <c r="SI650" s="7"/>
      <c r="SJ650" s="7"/>
      <c r="SK650" s="7"/>
      <c r="SL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  <c r="RZ651" s="7"/>
      <c r="SA651" s="7"/>
      <c r="SB651" s="7"/>
      <c r="SC651" s="7"/>
      <c r="SD651" s="7"/>
      <c r="SE651" s="7"/>
      <c r="SF651" s="7"/>
      <c r="SG651" s="7"/>
      <c r="SH651" s="7"/>
      <c r="SI651" s="7"/>
      <c r="SJ651" s="7"/>
      <c r="SK651" s="7"/>
      <c r="SL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  <c r="RZ652" s="7"/>
      <c r="SA652" s="7"/>
      <c r="SB652" s="7"/>
      <c r="SC652" s="7"/>
      <c r="SD652" s="7"/>
      <c r="SE652" s="7"/>
      <c r="SF652" s="7"/>
      <c r="SG652" s="7"/>
      <c r="SH652" s="7"/>
      <c r="SI652" s="7"/>
      <c r="SJ652" s="7"/>
      <c r="SK652" s="7"/>
      <c r="SL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  <c r="RZ653" s="7"/>
      <c r="SA653" s="7"/>
      <c r="SB653" s="7"/>
      <c r="SC653" s="7"/>
      <c r="SD653" s="7"/>
      <c r="SE653" s="7"/>
      <c r="SF653" s="7"/>
      <c r="SG653" s="7"/>
      <c r="SH653" s="7"/>
      <c r="SI653" s="7"/>
      <c r="SJ653" s="7"/>
      <c r="SK653" s="7"/>
      <c r="SL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  <c r="RZ654" s="7"/>
      <c r="SA654" s="7"/>
      <c r="SB654" s="7"/>
      <c r="SC654" s="7"/>
      <c r="SD654" s="7"/>
      <c r="SE654" s="7"/>
      <c r="SF654" s="7"/>
      <c r="SG654" s="7"/>
      <c r="SH654" s="7"/>
      <c r="SI654" s="7"/>
      <c r="SJ654" s="7"/>
      <c r="SK654" s="7"/>
      <c r="SL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  <c r="RZ655" s="7"/>
      <c r="SA655" s="7"/>
      <c r="SB655" s="7"/>
      <c r="SC655" s="7"/>
      <c r="SD655" s="7"/>
      <c r="SE655" s="7"/>
      <c r="SF655" s="7"/>
      <c r="SG655" s="7"/>
      <c r="SH655" s="7"/>
      <c r="SI655" s="7"/>
      <c r="SJ655" s="7"/>
      <c r="SK655" s="7"/>
      <c r="SL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  <c r="RZ656" s="7"/>
      <c r="SA656" s="7"/>
      <c r="SB656" s="7"/>
      <c r="SC656" s="7"/>
      <c r="SD656" s="7"/>
      <c r="SE656" s="7"/>
      <c r="SF656" s="7"/>
      <c r="SG656" s="7"/>
      <c r="SH656" s="7"/>
      <c r="SI656" s="7"/>
      <c r="SJ656" s="7"/>
      <c r="SK656" s="7"/>
      <c r="SL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  <c r="RZ657" s="7"/>
      <c r="SA657" s="7"/>
      <c r="SB657" s="7"/>
      <c r="SC657" s="7"/>
      <c r="SD657" s="7"/>
      <c r="SE657" s="7"/>
      <c r="SF657" s="7"/>
      <c r="SG657" s="7"/>
      <c r="SH657" s="7"/>
      <c r="SI657" s="7"/>
      <c r="SJ657" s="7"/>
      <c r="SK657" s="7"/>
      <c r="SL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  <c r="RZ658" s="7"/>
      <c r="SA658" s="7"/>
      <c r="SB658" s="7"/>
      <c r="SC658" s="7"/>
      <c r="SD658" s="7"/>
      <c r="SE658" s="7"/>
      <c r="SF658" s="7"/>
      <c r="SG658" s="7"/>
      <c r="SH658" s="7"/>
      <c r="SI658" s="7"/>
      <c r="SJ658" s="7"/>
      <c r="SK658" s="7"/>
      <c r="SL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  <c r="RZ659" s="7"/>
      <c r="SA659" s="7"/>
      <c r="SB659" s="7"/>
      <c r="SC659" s="7"/>
      <c r="SD659" s="7"/>
      <c r="SE659" s="7"/>
      <c r="SF659" s="7"/>
      <c r="SG659" s="7"/>
      <c r="SH659" s="7"/>
      <c r="SI659" s="7"/>
      <c r="SJ659" s="7"/>
      <c r="SK659" s="7"/>
      <c r="SL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  <c r="RZ660" s="7"/>
      <c r="SA660" s="7"/>
      <c r="SB660" s="7"/>
      <c r="SC660" s="7"/>
      <c r="SD660" s="7"/>
      <c r="SE660" s="7"/>
      <c r="SF660" s="7"/>
      <c r="SG660" s="7"/>
      <c r="SH660" s="7"/>
      <c r="SI660" s="7"/>
      <c r="SJ660" s="7"/>
      <c r="SK660" s="7"/>
      <c r="SL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  <c r="RZ661" s="7"/>
      <c r="SA661" s="7"/>
      <c r="SB661" s="7"/>
      <c r="SC661" s="7"/>
      <c r="SD661" s="7"/>
      <c r="SE661" s="7"/>
      <c r="SF661" s="7"/>
      <c r="SG661" s="7"/>
      <c r="SH661" s="7"/>
      <c r="SI661" s="7"/>
      <c r="SJ661" s="7"/>
      <c r="SK661" s="7"/>
      <c r="SL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  <c r="RZ662" s="7"/>
      <c r="SA662" s="7"/>
      <c r="SB662" s="7"/>
      <c r="SC662" s="7"/>
      <c r="SD662" s="7"/>
      <c r="SE662" s="7"/>
      <c r="SF662" s="7"/>
      <c r="SG662" s="7"/>
      <c r="SH662" s="7"/>
      <c r="SI662" s="7"/>
      <c r="SJ662" s="7"/>
      <c r="SK662" s="7"/>
      <c r="SL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  <c r="RZ663" s="7"/>
      <c r="SA663" s="7"/>
      <c r="SB663" s="7"/>
      <c r="SC663" s="7"/>
      <c r="SD663" s="7"/>
      <c r="SE663" s="7"/>
      <c r="SF663" s="7"/>
      <c r="SG663" s="7"/>
      <c r="SH663" s="7"/>
      <c r="SI663" s="7"/>
      <c r="SJ663" s="7"/>
      <c r="SK663" s="7"/>
      <c r="SL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  <c r="RZ664" s="7"/>
      <c r="SA664" s="7"/>
      <c r="SB664" s="7"/>
      <c r="SC664" s="7"/>
      <c r="SD664" s="7"/>
      <c r="SE664" s="7"/>
      <c r="SF664" s="7"/>
      <c r="SG664" s="7"/>
      <c r="SH664" s="7"/>
      <c r="SI664" s="7"/>
      <c r="SJ664" s="7"/>
      <c r="SK664" s="7"/>
      <c r="SL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  <c r="RZ665" s="7"/>
      <c r="SA665" s="7"/>
      <c r="SB665" s="7"/>
      <c r="SC665" s="7"/>
      <c r="SD665" s="7"/>
      <c r="SE665" s="7"/>
      <c r="SF665" s="7"/>
      <c r="SG665" s="7"/>
      <c r="SH665" s="7"/>
      <c r="SI665" s="7"/>
      <c r="SJ665" s="7"/>
      <c r="SK665" s="7"/>
      <c r="SL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  <c r="RZ666" s="7"/>
      <c r="SA666" s="7"/>
      <c r="SB666" s="7"/>
      <c r="SC666" s="7"/>
      <c r="SD666" s="7"/>
      <c r="SE666" s="7"/>
      <c r="SF666" s="7"/>
      <c r="SG666" s="7"/>
      <c r="SH666" s="7"/>
      <c r="SI666" s="7"/>
      <c r="SJ666" s="7"/>
      <c r="SK666" s="7"/>
      <c r="SL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  <c r="RZ667" s="7"/>
      <c r="SA667" s="7"/>
      <c r="SB667" s="7"/>
      <c r="SC667" s="7"/>
      <c r="SD667" s="7"/>
      <c r="SE667" s="7"/>
      <c r="SF667" s="7"/>
      <c r="SG667" s="7"/>
      <c r="SH667" s="7"/>
      <c r="SI667" s="7"/>
      <c r="SJ667" s="7"/>
      <c r="SK667" s="7"/>
      <c r="SL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  <c r="RZ668" s="7"/>
      <c r="SA668" s="7"/>
      <c r="SB668" s="7"/>
      <c r="SC668" s="7"/>
      <c r="SD668" s="7"/>
      <c r="SE668" s="7"/>
      <c r="SF668" s="7"/>
      <c r="SG668" s="7"/>
      <c r="SH668" s="7"/>
      <c r="SI668" s="7"/>
      <c r="SJ668" s="7"/>
      <c r="SK668" s="7"/>
      <c r="SL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  <c r="RZ669" s="7"/>
      <c r="SA669" s="7"/>
      <c r="SB669" s="7"/>
      <c r="SC669" s="7"/>
      <c r="SD669" s="7"/>
      <c r="SE669" s="7"/>
      <c r="SF669" s="7"/>
      <c r="SG669" s="7"/>
      <c r="SH669" s="7"/>
      <c r="SI669" s="7"/>
      <c r="SJ669" s="7"/>
      <c r="SK669" s="7"/>
      <c r="SL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  <c r="RZ670" s="7"/>
      <c r="SA670" s="7"/>
      <c r="SB670" s="7"/>
      <c r="SC670" s="7"/>
      <c r="SD670" s="7"/>
      <c r="SE670" s="7"/>
      <c r="SF670" s="7"/>
      <c r="SG670" s="7"/>
      <c r="SH670" s="7"/>
      <c r="SI670" s="7"/>
      <c r="SJ670" s="7"/>
      <c r="SK670" s="7"/>
      <c r="SL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  <c r="RZ671" s="7"/>
      <c r="SA671" s="7"/>
      <c r="SB671" s="7"/>
      <c r="SC671" s="7"/>
      <c r="SD671" s="7"/>
      <c r="SE671" s="7"/>
      <c r="SF671" s="7"/>
      <c r="SG671" s="7"/>
      <c r="SH671" s="7"/>
      <c r="SI671" s="7"/>
      <c r="SJ671" s="7"/>
      <c r="SK671" s="7"/>
      <c r="SL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  <c r="RZ672" s="7"/>
      <c r="SA672" s="7"/>
      <c r="SB672" s="7"/>
      <c r="SC672" s="7"/>
      <c r="SD672" s="7"/>
      <c r="SE672" s="7"/>
      <c r="SF672" s="7"/>
      <c r="SG672" s="7"/>
      <c r="SH672" s="7"/>
      <c r="SI672" s="7"/>
      <c r="SJ672" s="7"/>
      <c r="SK672" s="7"/>
      <c r="SL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  <c r="RZ673" s="7"/>
      <c r="SA673" s="7"/>
      <c r="SB673" s="7"/>
      <c r="SC673" s="7"/>
      <c r="SD673" s="7"/>
      <c r="SE673" s="7"/>
      <c r="SF673" s="7"/>
      <c r="SG673" s="7"/>
      <c r="SH673" s="7"/>
      <c r="SI673" s="7"/>
      <c r="SJ673" s="7"/>
      <c r="SK673" s="7"/>
      <c r="SL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  <c r="RZ674" s="7"/>
      <c r="SA674" s="7"/>
      <c r="SB674" s="7"/>
      <c r="SC674" s="7"/>
      <c r="SD674" s="7"/>
      <c r="SE674" s="7"/>
      <c r="SF674" s="7"/>
      <c r="SG674" s="7"/>
      <c r="SH674" s="7"/>
      <c r="SI674" s="7"/>
      <c r="SJ674" s="7"/>
      <c r="SK674" s="7"/>
      <c r="SL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  <c r="RZ675" s="7"/>
      <c r="SA675" s="7"/>
      <c r="SB675" s="7"/>
      <c r="SC675" s="7"/>
      <c r="SD675" s="7"/>
      <c r="SE675" s="7"/>
      <c r="SF675" s="7"/>
      <c r="SG675" s="7"/>
      <c r="SH675" s="7"/>
      <c r="SI675" s="7"/>
      <c r="SJ675" s="7"/>
      <c r="SK675" s="7"/>
      <c r="SL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  <c r="RZ676" s="7"/>
      <c r="SA676" s="7"/>
      <c r="SB676" s="7"/>
      <c r="SC676" s="7"/>
      <c r="SD676" s="7"/>
      <c r="SE676" s="7"/>
      <c r="SF676" s="7"/>
      <c r="SG676" s="7"/>
      <c r="SH676" s="7"/>
      <c r="SI676" s="7"/>
      <c r="SJ676" s="7"/>
      <c r="SK676" s="7"/>
      <c r="SL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  <c r="RZ677" s="7"/>
      <c r="SA677" s="7"/>
      <c r="SB677" s="7"/>
      <c r="SC677" s="7"/>
      <c r="SD677" s="7"/>
      <c r="SE677" s="7"/>
      <c r="SF677" s="7"/>
      <c r="SG677" s="7"/>
      <c r="SH677" s="7"/>
      <c r="SI677" s="7"/>
      <c r="SJ677" s="7"/>
      <c r="SK677" s="7"/>
      <c r="SL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  <c r="RZ678" s="7"/>
      <c r="SA678" s="7"/>
      <c r="SB678" s="7"/>
      <c r="SC678" s="7"/>
      <c r="SD678" s="7"/>
      <c r="SE678" s="7"/>
      <c r="SF678" s="7"/>
      <c r="SG678" s="7"/>
      <c r="SH678" s="7"/>
      <c r="SI678" s="7"/>
      <c r="SJ678" s="7"/>
      <c r="SK678" s="7"/>
      <c r="SL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  <c r="RZ679" s="7"/>
      <c r="SA679" s="7"/>
      <c r="SB679" s="7"/>
      <c r="SC679" s="7"/>
      <c r="SD679" s="7"/>
      <c r="SE679" s="7"/>
      <c r="SF679" s="7"/>
      <c r="SG679" s="7"/>
      <c r="SH679" s="7"/>
      <c r="SI679" s="7"/>
      <c r="SJ679" s="7"/>
      <c r="SK679" s="7"/>
      <c r="SL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  <c r="RZ680" s="7"/>
      <c r="SA680" s="7"/>
      <c r="SB680" s="7"/>
      <c r="SC680" s="7"/>
      <c r="SD680" s="7"/>
      <c r="SE680" s="7"/>
      <c r="SF680" s="7"/>
      <c r="SG680" s="7"/>
      <c r="SH680" s="7"/>
      <c r="SI680" s="7"/>
      <c r="SJ680" s="7"/>
      <c r="SK680" s="7"/>
      <c r="SL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  <c r="RZ681" s="7"/>
      <c r="SA681" s="7"/>
      <c r="SB681" s="7"/>
      <c r="SC681" s="7"/>
      <c r="SD681" s="7"/>
      <c r="SE681" s="7"/>
      <c r="SF681" s="7"/>
      <c r="SG681" s="7"/>
      <c r="SH681" s="7"/>
      <c r="SI681" s="7"/>
      <c r="SJ681" s="7"/>
      <c r="SK681" s="7"/>
      <c r="SL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  <c r="RZ682" s="7"/>
      <c r="SA682" s="7"/>
      <c r="SB682" s="7"/>
      <c r="SC682" s="7"/>
      <c r="SD682" s="7"/>
      <c r="SE682" s="7"/>
      <c r="SF682" s="7"/>
      <c r="SG682" s="7"/>
      <c r="SH682" s="7"/>
      <c r="SI682" s="7"/>
      <c r="SJ682" s="7"/>
      <c r="SK682" s="7"/>
      <c r="SL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  <c r="RZ683" s="7"/>
      <c r="SA683" s="7"/>
      <c r="SB683" s="7"/>
      <c r="SC683" s="7"/>
      <c r="SD683" s="7"/>
      <c r="SE683" s="7"/>
      <c r="SF683" s="7"/>
      <c r="SG683" s="7"/>
      <c r="SH683" s="7"/>
      <c r="SI683" s="7"/>
      <c r="SJ683" s="7"/>
      <c r="SK683" s="7"/>
      <c r="SL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  <c r="RZ684" s="7"/>
      <c r="SA684" s="7"/>
      <c r="SB684" s="7"/>
      <c r="SC684" s="7"/>
      <c r="SD684" s="7"/>
      <c r="SE684" s="7"/>
      <c r="SF684" s="7"/>
      <c r="SG684" s="7"/>
      <c r="SH684" s="7"/>
      <c r="SI684" s="7"/>
      <c r="SJ684" s="7"/>
      <c r="SK684" s="7"/>
      <c r="SL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  <c r="RZ685" s="7"/>
      <c r="SA685" s="7"/>
      <c r="SB685" s="7"/>
      <c r="SC685" s="7"/>
      <c r="SD685" s="7"/>
      <c r="SE685" s="7"/>
      <c r="SF685" s="7"/>
      <c r="SG685" s="7"/>
      <c r="SH685" s="7"/>
      <c r="SI685" s="7"/>
      <c r="SJ685" s="7"/>
      <c r="SK685" s="7"/>
      <c r="SL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  <c r="RZ686" s="7"/>
      <c r="SA686" s="7"/>
      <c r="SB686" s="7"/>
      <c r="SC686" s="7"/>
      <c r="SD686" s="7"/>
      <c r="SE686" s="7"/>
      <c r="SF686" s="7"/>
      <c r="SG686" s="7"/>
      <c r="SH686" s="7"/>
      <c r="SI686" s="7"/>
      <c r="SJ686" s="7"/>
      <c r="SK686" s="7"/>
      <c r="SL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  <c r="RZ687" s="7"/>
      <c r="SA687" s="7"/>
      <c r="SB687" s="7"/>
      <c r="SC687" s="7"/>
      <c r="SD687" s="7"/>
      <c r="SE687" s="7"/>
      <c r="SF687" s="7"/>
      <c r="SG687" s="7"/>
      <c r="SH687" s="7"/>
      <c r="SI687" s="7"/>
      <c r="SJ687" s="7"/>
      <c r="SK687" s="7"/>
      <c r="SL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  <c r="RZ688" s="7"/>
      <c r="SA688" s="7"/>
      <c r="SB688" s="7"/>
      <c r="SC688" s="7"/>
      <c r="SD688" s="7"/>
      <c r="SE688" s="7"/>
      <c r="SF688" s="7"/>
      <c r="SG688" s="7"/>
      <c r="SH688" s="7"/>
      <c r="SI688" s="7"/>
      <c r="SJ688" s="7"/>
      <c r="SK688" s="7"/>
      <c r="SL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  <c r="RZ689" s="7"/>
      <c r="SA689" s="7"/>
      <c r="SB689" s="7"/>
      <c r="SC689" s="7"/>
      <c r="SD689" s="7"/>
      <c r="SE689" s="7"/>
      <c r="SF689" s="7"/>
      <c r="SG689" s="7"/>
      <c r="SH689" s="7"/>
      <c r="SI689" s="7"/>
      <c r="SJ689" s="7"/>
      <c r="SK689" s="7"/>
      <c r="SL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  <c r="RZ690" s="7"/>
      <c r="SA690" s="7"/>
      <c r="SB690" s="7"/>
      <c r="SC690" s="7"/>
      <c r="SD690" s="7"/>
      <c r="SE690" s="7"/>
      <c r="SF690" s="7"/>
      <c r="SG690" s="7"/>
      <c r="SH690" s="7"/>
      <c r="SI690" s="7"/>
      <c r="SJ690" s="7"/>
      <c r="SK690" s="7"/>
      <c r="SL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  <c r="RZ691" s="7"/>
      <c r="SA691" s="7"/>
      <c r="SB691" s="7"/>
      <c r="SC691" s="7"/>
      <c r="SD691" s="7"/>
      <c r="SE691" s="7"/>
      <c r="SF691" s="7"/>
      <c r="SG691" s="7"/>
      <c r="SH691" s="7"/>
      <c r="SI691" s="7"/>
      <c r="SJ691" s="7"/>
      <c r="SK691" s="7"/>
      <c r="SL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  <c r="RZ692" s="7"/>
      <c r="SA692" s="7"/>
      <c r="SB692" s="7"/>
      <c r="SC692" s="7"/>
      <c r="SD692" s="7"/>
      <c r="SE692" s="7"/>
      <c r="SF692" s="7"/>
      <c r="SG692" s="7"/>
      <c r="SH692" s="7"/>
      <c r="SI692" s="7"/>
      <c r="SJ692" s="7"/>
      <c r="SK692" s="7"/>
      <c r="SL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  <c r="RZ693" s="7"/>
      <c r="SA693" s="7"/>
      <c r="SB693" s="7"/>
      <c r="SC693" s="7"/>
      <c r="SD693" s="7"/>
      <c r="SE693" s="7"/>
      <c r="SF693" s="7"/>
      <c r="SG693" s="7"/>
      <c r="SH693" s="7"/>
      <c r="SI693" s="7"/>
      <c r="SJ693" s="7"/>
      <c r="SK693" s="7"/>
      <c r="SL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  <c r="RZ694" s="7"/>
      <c r="SA694" s="7"/>
      <c r="SB694" s="7"/>
      <c r="SC694" s="7"/>
      <c r="SD694" s="7"/>
      <c r="SE694" s="7"/>
      <c r="SF694" s="7"/>
      <c r="SG694" s="7"/>
      <c r="SH694" s="7"/>
      <c r="SI694" s="7"/>
      <c r="SJ694" s="7"/>
      <c r="SK694" s="7"/>
      <c r="SL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  <c r="RZ695" s="7"/>
      <c r="SA695" s="7"/>
      <c r="SB695" s="7"/>
      <c r="SC695" s="7"/>
      <c r="SD695" s="7"/>
      <c r="SE695" s="7"/>
      <c r="SF695" s="7"/>
      <c r="SG695" s="7"/>
      <c r="SH695" s="7"/>
      <c r="SI695" s="7"/>
      <c r="SJ695" s="7"/>
      <c r="SK695" s="7"/>
      <c r="SL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  <c r="RZ696" s="7"/>
      <c r="SA696" s="7"/>
      <c r="SB696" s="7"/>
      <c r="SC696" s="7"/>
      <c r="SD696" s="7"/>
      <c r="SE696" s="7"/>
      <c r="SF696" s="7"/>
      <c r="SG696" s="7"/>
      <c r="SH696" s="7"/>
      <c r="SI696" s="7"/>
      <c r="SJ696" s="7"/>
      <c r="SK696" s="7"/>
      <c r="SL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  <c r="RZ697" s="7"/>
      <c r="SA697" s="7"/>
      <c r="SB697" s="7"/>
      <c r="SC697" s="7"/>
      <c r="SD697" s="7"/>
      <c r="SE697" s="7"/>
      <c r="SF697" s="7"/>
      <c r="SG697" s="7"/>
      <c r="SH697" s="7"/>
      <c r="SI697" s="7"/>
      <c r="SJ697" s="7"/>
      <c r="SK697" s="7"/>
      <c r="SL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  <c r="RZ698" s="7"/>
      <c r="SA698" s="7"/>
      <c r="SB698" s="7"/>
      <c r="SC698" s="7"/>
      <c r="SD698" s="7"/>
      <c r="SE698" s="7"/>
      <c r="SF698" s="7"/>
      <c r="SG698" s="7"/>
      <c r="SH698" s="7"/>
      <c r="SI698" s="7"/>
      <c r="SJ698" s="7"/>
      <c r="SK698" s="7"/>
      <c r="SL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  <c r="RZ699" s="7"/>
      <c r="SA699" s="7"/>
      <c r="SB699" s="7"/>
      <c r="SC699" s="7"/>
      <c r="SD699" s="7"/>
      <c r="SE699" s="7"/>
      <c r="SF699" s="7"/>
      <c r="SG699" s="7"/>
      <c r="SH699" s="7"/>
      <c r="SI699" s="7"/>
      <c r="SJ699" s="7"/>
      <c r="SK699" s="7"/>
      <c r="SL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  <c r="RZ700" s="7"/>
      <c r="SA700" s="7"/>
      <c r="SB700" s="7"/>
      <c r="SC700" s="7"/>
      <c r="SD700" s="7"/>
      <c r="SE700" s="7"/>
      <c r="SF700" s="7"/>
      <c r="SG700" s="7"/>
      <c r="SH700" s="7"/>
      <c r="SI700" s="7"/>
      <c r="SJ700" s="7"/>
      <c r="SK700" s="7"/>
      <c r="SL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  <c r="RZ701" s="7"/>
      <c r="SA701" s="7"/>
      <c r="SB701" s="7"/>
      <c r="SC701" s="7"/>
      <c r="SD701" s="7"/>
      <c r="SE701" s="7"/>
      <c r="SF701" s="7"/>
      <c r="SG701" s="7"/>
      <c r="SH701" s="7"/>
      <c r="SI701" s="7"/>
      <c r="SJ701" s="7"/>
      <c r="SK701" s="7"/>
      <c r="SL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  <c r="RZ702" s="7"/>
      <c r="SA702" s="7"/>
      <c r="SB702" s="7"/>
      <c r="SC702" s="7"/>
      <c r="SD702" s="7"/>
      <c r="SE702" s="7"/>
      <c r="SF702" s="7"/>
      <c r="SG702" s="7"/>
      <c r="SH702" s="7"/>
      <c r="SI702" s="7"/>
      <c r="SJ702" s="7"/>
      <c r="SK702" s="7"/>
      <c r="SL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  <c r="RZ703" s="7"/>
      <c r="SA703" s="7"/>
      <c r="SB703" s="7"/>
      <c r="SC703" s="7"/>
      <c r="SD703" s="7"/>
      <c r="SE703" s="7"/>
      <c r="SF703" s="7"/>
      <c r="SG703" s="7"/>
      <c r="SH703" s="7"/>
      <c r="SI703" s="7"/>
      <c r="SJ703" s="7"/>
      <c r="SK703" s="7"/>
      <c r="SL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  <c r="RZ704" s="7"/>
      <c r="SA704" s="7"/>
      <c r="SB704" s="7"/>
      <c r="SC704" s="7"/>
      <c r="SD704" s="7"/>
      <c r="SE704" s="7"/>
      <c r="SF704" s="7"/>
      <c r="SG704" s="7"/>
      <c r="SH704" s="7"/>
      <c r="SI704" s="7"/>
      <c r="SJ704" s="7"/>
      <c r="SK704" s="7"/>
      <c r="SL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  <c r="RZ705" s="7"/>
      <c r="SA705" s="7"/>
      <c r="SB705" s="7"/>
      <c r="SC705" s="7"/>
      <c r="SD705" s="7"/>
      <c r="SE705" s="7"/>
      <c r="SF705" s="7"/>
      <c r="SG705" s="7"/>
      <c r="SH705" s="7"/>
      <c r="SI705" s="7"/>
      <c r="SJ705" s="7"/>
      <c r="SK705" s="7"/>
      <c r="SL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  <c r="RZ706" s="7"/>
      <c r="SA706" s="7"/>
      <c r="SB706" s="7"/>
      <c r="SC706" s="7"/>
      <c r="SD706" s="7"/>
      <c r="SE706" s="7"/>
      <c r="SF706" s="7"/>
      <c r="SG706" s="7"/>
      <c r="SH706" s="7"/>
      <c r="SI706" s="7"/>
      <c r="SJ706" s="7"/>
      <c r="SK706" s="7"/>
      <c r="SL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  <c r="RZ707" s="7"/>
      <c r="SA707" s="7"/>
      <c r="SB707" s="7"/>
      <c r="SC707" s="7"/>
      <c r="SD707" s="7"/>
      <c r="SE707" s="7"/>
      <c r="SF707" s="7"/>
      <c r="SG707" s="7"/>
      <c r="SH707" s="7"/>
      <c r="SI707" s="7"/>
      <c r="SJ707" s="7"/>
      <c r="SK707" s="7"/>
      <c r="SL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  <c r="RZ708" s="7"/>
      <c r="SA708" s="7"/>
      <c r="SB708" s="7"/>
      <c r="SC708" s="7"/>
      <c r="SD708" s="7"/>
      <c r="SE708" s="7"/>
      <c r="SF708" s="7"/>
      <c r="SG708" s="7"/>
      <c r="SH708" s="7"/>
      <c r="SI708" s="7"/>
      <c r="SJ708" s="7"/>
      <c r="SK708" s="7"/>
      <c r="SL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  <c r="RZ709" s="7"/>
      <c r="SA709" s="7"/>
      <c r="SB709" s="7"/>
      <c r="SC709" s="7"/>
      <c r="SD709" s="7"/>
      <c r="SE709" s="7"/>
      <c r="SF709" s="7"/>
      <c r="SG709" s="7"/>
      <c r="SH709" s="7"/>
      <c r="SI709" s="7"/>
      <c r="SJ709" s="7"/>
      <c r="SK709" s="7"/>
      <c r="SL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  <c r="RZ710" s="7"/>
      <c r="SA710" s="7"/>
      <c r="SB710" s="7"/>
      <c r="SC710" s="7"/>
      <c r="SD710" s="7"/>
      <c r="SE710" s="7"/>
      <c r="SF710" s="7"/>
      <c r="SG710" s="7"/>
      <c r="SH710" s="7"/>
      <c r="SI710" s="7"/>
      <c r="SJ710" s="7"/>
      <c r="SK710" s="7"/>
      <c r="SL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  <c r="RZ711" s="7"/>
      <c r="SA711" s="7"/>
      <c r="SB711" s="7"/>
      <c r="SC711" s="7"/>
      <c r="SD711" s="7"/>
      <c r="SE711" s="7"/>
      <c r="SF711" s="7"/>
      <c r="SG711" s="7"/>
      <c r="SH711" s="7"/>
      <c r="SI711" s="7"/>
      <c r="SJ711" s="7"/>
      <c r="SK711" s="7"/>
      <c r="SL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  <c r="RZ712" s="7"/>
      <c r="SA712" s="7"/>
      <c r="SB712" s="7"/>
      <c r="SC712" s="7"/>
      <c r="SD712" s="7"/>
      <c r="SE712" s="7"/>
      <c r="SF712" s="7"/>
      <c r="SG712" s="7"/>
      <c r="SH712" s="7"/>
      <c r="SI712" s="7"/>
      <c r="SJ712" s="7"/>
      <c r="SK712" s="7"/>
      <c r="SL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  <c r="RZ713" s="7"/>
      <c r="SA713" s="7"/>
      <c r="SB713" s="7"/>
      <c r="SC713" s="7"/>
      <c r="SD713" s="7"/>
      <c r="SE713" s="7"/>
      <c r="SF713" s="7"/>
      <c r="SG713" s="7"/>
      <c r="SH713" s="7"/>
      <c r="SI713" s="7"/>
      <c r="SJ713" s="7"/>
      <c r="SK713" s="7"/>
      <c r="SL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  <c r="RZ714" s="7"/>
      <c r="SA714" s="7"/>
      <c r="SB714" s="7"/>
      <c r="SC714" s="7"/>
      <c r="SD714" s="7"/>
      <c r="SE714" s="7"/>
      <c r="SF714" s="7"/>
      <c r="SG714" s="7"/>
      <c r="SH714" s="7"/>
      <c r="SI714" s="7"/>
      <c r="SJ714" s="7"/>
      <c r="SK714" s="7"/>
      <c r="SL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  <c r="RZ715" s="7"/>
      <c r="SA715" s="7"/>
      <c r="SB715" s="7"/>
      <c r="SC715" s="7"/>
      <c r="SD715" s="7"/>
      <c r="SE715" s="7"/>
      <c r="SF715" s="7"/>
      <c r="SG715" s="7"/>
      <c r="SH715" s="7"/>
      <c r="SI715" s="7"/>
      <c r="SJ715" s="7"/>
      <c r="SK715" s="7"/>
      <c r="SL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  <c r="RZ716" s="7"/>
      <c r="SA716" s="7"/>
      <c r="SB716" s="7"/>
      <c r="SC716" s="7"/>
      <c r="SD716" s="7"/>
      <c r="SE716" s="7"/>
      <c r="SF716" s="7"/>
      <c r="SG716" s="7"/>
      <c r="SH716" s="7"/>
      <c r="SI716" s="7"/>
      <c r="SJ716" s="7"/>
      <c r="SK716" s="7"/>
      <c r="SL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  <c r="RZ717" s="7"/>
      <c r="SA717" s="7"/>
      <c r="SB717" s="7"/>
      <c r="SC717" s="7"/>
      <c r="SD717" s="7"/>
      <c r="SE717" s="7"/>
      <c r="SF717" s="7"/>
      <c r="SG717" s="7"/>
      <c r="SH717" s="7"/>
      <c r="SI717" s="7"/>
      <c r="SJ717" s="7"/>
      <c r="SK717" s="7"/>
      <c r="SL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  <c r="RZ718" s="7"/>
      <c r="SA718" s="7"/>
      <c r="SB718" s="7"/>
      <c r="SC718" s="7"/>
      <c r="SD718" s="7"/>
      <c r="SE718" s="7"/>
      <c r="SF718" s="7"/>
      <c r="SG718" s="7"/>
      <c r="SH718" s="7"/>
      <c r="SI718" s="7"/>
      <c r="SJ718" s="7"/>
      <c r="SK718" s="7"/>
      <c r="SL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  <c r="RZ719" s="7"/>
      <c r="SA719" s="7"/>
      <c r="SB719" s="7"/>
      <c r="SC719" s="7"/>
      <c r="SD719" s="7"/>
      <c r="SE719" s="7"/>
      <c r="SF719" s="7"/>
      <c r="SG719" s="7"/>
      <c r="SH719" s="7"/>
      <c r="SI719" s="7"/>
      <c r="SJ719" s="7"/>
      <c r="SK719" s="7"/>
      <c r="SL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  <c r="RZ720" s="7"/>
      <c r="SA720" s="7"/>
      <c r="SB720" s="7"/>
      <c r="SC720" s="7"/>
      <c r="SD720" s="7"/>
      <c r="SE720" s="7"/>
      <c r="SF720" s="7"/>
      <c r="SG720" s="7"/>
      <c r="SH720" s="7"/>
      <c r="SI720" s="7"/>
      <c r="SJ720" s="7"/>
      <c r="SK720" s="7"/>
      <c r="SL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  <c r="RZ721" s="7"/>
      <c r="SA721" s="7"/>
      <c r="SB721" s="7"/>
      <c r="SC721" s="7"/>
      <c r="SD721" s="7"/>
      <c r="SE721" s="7"/>
      <c r="SF721" s="7"/>
      <c r="SG721" s="7"/>
      <c r="SH721" s="7"/>
      <c r="SI721" s="7"/>
      <c r="SJ721" s="7"/>
      <c r="SK721" s="7"/>
      <c r="SL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  <c r="RZ722" s="7"/>
      <c r="SA722" s="7"/>
      <c r="SB722" s="7"/>
      <c r="SC722" s="7"/>
      <c r="SD722" s="7"/>
      <c r="SE722" s="7"/>
      <c r="SF722" s="7"/>
      <c r="SG722" s="7"/>
      <c r="SH722" s="7"/>
      <c r="SI722" s="7"/>
      <c r="SJ722" s="7"/>
      <c r="SK722" s="7"/>
      <c r="SL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  <c r="RZ723" s="7"/>
      <c r="SA723" s="7"/>
      <c r="SB723" s="7"/>
      <c r="SC723" s="7"/>
      <c r="SD723" s="7"/>
      <c r="SE723" s="7"/>
      <c r="SF723" s="7"/>
      <c r="SG723" s="7"/>
      <c r="SH723" s="7"/>
      <c r="SI723" s="7"/>
      <c r="SJ723" s="7"/>
      <c r="SK723" s="7"/>
      <c r="SL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  <c r="RZ724" s="7"/>
      <c r="SA724" s="7"/>
      <c r="SB724" s="7"/>
      <c r="SC724" s="7"/>
      <c r="SD724" s="7"/>
      <c r="SE724" s="7"/>
      <c r="SF724" s="7"/>
      <c r="SG724" s="7"/>
      <c r="SH724" s="7"/>
      <c r="SI724" s="7"/>
      <c r="SJ724" s="7"/>
      <c r="SK724" s="7"/>
      <c r="SL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  <c r="RZ725" s="7"/>
      <c r="SA725" s="7"/>
      <c r="SB725" s="7"/>
      <c r="SC725" s="7"/>
      <c r="SD725" s="7"/>
      <c r="SE725" s="7"/>
      <c r="SF725" s="7"/>
      <c r="SG725" s="7"/>
      <c r="SH725" s="7"/>
      <c r="SI725" s="7"/>
      <c r="SJ725" s="7"/>
      <c r="SK725" s="7"/>
      <c r="SL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  <c r="RZ726" s="7"/>
      <c r="SA726" s="7"/>
      <c r="SB726" s="7"/>
      <c r="SC726" s="7"/>
      <c r="SD726" s="7"/>
      <c r="SE726" s="7"/>
      <c r="SF726" s="7"/>
      <c r="SG726" s="7"/>
      <c r="SH726" s="7"/>
      <c r="SI726" s="7"/>
      <c r="SJ726" s="7"/>
      <c r="SK726" s="7"/>
      <c r="SL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  <c r="RZ727" s="7"/>
      <c r="SA727" s="7"/>
      <c r="SB727" s="7"/>
      <c r="SC727" s="7"/>
      <c r="SD727" s="7"/>
      <c r="SE727" s="7"/>
      <c r="SF727" s="7"/>
      <c r="SG727" s="7"/>
      <c r="SH727" s="7"/>
      <c r="SI727" s="7"/>
      <c r="SJ727" s="7"/>
      <c r="SK727" s="7"/>
      <c r="SL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  <c r="RZ728" s="7"/>
      <c r="SA728" s="7"/>
      <c r="SB728" s="7"/>
      <c r="SC728" s="7"/>
      <c r="SD728" s="7"/>
      <c r="SE728" s="7"/>
      <c r="SF728" s="7"/>
      <c r="SG728" s="7"/>
      <c r="SH728" s="7"/>
      <c r="SI728" s="7"/>
      <c r="SJ728" s="7"/>
      <c r="SK728" s="7"/>
      <c r="SL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  <c r="RZ729" s="7"/>
      <c r="SA729" s="7"/>
      <c r="SB729" s="7"/>
      <c r="SC729" s="7"/>
      <c r="SD729" s="7"/>
      <c r="SE729" s="7"/>
      <c r="SF729" s="7"/>
      <c r="SG729" s="7"/>
      <c r="SH729" s="7"/>
      <c r="SI729" s="7"/>
      <c r="SJ729" s="7"/>
      <c r="SK729" s="7"/>
      <c r="SL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  <c r="RZ730" s="7"/>
      <c r="SA730" s="7"/>
      <c r="SB730" s="7"/>
      <c r="SC730" s="7"/>
      <c r="SD730" s="7"/>
      <c r="SE730" s="7"/>
      <c r="SF730" s="7"/>
      <c r="SG730" s="7"/>
      <c r="SH730" s="7"/>
      <c r="SI730" s="7"/>
      <c r="SJ730" s="7"/>
      <c r="SK730" s="7"/>
      <c r="SL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  <c r="RZ731" s="7"/>
      <c r="SA731" s="7"/>
      <c r="SB731" s="7"/>
      <c r="SC731" s="7"/>
      <c r="SD731" s="7"/>
      <c r="SE731" s="7"/>
      <c r="SF731" s="7"/>
      <c r="SG731" s="7"/>
      <c r="SH731" s="7"/>
      <c r="SI731" s="7"/>
      <c r="SJ731" s="7"/>
      <c r="SK731" s="7"/>
      <c r="SL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  <c r="RZ732" s="7"/>
      <c r="SA732" s="7"/>
      <c r="SB732" s="7"/>
      <c r="SC732" s="7"/>
      <c r="SD732" s="7"/>
      <c r="SE732" s="7"/>
      <c r="SF732" s="7"/>
      <c r="SG732" s="7"/>
      <c r="SH732" s="7"/>
      <c r="SI732" s="7"/>
      <c r="SJ732" s="7"/>
      <c r="SK732" s="7"/>
      <c r="SL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  <c r="RZ733" s="7"/>
      <c r="SA733" s="7"/>
      <c r="SB733" s="7"/>
      <c r="SC733" s="7"/>
      <c r="SD733" s="7"/>
      <c r="SE733" s="7"/>
      <c r="SF733" s="7"/>
      <c r="SG733" s="7"/>
      <c r="SH733" s="7"/>
      <c r="SI733" s="7"/>
      <c r="SJ733" s="7"/>
      <c r="SK733" s="7"/>
      <c r="SL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  <c r="RZ734" s="7"/>
      <c r="SA734" s="7"/>
      <c r="SB734" s="7"/>
      <c r="SC734" s="7"/>
      <c r="SD734" s="7"/>
      <c r="SE734" s="7"/>
      <c r="SF734" s="7"/>
      <c r="SG734" s="7"/>
      <c r="SH734" s="7"/>
      <c r="SI734" s="7"/>
      <c r="SJ734" s="7"/>
      <c r="SK734" s="7"/>
      <c r="SL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  <c r="RZ735" s="7"/>
      <c r="SA735" s="7"/>
      <c r="SB735" s="7"/>
      <c r="SC735" s="7"/>
      <c r="SD735" s="7"/>
      <c r="SE735" s="7"/>
      <c r="SF735" s="7"/>
      <c r="SG735" s="7"/>
      <c r="SH735" s="7"/>
      <c r="SI735" s="7"/>
      <c r="SJ735" s="7"/>
      <c r="SK735" s="7"/>
      <c r="SL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  <c r="RZ736" s="7"/>
      <c r="SA736" s="7"/>
      <c r="SB736" s="7"/>
      <c r="SC736" s="7"/>
      <c r="SD736" s="7"/>
      <c r="SE736" s="7"/>
      <c r="SF736" s="7"/>
      <c r="SG736" s="7"/>
      <c r="SH736" s="7"/>
      <c r="SI736" s="7"/>
      <c r="SJ736" s="7"/>
      <c r="SK736" s="7"/>
      <c r="SL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  <c r="RZ737" s="7"/>
      <c r="SA737" s="7"/>
      <c r="SB737" s="7"/>
      <c r="SC737" s="7"/>
      <c r="SD737" s="7"/>
      <c r="SE737" s="7"/>
      <c r="SF737" s="7"/>
      <c r="SG737" s="7"/>
      <c r="SH737" s="7"/>
      <c r="SI737" s="7"/>
      <c r="SJ737" s="7"/>
      <c r="SK737" s="7"/>
      <c r="SL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  <c r="RZ738" s="7"/>
      <c r="SA738" s="7"/>
      <c r="SB738" s="7"/>
      <c r="SC738" s="7"/>
      <c r="SD738" s="7"/>
      <c r="SE738" s="7"/>
      <c r="SF738" s="7"/>
      <c r="SG738" s="7"/>
      <c r="SH738" s="7"/>
      <c r="SI738" s="7"/>
      <c r="SJ738" s="7"/>
      <c r="SK738" s="7"/>
      <c r="SL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  <c r="RZ739" s="7"/>
      <c r="SA739" s="7"/>
      <c r="SB739" s="7"/>
      <c r="SC739" s="7"/>
      <c r="SD739" s="7"/>
      <c r="SE739" s="7"/>
      <c r="SF739" s="7"/>
      <c r="SG739" s="7"/>
      <c r="SH739" s="7"/>
      <c r="SI739" s="7"/>
      <c r="SJ739" s="7"/>
      <c r="SK739" s="7"/>
      <c r="SL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  <c r="RZ740" s="7"/>
      <c r="SA740" s="7"/>
      <c r="SB740" s="7"/>
      <c r="SC740" s="7"/>
      <c r="SD740" s="7"/>
      <c r="SE740" s="7"/>
      <c r="SF740" s="7"/>
      <c r="SG740" s="7"/>
      <c r="SH740" s="7"/>
      <c r="SI740" s="7"/>
      <c r="SJ740" s="7"/>
      <c r="SK740" s="7"/>
      <c r="SL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  <c r="RZ741" s="7"/>
      <c r="SA741" s="7"/>
      <c r="SB741" s="7"/>
      <c r="SC741" s="7"/>
      <c r="SD741" s="7"/>
      <c r="SE741" s="7"/>
      <c r="SF741" s="7"/>
      <c r="SG741" s="7"/>
      <c r="SH741" s="7"/>
      <c r="SI741" s="7"/>
      <c r="SJ741" s="7"/>
      <c r="SK741" s="7"/>
      <c r="SL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  <c r="RZ742" s="7"/>
      <c r="SA742" s="7"/>
      <c r="SB742" s="7"/>
      <c r="SC742" s="7"/>
      <c r="SD742" s="7"/>
      <c r="SE742" s="7"/>
      <c r="SF742" s="7"/>
      <c r="SG742" s="7"/>
      <c r="SH742" s="7"/>
      <c r="SI742" s="7"/>
      <c r="SJ742" s="7"/>
      <c r="SK742" s="7"/>
      <c r="SL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  <c r="RZ743" s="7"/>
      <c r="SA743" s="7"/>
      <c r="SB743" s="7"/>
      <c r="SC743" s="7"/>
      <c r="SD743" s="7"/>
      <c r="SE743" s="7"/>
      <c r="SF743" s="7"/>
      <c r="SG743" s="7"/>
      <c r="SH743" s="7"/>
      <c r="SI743" s="7"/>
      <c r="SJ743" s="7"/>
      <c r="SK743" s="7"/>
      <c r="SL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  <c r="RZ744" s="7"/>
      <c r="SA744" s="7"/>
      <c r="SB744" s="7"/>
      <c r="SC744" s="7"/>
      <c r="SD744" s="7"/>
      <c r="SE744" s="7"/>
      <c r="SF744" s="7"/>
      <c r="SG744" s="7"/>
      <c r="SH744" s="7"/>
      <c r="SI744" s="7"/>
      <c r="SJ744" s="7"/>
      <c r="SK744" s="7"/>
      <c r="SL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  <c r="RZ745" s="7"/>
      <c r="SA745" s="7"/>
      <c r="SB745" s="7"/>
      <c r="SC745" s="7"/>
      <c r="SD745" s="7"/>
      <c r="SE745" s="7"/>
      <c r="SF745" s="7"/>
      <c r="SG745" s="7"/>
      <c r="SH745" s="7"/>
      <c r="SI745" s="7"/>
      <c r="SJ745" s="7"/>
      <c r="SK745" s="7"/>
      <c r="SL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  <c r="RZ746" s="7"/>
      <c r="SA746" s="7"/>
      <c r="SB746" s="7"/>
      <c r="SC746" s="7"/>
      <c r="SD746" s="7"/>
      <c r="SE746" s="7"/>
      <c r="SF746" s="7"/>
      <c r="SG746" s="7"/>
      <c r="SH746" s="7"/>
      <c r="SI746" s="7"/>
      <c r="SJ746" s="7"/>
      <c r="SK746" s="7"/>
      <c r="SL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  <c r="RZ747" s="7"/>
      <c r="SA747" s="7"/>
      <c r="SB747" s="7"/>
      <c r="SC747" s="7"/>
      <c r="SD747" s="7"/>
      <c r="SE747" s="7"/>
      <c r="SF747" s="7"/>
      <c r="SG747" s="7"/>
      <c r="SH747" s="7"/>
      <c r="SI747" s="7"/>
      <c r="SJ747" s="7"/>
      <c r="SK747" s="7"/>
      <c r="SL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  <c r="RZ748" s="7"/>
      <c r="SA748" s="7"/>
      <c r="SB748" s="7"/>
      <c r="SC748" s="7"/>
      <c r="SD748" s="7"/>
      <c r="SE748" s="7"/>
      <c r="SF748" s="7"/>
      <c r="SG748" s="7"/>
      <c r="SH748" s="7"/>
      <c r="SI748" s="7"/>
      <c r="SJ748" s="7"/>
      <c r="SK748" s="7"/>
      <c r="SL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  <c r="RZ749" s="7"/>
      <c r="SA749" s="7"/>
      <c r="SB749" s="7"/>
      <c r="SC749" s="7"/>
      <c r="SD749" s="7"/>
      <c r="SE749" s="7"/>
      <c r="SF749" s="7"/>
      <c r="SG749" s="7"/>
      <c r="SH749" s="7"/>
      <c r="SI749" s="7"/>
      <c r="SJ749" s="7"/>
      <c r="SK749" s="7"/>
      <c r="SL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  <c r="RZ750" s="7"/>
      <c r="SA750" s="7"/>
      <c r="SB750" s="7"/>
      <c r="SC750" s="7"/>
      <c r="SD750" s="7"/>
      <c r="SE750" s="7"/>
      <c r="SF750" s="7"/>
      <c r="SG750" s="7"/>
      <c r="SH750" s="7"/>
      <c r="SI750" s="7"/>
      <c r="SJ750" s="7"/>
      <c r="SK750" s="7"/>
      <c r="SL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  <c r="RZ751" s="7"/>
      <c r="SA751" s="7"/>
      <c r="SB751" s="7"/>
      <c r="SC751" s="7"/>
      <c r="SD751" s="7"/>
      <c r="SE751" s="7"/>
      <c r="SF751" s="7"/>
      <c r="SG751" s="7"/>
      <c r="SH751" s="7"/>
      <c r="SI751" s="7"/>
      <c r="SJ751" s="7"/>
      <c r="SK751" s="7"/>
      <c r="SL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  <c r="RZ752" s="7"/>
      <c r="SA752" s="7"/>
      <c r="SB752" s="7"/>
      <c r="SC752" s="7"/>
      <c r="SD752" s="7"/>
      <c r="SE752" s="7"/>
      <c r="SF752" s="7"/>
      <c r="SG752" s="7"/>
      <c r="SH752" s="7"/>
      <c r="SI752" s="7"/>
      <c r="SJ752" s="7"/>
      <c r="SK752" s="7"/>
      <c r="SL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  <c r="RZ753" s="7"/>
      <c r="SA753" s="7"/>
      <c r="SB753" s="7"/>
      <c r="SC753" s="7"/>
      <c r="SD753" s="7"/>
      <c r="SE753" s="7"/>
      <c r="SF753" s="7"/>
      <c r="SG753" s="7"/>
      <c r="SH753" s="7"/>
      <c r="SI753" s="7"/>
      <c r="SJ753" s="7"/>
      <c r="SK753" s="7"/>
      <c r="SL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  <c r="RZ754" s="7"/>
      <c r="SA754" s="7"/>
      <c r="SB754" s="7"/>
      <c r="SC754" s="7"/>
      <c r="SD754" s="7"/>
      <c r="SE754" s="7"/>
      <c r="SF754" s="7"/>
      <c r="SG754" s="7"/>
      <c r="SH754" s="7"/>
      <c r="SI754" s="7"/>
      <c r="SJ754" s="7"/>
      <c r="SK754" s="7"/>
      <c r="SL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  <c r="RZ755" s="7"/>
      <c r="SA755" s="7"/>
      <c r="SB755" s="7"/>
      <c r="SC755" s="7"/>
      <c r="SD755" s="7"/>
      <c r="SE755" s="7"/>
      <c r="SF755" s="7"/>
      <c r="SG755" s="7"/>
      <c r="SH755" s="7"/>
      <c r="SI755" s="7"/>
      <c r="SJ755" s="7"/>
      <c r="SK755" s="7"/>
      <c r="SL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  <c r="RZ756" s="7"/>
      <c r="SA756" s="7"/>
      <c r="SB756" s="7"/>
      <c r="SC756" s="7"/>
      <c r="SD756" s="7"/>
      <c r="SE756" s="7"/>
      <c r="SF756" s="7"/>
      <c r="SG756" s="7"/>
      <c r="SH756" s="7"/>
      <c r="SI756" s="7"/>
      <c r="SJ756" s="7"/>
      <c r="SK756" s="7"/>
      <c r="SL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  <c r="RZ757" s="7"/>
      <c r="SA757" s="7"/>
      <c r="SB757" s="7"/>
      <c r="SC757" s="7"/>
      <c r="SD757" s="7"/>
      <c r="SE757" s="7"/>
      <c r="SF757" s="7"/>
      <c r="SG757" s="7"/>
      <c r="SH757" s="7"/>
      <c r="SI757" s="7"/>
      <c r="SJ757" s="7"/>
      <c r="SK757" s="7"/>
      <c r="SL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  <c r="RZ758" s="7"/>
      <c r="SA758" s="7"/>
      <c r="SB758" s="7"/>
      <c r="SC758" s="7"/>
      <c r="SD758" s="7"/>
      <c r="SE758" s="7"/>
      <c r="SF758" s="7"/>
      <c r="SG758" s="7"/>
      <c r="SH758" s="7"/>
      <c r="SI758" s="7"/>
      <c r="SJ758" s="7"/>
      <c r="SK758" s="7"/>
      <c r="SL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  <c r="RZ759" s="7"/>
      <c r="SA759" s="7"/>
      <c r="SB759" s="7"/>
      <c r="SC759" s="7"/>
      <c r="SD759" s="7"/>
      <c r="SE759" s="7"/>
      <c r="SF759" s="7"/>
      <c r="SG759" s="7"/>
      <c r="SH759" s="7"/>
      <c r="SI759" s="7"/>
      <c r="SJ759" s="7"/>
      <c r="SK759" s="7"/>
      <c r="SL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  <c r="RZ760" s="7"/>
      <c r="SA760" s="7"/>
      <c r="SB760" s="7"/>
      <c r="SC760" s="7"/>
      <c r="SD760" s="7"/>
      <c r="SE760" s="7"/>
      <c r="SF760" s="7"/>
      <c r="SG760" s="7"/>
      <c r="SH760" s="7"/>
      <c r="SI760" s="7"/>
      <c r="SJ760" s="7"/>
      <c r="SK760" s="7"/>
      <c r="SL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  <c r="RZ761" s="7"/>
      <c r="SA761" s="7"/>
      <c r="SB761" s="7"/>
      <c r="SC761" s="7"/>
      <c r="SD761" s="7"/>
      <c r="SE761" s="7"/>
      <c r="SF761" s="7"/>
      <c r="SG761" s="7"/>
      <c r="SH761" s="7"/>
      <c r="SI761" s="7"/>
      <c r="SJ761" s="7"/>
      <c r="SK761" s="7"/>
      <c r="SL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  <c r="RZ762" s="7"/>
      <c r="SA762" s="7"/>
      <c r="SB762" s="7"/>
      <c r="SC762" s="7"/>
      <c r="SD762" s="7"/>
      <c r="SE762" s="7"/>
      <c r="SF762" s="7"/>
      <c r="SG762" s="7"/>
      <c r="SH762" s="7"/>
      <c r="SI762" s="7"/>
      <c r="SJ762" s="7"/>
      <c r="SK762" s="7"/>
      <c r="SL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  <c r="RZ763" s="7"/>
      <c r="SA763" s="7"/>
      <c r="SB763" s="7"/>
      <c r="SC763" s="7"/>
      <c r="SD763" s="7"/>
      <c r="SE763" s="7"/>
      <c r="SF763" s="7"/>
      <c r="SG763" s="7"/>
      <c r="SH763" s="7"/>
      <c r="SI763" s="7"/>
      <c r="SJ763" s="7"/>
      <c r="SK763" s="7"/>
      <c r="SL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  <c r="RZ764" s="7"/>
      <c r="SA764" s="7"/>
      <c r="SB764" s="7"/>
      <c r="SC764" s="7"/>
      <c r="SD764" s="7"/>
      <c r="SE764" s="7"/>
      <c r="SF764" s="7"/>
      <c r="SG764" s="7"/>
      <c r="SH764" s="7"/>
      <c r="SI764" s="7"/>
      <c r="SJ764" s="7"/>
      <c r="SK764" s="7"/>
      <c r="SL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  <c r="RZ765" s="7"/>
      <c r="SA765" s="7"/>
      <c r="SB765" s="7"/>
      <c r="SC765" s="7"/>
      <c r="SD765" s="7"/>
      <c r="SE765" s="7"/>
      <c r="SF765" s="7"/>
      <c r="SG765" s="7"/>
      <c r="SH765" s="7"/>
      <c r="SI765" s="7"/>
      <c r="SJ765" s="7"/>
      <c r="SK765" s="7"/>
      <c r="SL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  <c r="RZ766" s="7"/>
      <c r="SA766" s="7"/>
      <c r="SB766" s="7"/>
      <c r="SC766" s="7"/>
      <c r="SD766" s="7"/>
      <c r="SE766" s="7"/>
      <c r="SF766" s="7"/>
      <c r="SG766" s="7"/>
      <c r="SH766" s="7"/>
      <c r="SI766" s="7"/>
      <c r="SJ766" s="7"/>
      <c r="SK766" s="7"/>
      <c r="SL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  <c r="RZ767" s="7"/>
      <c r="SA767" s="7"/>
      <c r="SB767" s="7"/>
      <c r="SC767" s="7"/>
      <c r="SD767" s="7"/>
      <c r="SE767" s="7"/>
      <c r="SF767" s="7"/>
      <c r="SG767" s="7"/>
      <c r="SH767" s="7"/>
      <c r="SI767" s="7"/>
      <c r="SJ767" s="7"/>
      <c r="SK767" s="7"/>
      <c r="SL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  <c r="RZ768" s="7"/>
      <c r="SA768" s="7"/>
      <c r="SB768" s="7"/>
      <c r="SC768" s="7"/>
      <c r="SD768" s="7"/>
      <c r="SE768" s="7"/>
      <c r="SF768" s="7"/>
      <c r="SG768" s="7"/>
      <c r="SH768" s="7"/>
      <c r="SI768" s="7"/>
      <c r="SJ768" s="7"/>
      <c r="SK768" s="7"/>
      <c r="SL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  <c r="RZ769" s="7"/>
      <c r="SA769" s="7"/>
      <c r="SB769" s="7"/>
      <c r="SC769" s="7"/>
      <c r="SD769" s="7"/>
      <c r="SE769" s="7"/>
      <c r="SF769" s="7"/>
      <c r="SG769" s="7"/>
      <c r="SH769" s="7"/>
      <c r="SI769" s="7"/>
      <c r="SJ769" s="7"/>
      <c r="SK769" s="7"/>
      <c r="SL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  <c r="RZ770" s="7"/>
      <c r="SA770" s="7"/>
      <c r="SB770" s="7"/>
      <c r="SC770" s="7"/>
      <c r="SD770" s="7"/>
      <c r="SE770" s="7"/>
      <c r="SF770" s="7"/>
      <c r="SG770" s="7"/>
      <c r="SH770" s="7"/>
      <c r="SI770" s="7"/>
      <c r="SJ770" s="7"/>
      <c r="SK770" s="7"/>
      <c r="SL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  <c r="RZ771" s="7"/>
      <c r="SA771" s="7"/>
      <c r="SB771" s="7"/>
      <c r="SC771" s="7"/>
      <c r="SD771" s="7"/>
      <c r="SE771" s="7"/>
      <c r="SF771" s="7"/>
      <c r="SG771" s="7"/>
      <c r="SH771" s="7"/>
      <c r="SI771" s="7"/>
      <c r="SJ771" s="7"/>
      <c r="SK771" s="7"/>
      <c r="SL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  <c r="RZ772" s="7"/>
      <c r="SA772" s="7"/>
      <c r="SB772" s="7"/>
      <c r="SC772" s="7"/>
      <c r="SD772" s="7"/>
      <c r="SE772" s="7"/>
      <c r="SF772" s="7"/>
      <c r="SG772" s="7"/>
      <c r="SH772" s="7"/>
      <c r="SI772" s="7"/>
      <c r="SJ772" s="7"/>
      <c r="SK772" s="7"/>
      <c r="SL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  <c r="RZ773" s="7"/>
      <c r="SA773" s="7"/>
      <c r="SB773" s="7"/>
      <c r="SC773" s="7"/>
      <c r="SD773" s="7"/>
      <c r="SE773" s="7"/>
      <c r="SF773" s="7"/>
      <c r="SG773" s="7"/>
      <c r="SH773" s="7"/>
      <c r="SI773" s="7"/>
      <c r="SJ773" s="7"/>
      <c r="SK773" s="7"/>
      <c r="SL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  <c r="RZ774" s="7"/>
      <c r="SA774" s="7"/>
      <c r="SB774" s="7"/>
      <c r="SC774" s="7"/>
      <c r="SD774" s="7"/>
      <c r="SE774" s="7"/>
      <c r="SF774" s="7"/>
      <c r="SG774" s="7"/>
      <c r="SH774" s="7"/>
      <c r="SI774" s="7"/>
      <c r="SJ774" s="7"/>
      <c r="SK774" s="7"/>
      <c r="SL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  <c r="RZ775" s="7"/>
      <c r="SA775" s="7"/>
      <c r="SB775" s="7"/>
      <c r="SC775" s="7"/>
      <c r="SD775" s="7"/>
      <c r="SE775" s="7"/>
      <c r="SF775" s="7"/>
      <c r="SG775" s="7"/>
      <c r="SH775" s="7"/>
      <c r="SI775" s="7"/>
      <c r="SJ775" s="7"/>
      <c r="SK775" s="7"/>
      <c r="SL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  <c r="RZ776" s="7"/>
      <c r="SA776" s="7"/>
      <c r="SB776" s="7"/>
      <c r="SC776" s="7"/>
      <c r="SD776" s="7"/>
      <c r="SE776" s="7"/>
      <c r="SF776" s="7"/>
      <c r="SG776" s="7"/>
      <c r="SH776" s="7"/>
      <c r="SI776" s="7"/>
      <c r="SJ776" s="7"/>
      <c r="SK776" s="7"/>
      <c r="SL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  <c r="RZ777" s="7"/>
      <c r="SA777" s="7"/>
      <c r="SB777" s="7"/>
      <c r="SC777" s="7"/>
      <c r="SD777" s="7"/>
      <c r="SE777" s="7"/>
      <c r="SF777" s="7"/>
      <c r="SG777" s="7"/>
      <c r="SH777" s="7"/>
      <c r="SI777" s="7"/>
      <c r="SJ777" s="7"/>
      <c r="SK777" s="7"/>
      <c r="SL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  <c r="RZ778" s="7"/>
      <c r="SA778" s="7"/>
      <c r="SB778" s="7"/>
      <c r="SC778" s="7"/>
      <c r="SD778" s="7"/>
      <c r="SE778" s="7"/>
      <c r="SF778" s="7"/>
      <c r="SG778" s="7"/>
      <c r="SH778" s="7"/>
      <c r="SI778" s="7"/>
      <c r="SJ778" s="7"/>
      <c r="SK778" s="7"/>
      <c r="SL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  <c r="RZ779" s="7"/>
      <c r="SA779" s="7"/>
      <c r="SB779" s="7"/>
      <c r="SC779" s="7"/>
      <c r="SD779" s="7"/>
      <c r="SE779" s="7"/>
      <c r="SF779" s="7"/>
      <c r="SG779" s="7"/>
      <c r="SH779" s="7"/>
      <c r="SI779" s="7"/>
      <c r="SJ779" s="7"/>
      <c r="SK779" s="7"/>
      <c r="SL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  <c r="RZ780" s="7"/>
      <c r="SA780" s="7"/>
      <c r="SB780" s="7"/>
      <c r="SC780" s="7"/>
      <c r="SD780" s="7"/>
      <c r="SE780" s="7"/>
      <c r="SF780" s="7"/>
      <c r="SG780" s="7"/>
      <c r="SH780" s="7"/>
      <c r="SI780" s="7"/>
      <c r="SJ780" s="7"/>
      <c r="SK780" s="7"/>
      <c r="SL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  <c r="RZ781" s="7"/>
      <c r="SA781" s="7"/>
      <c r="SB781" s="7"/>
      <c r="SC781" s="7"/>
      <c r="SD781" s="7"/>
      <c r="SE781" s="7"/>
      <c r="SF781" s="7"/>
      <c r="SG781" s="7"/>
      <c r="SH781" s="7"/>
      <c r="SI781" s="7"/>
      <c r="SJ781" s="7"/>
      <c r="SK781" s="7"/>
      <c r="SL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  <c r="RZ782" s="7"/>
      <c r="SA782" s="7"/>
      <c r="SB782" s="7"/>
      <c r="SC782" s="7"/>
      <c r="SD782" s="7"/>
      <c r="SE782" s="7"/>
      <c r="SF782" s="7"/>
      <c r="SG782" s="7"/>
      <c r="SH782" s="7"/>
      <c r="SI782" s="7"/>
      <c r="SJ782" s="7"/>
      <c r="SK782" s="7"/>
      <c r="SL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  <c r="RZ783" s="7"/>
      <c r="SA783" s="7"/>
      <c r="SB783" s="7"/>
      <c r="SC783" s="7"/>
      <c r="SD783" s="7"/>
      <c r="SE783" s="7"/>
      <c r="SF783" s="7"/>
      <c r="SG783" s="7"/>
      <c r="SH783" s="7"/>
      <c r="SI783" s="7"/>
      <c r="SJ783" s="7"/>
      <c r="SK783" s="7"/>
      <c r="SL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  <c r="RZ784" s="7"/>
      <c r="SA784" s="7"/>
      <c r="SB784" s="7"/>
      <c r="SC784" s="7"/>
      <c r="SD784" s="7"/>
      <c r="SE784" s="7"/>
      <c r="SF784" s="7"/>
      <c r="SG784" s="7"/>
      <c r="SH784" s="7"/>
      <c r="SI784" s="7"/>
      <c r="SJ784" s="7"/>
      <c r="SK784" s="7"/>
      <c r="SL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  <c r="RZ785" s="7"/>
      <c r="SA785" s="7"/>
      <c r="SB785" s="7"/>
      <c r="SC785" s="7"/>
      <c r="SD785" s="7"/>
      <c r="SE785" s="7"/>
      <c r="SF785" s="7"/>
      <c r="SG785" s="7"/>
      <c r="SH785" s="7"/>
      <c r="SI785" s="7"/>
      <c r="SJ785" s="7"/>
      <c r="SK785" s="7"/>
      <c r="SL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  <c r="RZ786" s="7"/>
      <c r="SA786" s="7"/>
      <c r="SB786" s="7"/>
      <c r="SC786" s="7"/>
      <c r="SD786" s="7"/>
      <c r="SE786" s="7"/>
      <c r="SF786" s="7"/>
      <c r="SG786" s="7"/>
      <c r="SH786" s="7"/>
      <c r="SI786" s="7"/>
      <c r="SJ786" s="7"/>
      <c r="SK786" s="7"/>
      <c r="SL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  <c r="RZ787" s="7"/>
      <c r="SA787" s="7"/>
      <c r="SB787" s="7"/>
      <c r="SC787" s="7"/>
      <c r="SD787" s="7"/>
      <c r="SE787" s="7"/>
      <c r="SF787" s="7"/>
      <c r="SG787" s="7"/>
      <c r="SH787" s="7"/>
      <c r="SI787" s="7"/>
      <c r="SJ787" s="7"/>
      <c r="SK787" s="7"/>
      <c r="SL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  <c r="RZ788" s="7"/>
      <c r="SA788" s="7"/>
      <c r="SB788" s="7"/>
      <c r="SC788" s="7"/>
      <c r="SD788" s="7"/>
      <c r="SE788" s="7"/>
      <c r="SF788" s="7"/>
      <c r="SG788" s="7"/>
      <c r="SH788" s="7"/>
      <c r="SI788" s="7"/>
      <c r="SJ788" s="7"/>
      <c r="SK788" s="7"/>
      <c r="SL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  <c r="RZ789" s="7"/>
      <c r="SA789" s="7"/>
      <c r="SB789" s="7"/>
      <c r="SC789" s="7"/>
      <c r="SD789" s="7"/>
      <c r="SE789" s="7"/>
      <c r="SF789" s="7"/>
      <c r="SG789" s="7"/>
      <c r="SH789" s="7"/>
      <c r="SI789" s="7"/>
      <c r="SJ789" s="7"/>
      <c r="SK789" s="7"/>
      <c r="SL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  <c r="RZ790" s="7"/>
      <c r="SA790" s="7"/>
      <c r="SB790" s="7"/>
      <c r="SC790" s="7"/>
      <c r="SD790" s="7"/>
      <c r="SE790" s="7"/>
      <c r="SF790" s="7"/>
      <c r="SG790" s="7"/>
      <c r="SH790" s="7"/>
      <c r="SI790" s="7"/>
      <c r="SJ790" s="7"/>
      <c r="SK790" s="7"/>
      <c r="SL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  <c r="RZ791" s="7"/>
      <c r="SA791" s="7"/>
      <c r="SB791" s="7"/>
      <c r="SC791" s="7"/>
      <c r="SD791" s="7"/>
      <c r="SE791" s="7"/>
      <c r="SF791" s="7"/>
      <c r="SG791" s="7"/>
      <c r="SH791" s="7"/>
      <c r="SI791" s="7"/>
      <c r="SJ791" s="7"/>
      <c r="SK791" s="7"/>
      <c r="SL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  <c r="RZ792" s="7"/>
      <c r="SA792" s="7"/>
      <c r="SB792" s="7"/>
      <c r="SC792" s="7"/>
      <c r="SD792" s="7"/>
      <c r="SE792" s="7"/>
      <c r="SF792" s="7"/>
      <c r="SG792" s="7"/>
      <c r="SH792" s="7"/>
      <c r="SI792" s="7"/>
      <c r="SJ792" s="7"/>
      <c r="SK792" s="7"/>
      <c r="SL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  <c r="RZ793" s="7"/>
      <c r="SA793" s="7"/>
      <c r="SB793" s="7"/>
      <c r="SC793" s="7"/>
      <c r="SD793" s="7"/>
      <c r="SE793" s="7"/>
      <c r="SF793" s="7"/>
      <c r="SG793" s="7"/>
      <c r="SH793" s="7"/>
      <c r="SI793" s="7"/>
      <c r="SJ793" s="7"/>
      <c r="SK793" s="7"/>
      <c r="SL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  <c r="RZ794" s="7"/>
      <c r="SA794" s="7"/>
      <c r="SB794" s="7"/>
      <c r="SC794" s="7"/>
      <c r="SD794" s="7"/>
      <c r="SE794" s="7"/>
      <c r="SF794" s="7"/>
      <c r="SG794" s="7"/>
      <c r="SH794" s="7"/>
      <c r="SI794" s="7"/>
      <c r="SJ794" s="7"/>
      <c r="SK794" s="7"/>
      <c r="SL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  <c r="RZ795" s="7"/>
      <c r="SA795" s="7"/>
      <c r="SB795" s="7"/>
      <c r="SC795" s="7"/>
      <c r="SD795" s="7"/>
      <c r="SE795" s="7"/>
      <c r="SF795" s="7"/>
      <c r="SG795" s="7"/>
      <c r="SH795" s="7"/>
      <c r="SI795" s="7"/>
      <c r="SJ795" s="7"/>
      <c r="SK795" s="7"/>
      <c r="SL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  <c r="RZ796" s="7"/>
      <c r="SA796" s="7"/>
      <c r="SB796" s="7"/>
      <c r="SC796" s="7"/>
      <c r="SD796" s="7"/>
      <c r="SE796" s="7"/>
      <c r="SF796" s="7"/>
      <c r="SG796" s="7"/>
      <c r="SH796" s="7"/>
      <c r="SI796" s="7"/>
      <c r="SJ796" s="7"/>
      <c r="SK796" s="7"/>
      <c r="SL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  <c r="RZ797" s="7"/>
      <c r="SA797" s="7"/>
      <c r="SB797" s="7"/>
      <c r="SC797" s="7"/>
      <c r="SD797" s="7"/>
      <c r="SE797" s="7"/>
      <c r="SF797" s="7"/>
      <c r="SG797" s="7"/>
      <c r="SH797" s="7"/>
      <c r="SI797" s="7"/>
      <c r="SJ797" s="7"/>
      <c r="SK797" s="7"/>
      <c r="SL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  <c r="RZ798" s="7"/>
      <c r="SA798" s="7"/>
      <c r="SB798" s="7"/>
      <c r="SC798" s="7"/>
      <c r="SD798" s="7"/>
      <c r="SE798" s="7"/>
      <c r="SF798" s="7"/>
      <c r="SG798" s="7"/>
      <c r="SH798" s="7"/>
      <c r="SI798" s="7"/>
      <c r="SJ798" s="7"/>
      <c r="SK798" s="7"/>
      <c r="SL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  <c r="RZ799" s="7"/>
      <c r="SA799" s="7"/>
      <c r="SB799" s="7"/>
      <c r="SC799" s="7"/>
      <c r="SD799" s="7"/>
      <c r="SE799" s="7"/>
      <c r="SF799" s="7"/>
      <c r="SG799" s="7"/>
      <c r="SH799" s="7"/>
      <c r="SI799" s="7"/>
      <c r="SJ799" s="7"/>
      <c r="SK799" s="7"/>
      <c r="SL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  <c r="RZ800" s="7"/>
      <c r="SA800" s="7"/>
      <c r="SB800" s="7"/>
      <c r="SC800" s="7"/>
      <c r="SD800" s="7"/>
      <c r="SE800" s="7"/>
      <c r="SF800" s="7"/>
      <c r="SG800" s="7"/>
      <c r="SH800" s="7"/>
      <c r="SI800" s="7"/>
      <c r="SJ800" s="7"/>
      <c r="SK800" s="7"/>
      <c r="SL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  <c r="RZ801" s="7"/>
      <c r="SA801" s="7"/>
      <c r="SB801" s="7"/>
      <c r="SC801" s="7"/>
      <c r="SD801" s="7"/>
      <c r="SE801" s="7"/>
      <c r="SF801" s="7"/>
      <c r="SG801" s="7"/>
      <c r="SH801" s="7"/>
      <c r="SI801" s="7"/>
      <c r="SJ801" s="7"/>
      <c r="SK801" s="7"/>
      <c r="SL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  <c r="RZ802" s="7"/>
      <c r="SA802" s="7"/>
      <c r="SB802" s="7"/>
      <c r="SC802" s="7"/>
      <c r="SD802" s="7"/>
      <c r="SE802" s="7"/>
      <c r="SF802" s="7"/>
      <c r="SG802" s="7"/>
      <c r="SH802" s="7"/>
      <c r="SI802" s="7"/>
      <c r="SJ802" s="7"/>
      <c r="SK802" s="7"/>
      <c r="SL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  <c r="RZ803" s="7"/>
      <c r="SA803" s="7"/>
      <c r="SB803" s="7"/>
      <c r="SC803" s="7"/>
      <c r="SD803" s="7"/>
      <c r="SE803" s="7"/>
      <c r="SF803" s="7"/>
      <c r="SG803" s="7"/>
      <c r="SH803" s="7"/>
      <c r="SI803" s="7"/>
      <c r="SJ803" s="7"/>
      <c r="SK803" s="7"/>
      <c r="SL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  <c r="RZ804" s="7"/>
      <c r="SA804" s="7"/>
      <c r="SB804" s="7"/>
      <c r="SC804" s="7"/>
      <c r="SD804" s="7"/>
      <c r="SE804" s="7"/>
      <c r="SF804" s="7"/>
      <c r="SG804" s="7"/>
      <c r="SH804" s="7"/>
      <c r="SI804" s="7"/>
      <c r="SJ804" s="7"/>
      <c r="SK804" s="7"/>
      <c r="SL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  <c r="RZ805" s="7"/>
      <c r="SA805" s="7"/>
      <c r="SB805" s="7"/>
      <c r="SC805" s="7"/>
      <c r="SD805" s="7"/>
      <c r="SE805" s="7"/>
      <c r="SF805" s="7"/>
      <c r="SG805" s="7"/>
      <c r="SH805" s="7"/>
      <c r="SI805" s="7"/>
      <c r="SJ805" s="7"/>
      <c r="SK805" s="7"/>
      <c r="SL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  <c r="RZ806" s="7"/>
      <c r="SA806" s="7"/>
      <c r="SB806" s="7"/>
      <c r="SC806" s="7"/>
      <c r="SD806" s="7"/>
      <c r="SE806" s="7"/>
      <c r="SF806" s="7"/>
      <c r="SG806" s="7"/>
      <c r="SH806" s="7"/>
      <c r="SI806" s="7"/>
      <c r="SJ806" s="7"/>
      <c r="SK806" s="7"/>
      <c r="SL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  <c r="RZ807" s="7"/>
      <c r="SA807" s="7"/>
      <c r="SB807" s="7"/>
      <c r="SC807" s="7"/>
      <c r="SD807" s="7"/>
      <c r="SE807" s="7"/>
      <c r="SF807" s="7"/>
      <c r="SG807" s="7"/>
      <c r="SH807" s="7"/>
      <c r="SI807" s="7"/>
      <c r="SJ807" s="7"/>
      <c r="SK807" s="7"/>
      <c r="SL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  <c r="RZ808" s="7"/>
      <c r="SA808" s="7"/>
      <c r="SB808" s="7"/>
      <c r="SC808" s="7"/>
      <c r="SD808" s="7"/>
      <c r="SE808" s="7"/>
      <c r="SF808" s="7"/>
      <c r="SG808" s="7"/>
      <c r="SH808" s="7"/>
      <c r="SI808" s="7"/>
      <c r="SJ808" s="7"/>
      <c r="SK808" s="7"/>
      <c r="SL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  <c r="RZ809" s="7"/>
      <c r="SA809" s="7"/>
      <c r="SB809" s="7"/>
      <c r="SC809" s="7"/>
      <c r="SD809" s="7"/>
      <c r="SE809" s="7"/>
      <c r="SF809" s="7"/>
      <c r="SG809" s="7"/>
      <c r="SH809" s="7"/>
      <c r="SI809" s="7"/>
      <c r="SJ809" s="7"/>
      <c r="SK809" s="7"/>
      <c r="SL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  <c r="RZ810" s="7"/>
      <c r="SA810" s="7"/>
      <c r="SB810" s="7"/>
      <c r="SC810" s="7"/>
      <c r="SD810" s="7"/>
      <c r="SE810" s="7"/>
      <c r="SF810" s="7"/>
      <c r="SG810" s="7"/>
      <c r="SH810" s="7"/>
      <c r="SI810" s="7"/>
      <c r="SJ810" s="7"/>
      <c r="SK810" s="7"/>
      <c r="SL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  <c r="RZ811" s="7"/>
      <c r="SA811" s="7"/>
      <c r="SB811" s="7"/>
      <c r="SC811" s="7"/>
      <c r="SD811" s="7"/>
      <c r="SE811" s="7"/>
      <c r="SF811" s="7"/>
      <c r="SG811" s="7"/>
      <c r="SH811" s="7"/>
      <c r="SI811" s="7"/>
      <c r="SJ811" s="7"/>
      <c r="SK811" s="7"/>
      <c r="SL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  <c r="RZ812" s="7"/>
      <c r="SA812" s="7"/>
      <c r="SB812" s="7"/>
      <c r="SC812" s="7"/>
      <c r="SD812" s="7"/>
      <c r="SE812" s="7"/>
      <c r="SF812" s="7"/>
      <c r="SG812" s="7"/>
      <c r="SH812" s="7"/>
      <c r="SI812" s="7"/>
      <c r="SJ812" s="7"/>
      <c r="SK812" s="7"/>
      <c r="SL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  <c r="RZ813" s="7"/>
      <c r="SA813" s="7"/>
      <c r="SB813" s="7"/>
      <c r="SC813" s="7"/>
      <c r="SD813" s="7"/>
      <c r="SE813" s="7"/>
      <c r="SF813" s="7"/>
      <c r="SG813" s="7"/>
      <c r="SH813" s="7"/>
      <c r="SI813" s="7"/>
      <c r="SJ813" s="7"/>
      <c r="SK813" s="7"/>
      <c r="SL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  <c r="RZ814" s="7"/>
      <c r="SA814" s="7"/>
      <c r="SB814" s="7"/>
      <c r="SC814" s="7"/>
      <c r="SD814" s="7"/>
      <c r="SE814" s="7"/>
      <c r="SF814" s="7"/>
      <c r="SG814" s="7"/>
      <c r="SH814" s="7"/>
      <c r="SI814" s="7"/>
      <c r="SJ814" s="7"/>
      <c r="SK814" s="7"/>
      <c r="SL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  <c r="RZ815" s="7"/>
      <c r="SA815" s="7"/>
      <c r="SB815" s="7"/>
      <c r="SC815" s="7"/>
      <c r="SD815" s="7"/>
      <c r="SE815" s="7"/>
      <c r="SF815" s="7"/>
      <c r="SG815" s="7"/>
      <c r="SH815" s="7"/>
      <c r="SI815" s="7"/>
      <c r="SJ815" s="7"/>
      <c r="SK815" s="7"/>
      <c r="SL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  <c r="RZ816" s="7"/>
      <c r="SA816" s="7"/>
      <c r="SB816" s="7"/>
      <c r="SC816" s="7"/>
      <c r="SD816" s="7"/>
      <c r="SE816" s="7"/>
      <c r="SF816" s="7"/>
      <c r="SG816" s="7"/>
      <c r="SH816" s="7"/>
      <c r="SI816" s="7"/>
      <c r="SJ816" s="7"/>
      <c r="SK816" s="7"/>
      <c r="SL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  <c r="RZ817" s="7"/>
      <c r="SA817" s="7"/>
      <c r="SB817" s="7"/>
      <c r="SC817" s="7"/>
      <c r="SD817" s="7"/>
      <c r="SE817" s="7"/>
      <c r="SF817" s="7"/>
      <c r="SG817" s="7"/>
      <c r="SH817" s="7"/>
      <c r="SI817" s="7"/>
      <c r="SJ817" s="7"/>
      <c r="SK817" s="7"/>
      <c r="SL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  <c r="RZ818" s="7"/>
      <c r="SA818" s="7"/>
      <c r="SB818" s="7"/>
      <c r="SC818" s="7"/>
      <c r="SD818" s="7"/>
      <c r="SE818" s="7"/>
      <c r="SF818" s="7"/>
      <c r="SG818" s="7"/>
      <c r="SH818" s="7"/>
      <c r="SI818" s="7"/>
      <c r="SJ818" s="7"/>
      <c r="SK818" s="7"/>
      <c r="SL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  <c r="RZ819" s="7"/>
      <c r="SA819" s="7"/>
      <c r="SB819" s="7"/>
      <c r="SC819" s="7"/>
      <c r="SD819" s="7"/>
      <c r="SE819" s="7"/>
      <c r="SF819" s="7"/>
      <c r="SG819" s="7"/>
      <c r="SH819" s="7"/>
      <c r="SI819" s="7"/>
      <c r="SJ819" s="7"/>
      <c r="SK819" s="7"/>
      <c r="SL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  <c r="RZ820" s="7"/>
      <c r="SA820" s="7"/>
      <c r="SB820" s="7"/>
      <c r="SC820" s="7"/>
      <c r="SD820" s="7"/>
      <c r="SE820" s="7"/>
      <c r="SF820" s="7"/>
      <c r="SG820" s="7"/>
      <c r="SH820" s="7"/>
      <c r="SI820" s="7"/>
      <c r="SJ820" s="7"/>
      <c r="SK820" s="7"/>
      <c r="SL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  <c r="RZ821" s="7"/>
      <c r="SA821" s="7"/>
      <c r="SB821" s="7"/>
      <c r="SC821" s="7"/>
      <c r="SD821" s="7"/>
      <c r="SE821" s="7"/>
      <c r="SF821" s="7"/>
      <c r="SG821" s="7"/>
      <c r="SH821" s="7"/>
      <c r="SI821" s="7"/>
      <c r="SJ821" s="7"/>
      <c r="SK821" s="7"/>
      <c r="SL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  <c r="RZ822" s="7"/>
      <c r="SA822" s="7"/>
      <c r="SB822" s="7"/>
      <c r="SC822" s="7"/>
      <c r="SD822" s="7"/>
      <c r="SE822" s="7"/>
      <c r="SF822" s="7"/>
      <c r="SG822" s="7"/>
      <c r="SH822" s="7"/>
      <c r="SI822" s="7"/>
      <c r="SJ822" s="7"/>
      <c r="SK822" s="7"/>
      <c r="SL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  <c r="RZ823" s="7"/>
      <c r="SA823" s="7"/>
      <c r="SB823" s="7"/>
      <c r="SC823" s="7"/>
      <c r="SD823" s="7"/>
      <c r="SE823" s="7"/>
      <c r="SF823" s="7"/>
      <c r="SG823" s="7"/>
      <c r="SH823" s="7"/>
      <c r="SI823" s="7"/>
      <c r="SJ823" s="7"/>
      <c r="SK823" s="7"/>
      <c r="SL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  <c r="RZ824" s="7"/>
      <c r="SA824" s="7"/>
      <c r="SB824" s="7"/>
      <c r="SC824" s="7"/>
      <c r="SD824" s="7"/>
      <c r="SE824" s="7"/>
      <c r="SF824" s="7"/>
      <c r="SG824" s="7"/>
      <c r="SH824" s="7"/>
      <c r="SI824" s="7"/>
      <c r="SJ824" s="7"/>
      <c r="SK824" s="7"/>
      <c r="SL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  <c r="RZ825" s="7"/>
      <c r="SA825" s="7"/>
      <c r="SB825" s="7"/>
      <c r="SC825" s="7"/>
      <c r="SD825" s="7"/>
      <c r="SE825" s="7"/>
      <c r="SF825" s="7"/>
      <c r="SG825" s="7"/>
      <c r="SH825" s="7"/>
      <c r="SI825" s="7"/>
      <c r="SJ825" s="7"/>
      <c r="SK825" s="7"/>
      <c r="SL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  <c r="RZ826" s="7"/>
      <c r="SA826" s="7"/>
      <c r="SB826" s="7"/>
      <c r="SC826" s="7"/>
      <c r="SD826" s="7"/>
      <c r="SE826" s="7"/>
      <c r="SF826" s="7"/>
      <c r="SG826" s="7"/>
      <c r="SH826" s="7"/>
      <c r="SI826" s="7"/>
      <c r="SJ826" s="7"/>
      <c r="SK826" s="7"/>
      <c r="SL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  <c r="RZ827" s="7"/>
      <c r="SA827" s="7"/>
      <c r="SB827" s="7"/>
      <c r="SC827" s="7"/>
      <c r="SD827" s="7"/>
      <c r="SE827" s="7"/>
      <c r="SF827" s="7"/>
      <c r="SG827" s="7"/>
      <c r="SH827" s="7"/>
      <c r="SI827" s="7"/>
      <c r="SJ827" s="7"/>
      <c r="SK827" s="7"/>
      <c r="SL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  <c r="RZ828" s="7"/>
      <c r="SA828" s="7"/>
      <c r="SB828" s="7"/>
      <c r="SC828" s="7"/>
      <c r="SD828" s="7"/>
      <c r="SE828" s="7"/>
      <c r="SF828" s="7"/>
      <c r="SG828" s="7"/>
      <c r="SH828" s="7"/>
      <c r="SI828" s="7"/>
      <c r="SJ828" s="7"/>
      <c r="SK828" s="7"/>
      <c r="SL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  <c r="RZ829" s="7"/>
      <c r="SA829" s="7"/>
      <c r="SB829" s="7"/>
      <c r="SC829" s="7"/>
      <c r="SD829" s="7"/>
      <c r="SE829" s="7"/>
      <c r="SF829" s="7"/>
      <c r="SG829" s="7"/>
      <c r="SH829" s="7"/>
      <c r="SI829" s="7"/>
      <c r="SJ829" s="7"/>
      <c r="SK829" s="7"/>
      <c r="SL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  <c r="RZ830" s="7"/>
      <c r="SA830" s="7"/>
      <c r="SB830" s="7"/>
      <c r="SC830" s="7"/>
      <c r="SD830" s="7"/>
      <c r="SE830" s="7"/>
      <c r="SF830" s="7"/>
      <c r="SG830" s="7"/>
      <c r="SH830" s="7"/>
      <c r="SI830" s="7"/>
      <c r="SJ830" s="7"/>
      <c r="SK830" s="7"/>
      <c r="SL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  <c r="RZ831" s="7"/>
      <c r="SA831" s="7"/>
      <c r="SB831" s="7"/>
      <c r="SC831" s="7"/>
      <c r="SD831" s="7"/>
      <c r="SE831" s="7"/>
      <c r="SF831" s="7"/>
      <c r="SG831" s="7"/>
      <c r="SH831" s="7"/>
      <c r="SI831" s="7"/>
      <c r="SJ831" s="7"/>
      <c r="SK831" s="7"/>
      <c r="SL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  <c r="RZ832" s="7"/>
      <c r="SA832" s="7"/>
      <c r="SB832" s="7"/>
      <c r="SC832" s="7"/>
      <c r="SD832" s="7"/>
      <c r="SE832" s="7"/>
      <c r="SF832" s="7"/>
      <c r="SG832" s="7"/>
      <c r="SH832" s="7"/>
      <c r="SI832" s="7"/>
      <c r="SJ832" s="7"/>
      <c r="SK832" s="7"/>
      <c r="SL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  <c r="RZ833" s="7"/>
      <c r="SA833" s="7"/>
      <c r="SB833" s="7"/>
      <c r="SC833" s="7"/>
      <c r="SD833" s="7"/>
      <c r="SE833" s="7"/>
      <c r="SF833" s="7"/>
      <c r="SG833" s="7"/>
      <c r="SH833" s="7"/>
      <c r="SI833" s="7"/>
      <c r="SJ833" s="7"/>
      <c r="SK833" s="7"/>
      <c r="SL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  <c r="RZ834" s="7"/>
      <c r="SA834" s="7"/>
      <c r="SB834" s="7"/>
      <c r="SC834" s="7"/>
      <c r="SD834" s="7"/>
      <c r="SE834" s="7"/>
      <c r="SF834" s="7"/>
      <c r="SG834" s="7"/>
      <c r="SH834" s="7"/>
      <c r="SI834" s="7"/>
      <c r="SJ834" s="7"/>
      <c r="SK834" s="7"/>
      <c r="SL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  <c r="RZ835" s="7"/>
      <c r="SA835" s="7"/>
      <c r="SB835" s="7"/>
      <c r="SC835" s="7"/>
      <c r="SD835" s="7"/>
      <c r="SE835" s="7"/>
      <c r="SF835" s="7"/>
      <c r="SG835" s="7"/>
      <c r="SH835" s="7"/>
      <c r="SI835" s="7"/>
      <c r="SJ835" s="7"/>
      <c r="SK835" s="7"/>
      <c r="SL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  <c r="RZ836" s="7"/>
      <c r="SA836" s="7"/>
      <c r="SB836" s="7"/>
      <c r="SC836" s="7"/>
      <c r="SD836" s="7"/>
      <c r="SE836" s="7"/>
      <c r="SF836" s="7"/>
      <c r="SG836" s="7"/>
      <c r="SH836" s="7"/>
      <c r="SI836" s="7"/>
      <c r="SJ836" s="7"/>
      <c r="SK836" s="7"/>
      <c r="SL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  <c r="RZ837" s="7"/>
      <c r="SA837" s="7"/>
      <c r="SB837" s="7"/>
      <c r="SC837" s="7"/>
      <c r="SD837" s="7"/>
      <c r="SE837" s="7"/>
      <c r="SF837" s="7"/>
      <c r="SG837" s="7"/>
      <c r="SH837" s="7"/>
      <c r="SI837" s="7"/>
      <c r="SJ837" s="7"/>
      <c r="SK837" s="7"/>
      <c r="SL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  <c r="RZ838" s="7"/>
      <c r="SA838" s="7"/>
      <c r="SB838" s="7"/>
      <c r="SC838" s="7"/>
      <c r="SD838" s="7"/>
      <c r="SE838" s="7"/>
      <c r="SF838" s="7"/>
      <c r="SG838" s="7"/>
      <c r="SH838" s="7"/>
      <c r="SI838" s="7"/>
      <c r="SJ838" s="7"/>
      <c r="SK838" s="7"/>
      <c r="SL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  <c r="RZ839" s="7"/>
      <c r="SA839" s="7"/>
      <c r="SB839" s="7"/>
      <c r="SC839" s="7"/>
      <c r="SD839" s="7"/>
      <c r="SE839" s="7"/>
      <c r="SF839" s="7"/>
      <c r="SG839" s="7"/>
      <c r="SH839" s="7"/>
      <c r="SI839" s="7"/>
      <c r="SJ839" s="7"/>
      <c r="SK839" s="7"/>
      <c r="SL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  <c r="RZ840" s="7"/>
      <c r="SA840" s="7"/>
      <c r="SB840" s="7"/>
      <c r="SC840" s="7"/>
      <c r="SD840" s="7"/>
      <c r="SE840" s="7"/>
      <c r="SF840" s="7"/>
      <c r="SG840" s="7"/>
      <c r="SH840" s="7"/>
      <c r="SI840" s="7"/>
      <c r="SJ840" s="7"/>
      <c r="SK840" s="7"/>
      <c r="SL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  <c r="RZ841" s="7"/>
      <c r="SA841" s="7"/>
      <c r="SB841" s="7"/>
      <c r="SC841" s="7"/>
      <c r="SD841" s="7"/>
      <c r="SE841" s="7"/>
      <c r="SF841" s="7"/>
      <c r="SG841" s="7"/>
      <c r="SH841" s="7"/>
      <c r="SI841" s="7"/>
      <c r="SJ841" s="7"/>
      <c r="SK841" s="7"/>
      <c r="SL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  <c r="RZ842" s="7"/>
      <c r="SA842" s="7"/>
      <c r="SB842" s="7"/>
      <c r="SC842" s="7"/>
      <c r="SD842" s="7"/>
      <c r="SE842" s="7"/>
      <c r="SF842" s="7"/>
      <c r="SG842" s="7"/>
      <c r="SH842" s="7"/>
      <c r="SI842" s="7"/>
      <c r="SJ842" s="7"/>
      <c r="SK842" s="7"/>
      <c r="SL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  <c r="RZ843" s="7"/>
      <c r="SA843" s="7"/>
      <c r="SB843" s="7"/>
      <c r="SC843" s="7"/>
      <c r="SD843" s="7"/>
      <c r="SE843" s="7"/>
      <c r="SF843" s="7"/>
      <c r="SG843" s="7"/>
      <c r="SH843" s="7"/>
      <c r="SI843" s="7"/>
      <c r="SJ843" s="7"/>
      <c r="SK843" s="7"/>
      <c r="SL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  <c r="RZ844" s="7"/>
      <c r="SA844" s="7"/>
      <c r="SB844" s="7"/>
      <c r="SC844" s="7"/>
      <c r="SD844" s="7"/>
      <c r="SE844" s="7"/>
      <c r="SF844" s="7"/>
      <c r="SG844" s="7"/>
      <c r="SH844" s="7"/>
      <c r="SI844" s="7"/>
      <c r="SJ844" s="7"/>
      <c r="SK844" s="7"/>
      <c r="SL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  <c r="RZ845" s="7"/>
      <c r="SA845" s="7"/>
      <c r="SB845" s="7"/>
      <c r="SC845" s="7"/>
      <c r="SD845" s="7"/>
      <c r="SE845" s="7"/>
      <c r="SF845" s="7"/>
      <c r="SG845" s="7"/>
      <c r="SH845" s="7"/>
      <c r="SI845" s="7"/>
      <c r="SJ845" s="7"/>
      <c r="SK845" s="7"/>
      <c r="SL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  <c r="RZ846" s="7"/>
      <c r="SA846" s="7"/>
      <c r="SB846" s="7"/>
      <c r="SC846" s="7"/>
      <c r="SD846" s="7"/>
      <c r="SE846" s="7"/>
      <c r="SF846" s="7"/>
      <c r="SG846" s="7"/>
      <c r="SH846" s="7"/>
      <c r="SI846" s="7"/>
      <c r="SJ846" s="7"/>
      <c r="SK846" s="7"/>
      <c r="SL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  <c r="RZ847" s="7"/>
      <c r="SA847" s="7"/>
      <c r="SB847" s="7"/>
      <c r="SC847" s="7"/>
      <c r="SD847" s="7"/>
      <c r="SE847" s="7"/>
      <c r="SF847" s="7"/>
      <c r="SG847" s="7"/>
      <c r="SH847" s="7"/>
      <c r="SI847" s="7"/>
      <c r="SJ847" s="7"/>
      <c r="SK847" s="7"/>
      <c r="SL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  <c r="RZ848" s="7"/>
      <c r="SA848" s="7"/>
      <c r="SB848" s="7"/>
      <c r="SC848" s="7"/>
      <c r="SD848" s="7"/>
      <c r="SE848" s="7"/>
      <c r="SF848" s="7"/>
      <c r="SG848" s="7"/>
      <c r="SH848" s="7"/>
      <c r="SI848" s="7"/>
      <c r="SJ848" s="7"/>
      <c r="SK848" s="7"/>
      <c r="SL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  <c r="RZ849" s="7"/>
      <c r="SA849" s="7"/>
      <c r="SB849" s="7"/>
      <c r="SC849" s="7"/>
      <c r="SD849" s="7"/>
      <c r="SE849" s="7"/>
      <c r="SF849" s="7"/>
      <c r="SG849" s="7"/>
      <c r="SH849" s="7"/>
      <c r="SI849" s="7"/>
      <c r="SJ849" s="7"/>
      <c r="SK849" s="7"/>
      <c r="SL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  <c r="RZ850" s="7"/>
      <c r="SA850" s="7"/>
      <c r="SB850" s="7"/>
      <c r="SC850" s="7"/>
      <c r="SD850" s="7"/>
      <c r="SE850" s="7"/>
      <c r="SF850" s="7"/>
      <c r="SG850" s="7"/>
      <c r="SH850" s="7"/>
      <c r="SI850" s="7"/>
      <c r="SJ850" s="7"/>
      <c r="SK850" s="7"/>
      <c r="SL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  <c r="RZ851" s="7"/>
      <c r="SA851" s="7"/>
      <c r="SB851" s="7"/>
      <c r="SC851" s="7"/>
      <c r="SD851" s="7"/>
      <c r="SE851" s="7"/>
      <c r="SF851" s="7"/>
      <c r="SG851" s="7"/>
      <c r="SH851" s="7"/>
      <c r="SI851" s="7"/>
      <c r="SJ851" s="7"/>
      <c r="SK851" s="7"/>
      <c r="SL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  <c r="RZ852" s="7"/>
      <c r="SA852" s="7"/>
      <c r="SB852" s="7"/>
      <c r="SC852" s="7"/>
      <c r="SD852" s="7"/>
      <c r="SE852" s="7"/>
      <c r="SF852" s="7"/>
      <c r="SG852" s="7"/>
      <c r="SH852" s="7"/>
      <c r="SI852" s="7"/>
      <c r="SJ852" s="7"/>
      <c r="SK852" s="7"/>
      <c r="SL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  <c r="RZ853" s="7"/>
      <c r="SA853" s="7"/>
      <c r="SB853" s="7"/>
      <c r="SC853" s="7"/>
      <c r="SD853" s="7"/>
      <c r="SE853" s="7"/>
      <c r="SF853" s="7"/>
      <c r="SG853" s="7"/>
      <c r="SH853" s="7"/>
      <c r="SI853" s="7"/>
      <c r="SJ853" s="7"/>
      <c r="SK853" s="7"/>
      <c r="SL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  <c r="RZ854" s="7"/>
      <c r="SA854" s="7"/>
      <c r="SB854" s="7"/>
      <c r="SC854" s="7"/>
      <c r="SD854" s="7"/>
      <c r="SE854" s="7"/>
      <c r="SF854" s="7"/>
      <c r="SG854" s="7"/>
      <c r="SH854" s="7"/>
      <c r="SI854" s="7"/>
      <c r="SJ854" s="7"/>
      <c r="SK854" s="7"/>
      <c r="SL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  <c r="RZ855" s="7"/>
      <c r="SA855" s="7"/>
      <c r="SB855" s="7"/>
      <c r="SC855" s="7"/>
      <c r="SD855" s="7"/>
      <c r="SE855" s="7"/>
      <c r="SF855" s="7"/>
      <c r="SG855" s="7"/>
      <c r="SH855" s="7"/>
      <c r="SI855" s="7"/>
      <c r="SJ855" s="7"/>
      <c r="SK855" s="7"/>
      <c r="SL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  <c r="RZ856" s="7"/>
      <c r="SA856" s="7"/>
      <c r="SB856" s="7"/>
      <c r="SC856" s="7"/>
      <c r="SD856" s="7"/>
      <c r="SE856" s="7"/>
      <c r="SF856" s="7"/>
      <c r="SG856" s="7"/>
      <c r="SH856" s="7"/>
      <c r="SI856" s="7"/>
      <c r="SJ856" s="7"/>
      <c r="SK856" s="7"/>
      <c r="SL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  <c r="RZ857" s="7"/>
      <c r="SA857" s="7"/>
      <c r="SB857" s="7"/>
      <c r="SC857" s="7"/>
      <c r="SD857" s="7"/>
      <c r="SE857" s="7"/>
      <c r="SF857" s="7"/>
      <c r="SG857" s="7"/>
      <c r="SH857" s="7"/>
      <c r="SI857" s="7"/>
      <c r="SJ857" s="7"/>
      <c r="SK857" s="7"/>
      <c r="SL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  <c r="RZ858" s="7"/>
      <c r="SA858" s="7"/>
      <c r="SB858" s="7"/>
      <c r="SC858" s="7"/>
      <c r="SD858" s="7"/>
      <c r="SE858" s="7"/>
      <c r="SF858" s="7"/>
      <c r="SG858" s="7"/>
      <c r="SH858" s="7"/>
      <c r="SI858" s="7"/>
      <c r="SJ858" s="7"/>
      <c r="SK858" s="7"/>
      <c r="SL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  <c r="RZ859" s="7"/>
      <c r="SA859" s="7"/>
      <c r="SB859" s="7"/>
      <c r="SC859" s="7"/>
      <c r="SD859" s="7"/>
      <c r="SE859" s="7"/>
      <c r="SF859" s="7"/>
      <c r="SG859" s="7"/>
      <c r="SH859" s="7"/>
      <c r="SI859" s="7"/>
      <c r="SJ859" s="7"/>
      <c r="SK859" s="7"/>
      <c r="SL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  <c r="RZ860" s="7"/>
      <c r="SA860" s="7"/>
      <c r="SB860" s="7"/>
      <c r="SC860" s="7"/>
      <c r="SD860" s="7"/>
      <c r="SE860" s="7"/>
      <c r="SF860" s="7"/>
      <c r="SG860" s="7"/>
      <c r="SH860" s="7"/>
      <c r="SI860" s="7"/>
      <c r="SJ860" s="7"/>
      <c r="SK860" s="7"/>
      <c r="SL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  <c r="RZ861" s="7"/>
      <c r="SA861" s="7"/>
      <c r="SB861" s="7"/>
      <c r="SC861" s="7"/>
      <c r="SD861" s="7"/>
      <c r="SE861" s="7"/>
      <c r="SF861" s="7"/>
      <c r="SG861" s="7"/>
      <c r="SH861" s="7"/>
      <c r="SI861" s="7"/>
      <c r="SJ861" s="7"/>
      <c r="SK861" s="7"/>
      <c r="SL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  <c r="RZ862" s="7"/>
      <c r="SA862" s="7"/>
      <c r="SB862" s="7"/>
      <c r="SC862" s="7"/>
      <c r="SD862" s="7"/>
      <c r="SE862" s="7"/>
      <c r="SF862" s="7"/>
      <c r="SG862" s="7"/>
      <c r="SH862" s="7"/>
      <c r="SI862" s="7"/>
      <c r="SJ862" s="7"/>
      <c r="SK862" s="7"/>
      <c r="SL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  <c r="RZ863" s="7"/>
      <c r="SA863" s="7"/>
      <c r="SB863" s="7"/>
      <c r="SC863" s="7"/>
      <c r="SD863" s="7"/>
      <c r="SE863" s="7"/>
      <c r="SF863" s="7"/>
      <c r="SG863" s="7"/>
      <c r="SH863" s="7"/>
      <c r="SI863" s="7"/>
      <c r="SJ863" s="7"/>
      <c r="SK863" s="7"/>
      <c r="SL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  <c r="RZ864" s="7"/>
      <c r="SA864" s="7"/>
      <c r="SB864" s="7"/>
      <c r="SC864" s="7"/>
      <c r="SD864" s="7"/>
      <c r="SE864" s="7"/>
      <c r="SF864" s="7"/>
      <c r="SG864" s="7"/>
      <c r="SH864" s="7"/>
      <c r="SI864" s="7"/>
      <c r="SJ864" s="7"/>
      <c r="SK864" s="7"/>
      <c r="SL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  <c r="RZ865" s="7"/>
      <c r="SA865" s="7"/>
      <c r="SB865" s="7"/>
      <c r="SC865" s="7"/>
      <c r="SD865" s="7"/>
      <c r="SE865" s="7"/>
      <c r="SF865" s="7"/>
      <c r="SG865" s="7"/>
      <c r="SH865" s="7"/>
      <c r="SI865" s="7"/>
      <c r="SJ865" s="7"/>
      <c r="SK865" s="7"/>
      <c r="SL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  <c r="RZ866" s="7"/>
      <c r="SA866" s="7"/>
      <c r="SB866" s="7"/>
      <c r="SC866" s="7"/>
      <c r="SD866" s="7"/>
      <c r="SE866" s="7"/>
      <c r="SF866" s="7"/>
      <c r="SG866" s="7"/>
      <c r="SH866" s="7"/>
      <c r="SI866" s="7"/>
      <c r="SJ866" s="7"/>
      <c r="SK866" s="7"/>
      <c r="SL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  <c r="RZ867" s="7"/>
      <c r="SA867" s="7"/>
      <c r="SB867" s="7"/>
      <c r="SC867" s="7"/>
      <c r="SD867" s="7"/>
      <c r="SE867" s="7"/>
      <c r="SF867" s="7"/>
      <c r="SG867" s="7"/>
      <c r="SH867" s="7"/>
      <c r="SI867" s="7"/>
      <c r="SJ867" s="7"/>
      <c r="SK867" s="7"/>
      <c r="SL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  <c r="RZ868" s="7"/>
      <c r="SA868" s="7"/>
      <c r="SB868" s="7"/>
      <c r="SC868" s="7"/>
      <c r="SD868" s="7"/>
      <c r="SE868" s="7"/>
      <c r="SF868" s="7"/>
      <c r="SG868" s="7"/>
      <c r="SH868" s="7"/>
      <c r="SI868" s="7"/>
      <c r="SJ868" s="7"/>
      <c r="SK868" s="7"/>
      <c r="SL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  <c r="RZ869" s="7"/>
      <c r="SA869" s="7"/>
      <c r="SB869" s="7"/>
      <c r="SC869" s="7"/>
      <c r="SD869" s="7"/>
      <c r="SE869" s="7"/>
      <c r="SF869" s="7"/>
      <c r="SG869" s="7"/>
      <c r="SH869" s="7"/>
      <c r="SI869" s="7"/>
      <c r="SJ869" s="7"/>
      <c r="SK869" s="7"/>
      <c r="SL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  <c r="RZ870" s="7"/>
      <c r="SA870" s="7"/>
      <c r="SB870" s="7"/>
      <c r="SC870" s="7"/>
      <c r="SD870" s="7"/>
      <c r="SE870" s="7"/>
      <c r="SF870" s="7"/>
      <c r="SG870" s="7"/>
      <c r="SH870" s="7"/>
      <c r="SI870" s="7"/>
      <c r="SJ870" s="7"/>
      <c r="SK870" s="7"/>
      <c r="SL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  <c r="RZ871" s="7"/>
      <c r="SA871" s="7"/>
      <c r="SB871" s="7"/>
      <c r="SC871" s="7"/>
      <c r="SD871" s="7"/>
      <c r="SE871" s="7"/>
      <c r="SF871" s="7"/>
      <c r="SG871" s="7"/>
      <c r="SH871" s="7"/>
      <c r="SI871" s="7"/>
      <c r="SJ871" s="7"/>
      <c r="SK871" s="7"/>
      <c r="SL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  <c r="RZ872" s="7"/>
      <c r="SA872" s="7"/>
      <c r="SB872" s="7"/>
      <c r="SC872" s="7"/>
      <c r="SD872" s="7"/>
      <c r="SE872" s="7"/>
      <c r="SF872" s="7"/>
      <c r="SG872" s="7"/>
      <c r="SH872" s="7"/>
      <c r="SI872" s="7"/>
      <c r="SJ872" s="7"/>
      <c r="SK872" s="7"/>
      <c r="SL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  <c r="RZ873" s="7"/>
      <c r="SA873" s="7"/>
      <c r="SB873" s="7"/>
      <c r="SC873" s="7"/>
      <c r="SD873" s="7"/>
      <c r="SE873" s="7"/>
      <c r="SF873" s="7"/>
      <c r="SG873" s="7"/>
      <c r="SH873" s="7"/>
      <c r="SI873" s="7"/>
      <c r="SJ873" s="7"/>
      <c r="SK873" s="7"/>
      <c r="SL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  <c r="RZ874" s="7"/>
      <c r="SA874" s="7"/>
      <c r="SB874" s="7"/>
      <c r="SC874" s="7"/>
      <c r="SD874" s="7"/>
      <c r="SE874" s="7"/>
      <c r="SF874" s="7"/>
      <c r="SG874" s="7"/>
      <c r="SH874" s="7"/>
      <c r="SI874" s="7"/>
      <c r="SJ874" s="7"/>
      <c r="SK874" s="7"/>
      <c r="SL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  <c r="RZ875" s="7"/>
      <c r="SA875" s="7"/>
      <c r="SB875" s="7"/>
      <c r="SC875" s="7"/>
      <c r="SD875" s="7"/>
      <c r="SE875" s="7"/>
      <c r="SF875" s="7"/>
      <c r="SG875" s="7"/>
      <c r="SH875" s="7"/>
      <c r="SI875" s="7"/>
      <c r="SJ875" s="7"/>
      <c r="SK875" s="7"/>
      <c r="SL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  <c r="RZ876" s="7"/>
      <c r="SA876" s="7"/>
      <c r="SB876" s="7"/>
      <c r="SC876" s="7"/>
      <c r="SD876" s="7"/>
      <c r="SE876" s="7"/>
      <c r="SF876" s="7"/>
      <c r="SG876" s="7"/>
      <c r="SH876" s="7"/>
      <c r="SI876" s="7"/>
      <c r="SJ876" s="7"/>
      <c r="SK876" s="7"/>
      <c r="SL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  <c r="RZ877" s="7"/>
      <c r="SA877" s="7"/>
      <c r="SB877" s="7"/>
      <c r="SC877" s="7"/>
      <c r="SD877" s="7"/>
      <c r="SE877" s="7"/>
      <c r="SF877" s="7"/>
      <c r="SG877" s="7"/>
      <c r="SH877" s="7"/>
      <c r="SI877" s="7"/>
      <c r="SJ877" s="7"/>
      <c r="SK877" s="7"/>
      <c r="SL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  <c r="RZ878" s="7"/>
      <c r="SA878" s="7"/>
      <c r="SB878" s="7"/>
      <c r="SC878" s="7"/>
      <c r="SD878" s="7"/>
      <c r="SE878" s="7"/>
      <c r="SF878" s="7"/>
      <c r="SG878" s="7"/>
      <c r="SH878" s="7"/>
      <c r="SI878" s="7"/>
      <c r="SJ878" s="7"/>
      <c r="SK878" s="7"/>
      <c r="SL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  <c r="RZ879" s="7"/>
      <c r="SA879" s="7"/>
      <c r="SB879" s="7"/>
      <c r="SC879" s="7"/>
      <c r="SD879" s="7"/>
      <c r="SE879" s="7"/>
      <c r="SF879" s="7"/>
      <c r="SG879" s="7"/>
      <c r="SH879" s="7"/>
      <c r="SI879" s="7"/>
      <c r="SJ879" s="7"/>
      <c r="SK879" s="7"/>
      <c r="SL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  <c r="RZ880" s="7"/>
      <c r="SA880" s="7"/>
      <c r="SB880" s="7"/>
      <c r="SC880" s="7"/>
      <c r="SD880" s="7"/>
      <c r="SE880" s="7"/>
      <c r="SF880" s="7"/>
      <c r="SG880" s="7"/>
      <c r="SH880" s="7"/>
      <c r="SI880" s="7"/>
      <c r="SJ880" s="7"/>
      <c r="SK880" s="7"/>
      <c r="SL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  <c r="RZ881" s="7"/>
      <c r="SA881" s="7"/>
      <c r="SB881" s="7"/>
      <c r="SC881" s="7"/>
      <c r="SD881" s="7"/>
      <c r="SE881" s="7"/>
      <c r="SF881" s="7"/>
      <c r="SG881" s="7"/>
      <c r="SH881" s="7"/>
      <c r="SI881" s="7"/>
      <c r="SJ881" s="7"/>
      <c r="SK881" s="7"/>
      <c r="SL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  <c r="RZ882" s="7"/>
      <c r="SA882" s="7"/>
      <c r="SB882" s="7"/>
      <c r="SC882" s="7"/>
      <c r="SD882" s="7"/>
      <c r="SE882" s="7"/>
      <c r="SF882" s="7"/>
      <c r="SG882" s="7"/>
      <c r="SH882" s="7"/>
      <c r="SI882" s="7"/>
      <c r="SJ882" s="7"/>
      <c r="SK882" s="7"/>
      <c r="SL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  <c r="RZ883" s="7"/>
      <c r="SA883" s="7"/>
      <c r="SB883" s="7"/>
      <c r="SC883" s="7"/>
      <c r="SD883" s="7"/>
      <c r="SE883" s="7"/>
      <c r="SF883" s="7"/>
      <c r="SG883" s="7"/>
      <c r="SH883" s="7"/>
      <c r="SI883" s="7"/>
      <c r="SJ883" s="7"/>
      <c r="SK883" s="7"/>
      <c r="SL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  <c r="RZ884" s="7"/>
      <c r="SA884" s="7"/>
      <c r="SB884" s="7"/>
      <c r="SC884" s="7"/>
      <c r="SD884" s="7"/>
      <c r="SE884" s="7"/>
      <c r="SF884" s="7"/>
      <c r="SG884" s="7"/>
      <c r="SH884" s="7"/>
      <c r="SI884" s="7"/>
      <c r="SJ884" s="7"/>
      <c r="SK884" s="7"/>
      <c r="SL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  <c r="RZ885" s="7"/>
      <c r="SA885" s="7"/>
      <c r="SB885" s="7"/>
      <c r="SC885" s="7"/>
      <c r="SD885" s="7"/>
      <c r="SE885" s="7"/>
      <c r="SF885" s="7"/>
      <c r="SG885" s="7"/>
      <c r="SH885" s="7"/>
      <c r="SI885" s="7"/>
      <c r="SJ885" s="7"/>
      <c r="SK885" s="7"/>
      <c r="SL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  <c r="RZ886" s="7"/>
      <c r="SA886" s="7"/>
      <c r="SB886" s="7"/>
      <c r="SC886" s="7"/>
      <c r="SD886" s="7"/>
      <c r="SE886" s="7"/>
      <c r="SF886" s="7"/>
      <c r="SG886" s="7"/>
      <c r="SH886" s="7"/>
      <c r="SI886" s="7"/>
      <c r="SJ886" s="7"/>
      <c r="SK886" s="7"/>
      <c r="SL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  <c r="RZ887" s="7"/>
      <c r="SA887" s="7"/>
      <c r="SB887" s="7"/>
      <c r="SC887" s="7"/>
      <c r="SD887" s="7"/>
      <c r="SE887" s="7"/>
      <c r="SF887" s="7"/>
      <c r="SG887" s="7"/>
      <c r="SH887" s="7"/>
      <c r="SI887" s="7"/>
      <c r="SJ887" s="7"/>
      <c r="SK887" s="7"/>
      <c r="SL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  <c r="RZ888" s="7"/>
      <c r="SA888" s="7"/>
      <c r="SB888" s="7"/>
      <c r="SC888" s="7"/>
      <c r="SD888" s="7"/>
      <c r="SE888" s="7"/>
      <c r="SF888" s="7"/>
      <c r="SG888" s="7"/>
      <c r="SH888" s="7"/>
      <c r="SI888" s="7"/>
      <c r="SJ888" s="7"/>
      <c r="SK888" s="7"/>
      <c r="SL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  <c r="RZ889" s="7"/>
      <c r="SA889" s="7"/>
      <c r="SB889" s="7"/>
      <c r="SC889" s="7"/>
      <c r="SD889" s="7"/>
      <c r="SE889" s="7"/>
      <c r="SF889" s="7"/>
      <c r="SG889" s="7"/>
      <c r="SH889" s="7"/>
      <c r="SI889" s="7"/>
      <c r="SJ889" s="7"/>
      <c r="SK889" s="7"/>
      <c r="SL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  <c r="RZ890" s="7"/>
      <c r="SA890" s="7"/>
      <c r="SB890" s="7"/>
      <c r="SC890" s="7"/>
      <c r="SD890" s="7"/>
      <c r="SE890" s="7"/>
      <c r="SF890" s="7"/>
      <c r="SG890" s="7"/>
      <c r="SH890" s="7"/>
      <c r="SI890" s="7"/>
      <c r="SJ890" s="7"/>
      <c r="SK890" s="7"/>
      <c r="SL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  <c r="RZ891" s="7"/>
      <c r="SA891" s="7"/>
      <c r="SB891" s="7"/>
      <c r="SC891" s="7"/>
      <c r="SD891" s="7"/>
      <c r="SE891" s="7"/>
      <c r="SF891" s="7"/>
      <c r="SG891" s="7"/>
      <c r="SH891" s="7"/>
      <c r="SI891" s="7"/>
      <c r="SJ891" s="7"/>
      <c r="SK891" s="7"/>
      <c r="SL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  <c r="RZ892" s="7"/>
      <c r="SA892" s="7"/>
      <c r="SB892" s="7"/>
      <c r="SC892" s="7"/>
      <c r="SD892" s="7"/>
      <c r="SE892" s="7"/>
      <c r="SF892" s="7"/>
      <c r="SG892" s="7"/>
      <c r="SH892" s="7"/>
      <c r="SI892" s="7"/>
      <c r="SJ892" s="7"/>
      <c r="SK892" s="7"/>
      <c r="SL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  <c r="RZ893" s="7"/>
      <c r="SA893" s="7"/>
      <c r="SB893" s="7"/>
      <c r="SC893" s="7"/>
      <c r="SD893" s="7"/>
      <c r="SE893" s="7"/>
      <c r="SF893" s="7"/>
      <c r="SG893" s="7"/>
      <c r="SH893" s="7"/>
      <c r="SI893" s="7"/>
      <c r="SJ893" s="7"/>
      <c r="SK893" s="7"/>
      <c r="SL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  <c r="RZ894" s="7"/>
      <c r="SA894" s="7"/>
      <c r="SB894" s="7"/>
      <c r="SC894" s="7"/>
      <c r="SD894" s="7"/>
      <c r="SE894" s="7"/>
      <c r="SF894" s="7"/>
      <c r="SG894" s="7"/>
      <c r="SH894" s="7"/>
      <c r="SI894" s="7"/>
      <c r="SJ894" s="7"/>
      <c r="SK894" s="7"/>
      <c r="SL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  <c r="RZ895" s="7"/>
      <c r="SA895" s="7"/>
      <c r="SB895" s="7"/>
      <c r="SC895" s="7"/>
      <c r="SD895" s="7"/>
      <c r="SE895" s="7"/>
      <c r="SF895" s="7"/>
      <c r="SG895" s="7"/>
      <c r="SH895" s="7"/>
      <c r="SI895" s="7"/>
      <c r="SJ895" s="7"/>
      <c r="SK895" s="7"/>
      <c r="SL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  <c r="RZ896" s="7"/>
      <c r="SA896" s="7"/>
      <c r="SB896" s="7"/>
      <c r="SC896" s="7"/>
      <c r="SD896" s="7"/>
      <c r="SE896" s="7"/>
      <c r="SF896" s="7"/>
      <c r="SG896" s="7"/>
      <c r="SH896" s="7"/>
      <c r="SI896" s="7"/>
      <c r="SJ896" s="7"/>
      <c r="SK896" s="7"/>
      <c r="SL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  <c r="RZ897" s="7"/>
      <c r="SA897" s="7"/>
      <c r="SB897" s="7"/>
      <c r="SC897" s="7"/>
      <c r="SD897" s="7"/>
      <c r="SE897" s="7"/>
      <c r="SF897" s="7"/>
      <c r="SG897" s="7"/>
      <c r="SH897" s="7"/>
      <c r="SI897" s="7"/>
      <c r="SJ897" s="7"/>
      <c r="SK897" s="7"/>
      <c r="SL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  <c r="RZ898" s="7"/>
      <c r="SA898" s="7"/>
      <c r="SB898" s="7"/>
      <c r="SC898" s="7"/>
      <c r="SD898" s="7"/>
      <c r="SE898" s="7"/>
      <c r="SF898" s="7"/>
      <c r="SG898" s="7"/>
      <c r="SH898" s="7"/>
      <c r="SI898" s="7"/>
      <c r="SJ898" s="7"/>
      <c r="SK898" s="7"/>
      <c r="SL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  <c r="RZ899" s="7"/>
      <c r="SA899" s="7"/>
      <c r="SB899" s="7"/>
      <c r="SC899" s="7"/>
      <c r="SD899" s="7"/>
      <c r="SE899" s="7"/>
      <c r="SF899" s="7"/>
      <c r="SG899" s="7"/>
      <c r="SH899" s="7"/>
      <c r="SI899" s="7"/>
      <c r="SJ899" s="7"/>
      <c r="SK899" s="7"/>
      <c r="SL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  <c r="RZ900" s="7"/>
      <c r="SA900" s="7"/>
      <c r="SB900" s="7"/>
      <c r="SC900" s="7"/>
      <c r="SD900" s="7"/>
      <c r="SE900" s="7"/>
      <c r="SF900" s="7"/>
      <c r="SG900" s="7"/>
      <c r="SH900" s="7"/>
      <c r="SI900" s="7"/>
      <c r="SJ900" s="7"/>
      <c r="SK900" s="7"/>
      <c r="SL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  <c r="RZ901" s="7"/>
      <c r="SA901" s="7"/>
      <c r="SB901" s="7"/>
      <c r="SC901" s="7"/>
      <c r="SD901" s="7"/>
      <c r="SE901" s="7"/>
      <c r="SF901" s="7"/>
      <c r="SG901" s="7"/>
      <c r="SH901" s="7"/>
      <c r="SI901" s="7"/>
      <c r="SJ901" s="7"/>
      <c r="SK901" s="7"/>
      <c r="SL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  <c r="RZ902" s="7"/>
      <c r="SA902" s="7"/>
      <c r="SB902" s="7"/>
      <c r="SC902" s="7"/>
      <c r="SD902" s="7"/>
      <c r="SE902" s="7"/>
      <c r="SF902" s="7"/>
      <c r="SG902" s="7"/>
      <c r="SH902" s="7"/>
      <c r="SI902" s="7"/>
      <c r="SJ902" s="7"/>
      <c r="SK902" s="7"/>
      <c r="SL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  <c r="RZ903" s="7"/>
      <c r="SA903" s="7"/>
      <c r="SB903" s="7"/>
      <c r="SC903" s="7"/>
      <c r="SD903" s="7"/>
      <c r="SE903" s="7"/>
      <c r="SF903" s="7"/>
      <c r="SG903" s="7"/>
      <c r="SH903" s="7"/>
      <c r="SI903" s="7"/>
      <c r="SJ903" s="7"/>
      <c r="SK903" s="7"/>
      <c r="SL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  <c r="RZ904" s="7"/>
      <c r="SA904" s="7"/>
      <c r="SB904" s="7"/>
      <c r="SC904" s="7"/>
      <c r="SD904" s="7"/>
      <c r="SE904" s="7"/>
      <c r="SF904" s="7"/>
      <c r="SG904" s="7"/>
      <c r="SH904" s="7"/>
      <c r="SI904" s="7"/>
      <c r="SJ904" s="7"/>
      <c r="SK904" s="7"/>
      <c r="SL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  <c r="RZ905" s="7"/>
      <c r="SA905" s="7"/>
      <c r="SB905" s="7"/>
      <c r="SC905" s="7"/>
      <c r="SD905" s="7"/>
      <c r="SE905" s="7"/>
      <c r="SF905" s="7"/>
      <c r="SG905" s="7"/>
      <c r="SH905" s="7"/>
      <c r="SI905" s="7"/>
      <c r="SJ905" s="7"/>
      <c r="SK905" s="7"/>
      <c r="SL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  <c r="RZ906" s="7"/>
      <c r="SA906" s="7"/>
      <c r="SB906" s="7"/>
      <c r="SC906" s="7"/>
      <c r="SD906" s="7"/>
      <c r="SE906" s="7"/>
      <c r="SF906" s="7"/>
      <c r="SG906" s="7"/>
      <c r="SH906" s="7"/>
      <c r="SI906" s="7"/>
      <c r="SJ906" s="7"/>
      <c r="SK906" s="7"/>
      <c r="SL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  <c r="RZ907" s="7"/>
      <c r="SA907" s="7"/>
      <c r="SB907" s="7"/>
      <c r="SC907" s="7"/>
      <c r="SD907" s="7"/>
      <c r="SE907" s="7"/>
      <c r="SF907" s="7"/>
      <c r="SG907" s="7"/>
      <c r="SH907" s="7"/>
      <c r="SI907" s="7"/>
      <c r="SJ907" s="7"/>
      <c r="SK907" s="7"/>
      <c r="SL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  <c r="RZ908" s="7"/>
      <c r="SA908" s="7"/>
      <c r="SB908" s="7"/>
      <c r="SC908" s="7"/>
      <c r="SD908" s="7"/>
      <c r="SE908" s="7"/>
      <c r="SF908" s="7"/>
      <c r="SG908" s="7"/>
      <c r="SH908" s="7"/>
      <c r="SI908" s="7"/>
      <c r="SJ908" s="7"/>
      <c r="SK908" s="7"/>
      <c r="SL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  <c r="RZ909" s="7"/>
      <c r="SA909" s="7"/>
      <c r="SB909" s="7"/>
      <c r="SC909" s="7"/>
      <c r="SD909" s="7"/>
      <c r="SE909" s="7"/>
      <c r="SF909" s="7"/>
      <c r="SG909" s="7"/>
      <c r="SH909" s="7"/>
      <c r="SI909" s="7"/>
      <c r="SJ909" s="7"/>
      <c r="SK909" s="7"/>
      <c r="SL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  <c r="RZ910" s="7"/>
      <c r="SA910" s="7"/>
      <c r="SB910" s="7"/>
      <c r="SC910" s="7"/>
      <c r="SD910" s="7"/>
      <c r="SE910" s="7"/>
      <c r="SF910" s="7"/>
      <c r="SG910" s="7"/>
      <c r="SH910" s="7"/>
      <c r="SI910" s="7"/>
      <c r="SJ910" s="7"/>
      <c r="SK910" s="7"/>
      <c r="SL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  <c r="RZ911" s="7"/>
      <c r="SA911" s="7"/>
      <c r="SB911" s="7"/>
      <c r="SC911" s="7"/>
      <c r="SD911" s="7"/>
      <c r="SE911" s="7"/>
      <c r="SF911" s="7"/>
      <c r="SG911" s="7"/>
      <c r="SH911" s="7"/>
      <c r="SI911" s="7"/>
      <c r="SJ911" s="7"/>
      <c r="SK911" s="7"/>
      <c r="SL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  <c r="RZ912" s="7"/>
      <c r="SA912" s="7"/>
      <c r="SB912" s="7"/>
      <c r="SC912" s="7"/>
      <c r="SD912" s="7"/>
      <c r="SE912" s="7"/>
      <c r="SF912" s="7"/>
      <c r="SG912" s="7"/>
      <c r="SH912" s="7"/>
      <c r="SI912" s="7"/>
      <c r="SJ912" s="7"/>
      <c r="SK912" s="7"/>
      <c r="SL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  <c r="RZ913" s="7"/>
      <c r="SA913" s="7"/>
      <c r="SB913" s="7"/>
      <c r="SC913" s="7"/>
      <c r="SD913" s="7"/>
      <c r="SE913" s="7"/>
      <c r="SF913" s="7"/>
      <c r="SG913" s="7"/>
      <c r="SH913" s="7"/>
      <c r="SI913" s="7"/>
      <c r="SJ913" s="7"/>
      <c r="SK913" s="7"/>
      <c r="SL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  <c r="RZ914" s="7"/>
      <c r="SA914" s="7"/>
      <c r="SB914" s="7"/>
      <c r="SC914" s="7"/>
      <c r="SD914" s="7"/>
      <c r="SE914" s="7"/>
      <c r="SF914" s="7"/>
      <c r="SG914" s="7"/>
      <c r="SH914" s="7"/>
      <c r="SI914" s="7"/>
      <c r="SJ914" s="7"/>
      <c r="SK914" s="7"/>
      <c r="SL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  <c r="RZ915" s="7"/>
      <c r="SA915" s="7"/>
      <c r="SB915" s="7"/>
      <c r="SC915" s="7"/>
      <c r="SD915" s="7"/>
      <c r="SE915" s="7"/>
      <c r="SF915" s="7"/>
      <c r="SG915" s="7"/>
      <c r="SH915" s="7"/>
      <c r="SI915" s="7"/>
      <c r="SJ915" s="7"/>
      <c r="SK915" s="7"/>
      <c r="SL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  <c r="RZ916" s="7"/>
      <c r="SA916" s="7"/>
      <c r="SB916" s="7"/>
      <c r="SC916" s="7"/>
      <c r="SD916" s="7"/>
      <c r="SE916" s="7"/>
      <c r="SF916" s="7"/>
      <c r="SG916" s="7"/>
      <c r="SH916" s="7"/>
      <c r="SI916" s="7"/>
      <c r="SJ916" s="7"/>
      <c r="SK916" s="7"/>
      <c r="SL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  <c r="RZ917" s="7"/>
      <c r="SA917" s="7"/>
      <c r="SB917" s="7"/>
      <c r="SC917" s="7"/>
      <c r="SD917" s="7"/>
      <c r="SE917" s="7"/>
      <c r="SF917" s="7"/>
      <c r="SG917" s="7"/>
      <c r="SH917" s="7"/>
      <c r="SI917" s="7"/>
      <c r="SJ917" s="7"/>
      <c r="SK917" s="7"/>
      <c r="SL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  <c r="RZ918" s="7"/>
      <c r="SA918" s="7"/>
      <c r="SB918" s="7"/>
      <c r="SC918" s="7"/>
      <c r="SD918" s="7"/>
      <c r="SE918" s="7"/>
      <c r="SF918" s="7"/>
      <c r="SG918" s="7"/>
      <c r="SH918" s="7"/>
      <c r="SI918" s="7"/>
      <c r="SJ918" s="7"/>
      <c r="SK918" s="7"/>
      <c r="SL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  <c r="RZ919" s="7"/>
      <c r="SA919" s="7"/>
      <c r="SB919" s="7"/>
      <c r="SC919" s="7"/>
      <c r="SD919" s="7"/>
      <c r="SE919" s="7"/>
      <c r="SF919" s="7"/>
      <c r="SG919" s="7"/>
      <c r="SH919" s="7"/>
      <c r="SI919" s="7"/>
      <c r="SJ919" s="7"/>
      <c r="SK919" s="7"/>
      <c r="SL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  <c r="RZ920" s="7"/>
      <c r="SA920" s="7"/>
      <c r="SB920" s="7"/>
      <c r="SC920" s="7"/>
      <c r="SD920" s="7"/>
      <c r="SE920" s="7"/>
      <c r="SF920" s="7"/>
      <c r="SG920" s="7"/>
      <c r="SH920" s="7"/>
      <c r="SI920" s="7"/>
      <c r="SJ920" s="7"/>
      <c r="SK920" s="7"/>
      <c r="SL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  <c r="RZ921" s="7"/>
      <c r="SA921" s="7"/>
      <c r="SB921" s="7"/>
      <c r="SC921" s="7"/>
      <c r="SD921" s="7"/>
      <c r="SE921" s="7"/>
      <c r="SF921" s="7"/>
      <c r="SG921" s="7"/>
      <c r="SH921" s="7"/>
      <c r="SI921" s="7"/>
      <c r="SJ921" s="7"/>
      <c r="SK921" s="7"/>
      <c r="SL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  <c r="RZ922" s="7"/>
      <c r="SA922" s="7"/>
      <c r="SB922" s="7"/>
      <c r="SC922" s="7"/>
      <c r="SD922" s="7"/>
      <c r="SE922" s="7"/>
      <c r="SF922" s="7"/>
      <c r="SG922" s="7"/>
      <c r="SH922" s="7"/>
      <c r="SI922" s="7"/>
      <c r="SJ922" s="7"/>
      <c r="SK922" s="7"/>
      <c r="SL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  <c r="RZ923" s="7"/>
      <c r="SA923" s="7"/>
      <c r="SB923" s="7"/>
      <c r="SC923" s="7"/>
      <c r="SD923" s="7"/>
      <c r="SE923" s="7"/>
      <c r="SF923" s="7"/>
      <c r="SG923" s="7"/>
      <c r="SH923" s="7"/>
      <c r="SI923" s="7"/>
      <c r="SJ923" s="7"/>
      <c r="SK923" s="7"/>
      <c r="SL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  <c r="RZ924" s="7"/>
      <c r="SA924" s="7"/>
      <c r="SB924" s="7"/>
      <c r="SC924" s="7"/>
      <c r="SD924" s="7"/>
      <c r="SE924" s="7"/>
      <c r="SF924" s="7"/>
      <c r="SG924" s="7"/>
      <c r="SH924" s="7"/>
      <c r="SI924" s="7"/>
      <c r="SJ924" s="7"/>
      <c r="SK924" s="7"/>
      <c r="SL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  <c r="RZ925" s="7"/>
      <c r="SA925" s="7"/>
      <c r="SB925" s="7"/>
      <c r="SC925" s="7"/>
      <c r="SD925" s="7"/>
      <c r="SE925" s="7"/>
      <c r="SF925" s="7"/>
      <c r="SG925" s="7"/>
      <c r="SH925" s="7"/>
      <c r="SI925" s="7"/>
      <c r="SJ925" s="7"/>
      <c r="SK925" s="7"/>
      <c r="SL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  <c r="RZ926" s="7"/>
      <c r="SA926" s="7"/>
      <c r="SB926" s="7"/>
      <c r="SC926" s="7"/>
      <c r="SD926" s="7"/>
      <c r="SE926" s="7"/>
      <c r="SF926" s="7"/>
      <c r="SG926" s="7"/>
      <c r="SH926" s="7"/>
      <c r="SI926" s="7"/>
      <c r="SJ926" s="7"/>
      <c r="SK926" s="7"/>
      <c r="SL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  <c r="RZ927" s="7"/>
      <c r="SA927" s="7"/>
      <c r="SB927" s="7"/>
      <c r="SC927" s="7"/>
      <c r="SD927" s="7"/>
      <c r="SE927" s="7"/>
      <c r="SF927" s="7"/>
      <c r="SG927" s="7"/>
      <c r="SH927" s="7"/>
      <c r="SI927" s="7"/>
      <c r="SJ927" s="7"/>
      <c r="SK927" s="7"/>
      <c r="SL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  <c r="RZ928" s="7"/>
      <c r="SA928" s="7"/>
      <c r="SB928" s="7"/>
      <c r="SC928" s="7"/>
      <c r="SD928" s="7"/>
      <c r="SE928" s="7"/>
      <c r="SF928" s="7"/>
      <c r="SG928" s="7"/>
      <c r="SH928" s="7"/>
      <c r="SI928" s="7"/>
      <c r="SJ928" s="7"/>
      <c r="SK928" s="7"/>
      <c r="SL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  <c r="RZ929" s="7"/>
      <c r="SA929" s="7"/>
      <c r="SB929" s="7"/>
      <c r="SC929" s="7"/>
      <c r="SD929" s="7"/>
      <c r="SE929" s="7"/>
      <c r="SF929" s="7"/>
      <c r="SG929" s="7"/>
      <c r="SH929" s="7"/>
      <c r="SI929" s="7"/>
      <c r="SJ929" s="7"/>
      <c r="SK929" s="7"/>
      <c r="SL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  <c r="RZ930" s="7"/>
      <c r="SA930" s="7"/>
      <c r="SB930" s="7"/>
      <c r="SC930" s="7"/>
      <c r="SD930" s="7"/>
      <c r="SE930" s="7"/>
      <c r="SF930" s="7"/>
      <c r="SG930" s="7"/>
      <c r="SH930" s="7"/>
      <c r="SI930" s="7"/>
      <c r="SJ930" s="7"/>
      <c r="SK930" s="7"/>
      <c r="SL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  <c r="RZ931" s="7"/>
      <c r="SA931" s="7"/>
      <c r="SB931" s="7"/>
      <c r="SC931" s="7"/>
      <c r="SD931" s="7"/>
      <c r="SE931" s="7"/>
      <c r="SF931" s="7"/>
      <c r="SG931" s="7"/>
      <c r="SH931" s="7"/>
      <c r="SI931" s="7"/>
      <c r="SJ931" s="7"/>
      <c r="SK931" s="7"/>
      <c r="SL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  <c r="RZ932" s="7"/>
      <c r="SA932" s="7"/>
      <c r="SB932" s="7"/>
      <c r="SC932" s="7"/>
      <c r="SD932" s="7"/>
      <c r="SE932" s="7"/>
      <c r="SF932" s="7"/>
      <c r="SG932" s="7"/>
      <c r="SH932" s="7"/>
      <c r="SI932" s="7"/>
      <c r="SJ932" s="7"/>
      <c r="SK932" s="7"/>
      <c r="SL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  <c r="RZ933" s="7"/>
      <c r="SA933" s="7"/>
      <c r="SB933" s="7"/>
      <c r="SC933" s="7"/>
      <c r="SD933" s="7"/>
      <c r="SE933" s="7"/>
      <c r="SF933" s="7"/>
      <c r="SG933" s="7"/>
      <c r="SH933" s="7"/>
      <c r="SI933" s="7"/>
      <c r="SJ933" s="7"/>
      <c r="SK933" s="7"/>
      <c r="SL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  <c r="RZ934" s="7"/>
      <c r="SA934" s="7"/>
      <c r="SB934" s="7"/>
      <c r="SC934" s="7"/>
      <c r="SD934" s="7"/>
      <c r="SE934" s="7"/>
      <c r="SF934" s="7"/>
      <c r="SG934" s="7"/>
      <c r="SH934" s="7"/>
      <c r="SI934" s="7"/>
      <c r="SJ934" s="7"/>
      <c r="SK934" s="7"/>
      <c r="SL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  <c r="RZ935" s="7"/>
      <c r="SA935" s="7"/>
      <c r="SB935" s="7"/>
      <c r="SC935" s="7"/>
      <c r="SD935" s="7"/>
      <c r="SE935" s="7"/>
      <c r="SF935" s="7"/>
      <c r="SG935" s="7"/>
      <c r="SH935" s="7"/>
      <c r="SI935" s="7"/>
      <c r="SJ935" s="7"/>
      <c r="SK935" s="7"/>
      <c r="SL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  <c r="RZ936" s="7"/>
      <c r="SA936" s="7"/>
      <c r="SB936" s="7"/>
      <c r="SC936" s="7"/>
      <c r="SD936" s="7"/>
      <c r="SE936" s="7"/>
      <c r="SF936" s="7"/>
      <c r="SG936" s="7"/>
      <c r="SH936" s="7"/>
      <c r="SI936" s="7"/>
      <c r="SJ936" s="7"/>
      <c r="SK936" s="7"/>
      <c r="SL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  <c r="RZ937" s="7"/>
      <c r="SA937" s="7"/>
      <c r="SB937" s="7"/>
      <c r="SC937" s="7"/>
      <c r="SD937" s="7"/>
      <c r="SE937" s="7"/>
      <c r="SF937" s="7"/>
      <c r="SG937" s="7"/>
      <c r="SH937" s="7"/>
      <c r="SI937" s="7"/>
      <c r="SJ937" s="7"/>
      <c r="SK937" s="7"/>
      <c r="SL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  <c r="RZ938" s="7"/>
      <c r="SA938" s="7"/>
      <c r="SB938" s="7"/>
      <c r="SC938" s="7"/>
      <c r="SD938" s="7"/>
      <c r="SE938" s="7"/>
      <c r="SF938" s="7"/>
      <c r="SG938" s="7"/>
      <c r="SH938" s="7"/>
      <c r="SI938" s="7"/>
      <c r="SJ938" s="7"/>
      <c r="SK938" s="7"/>
      <c r="SL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  <c r="RZ939" s="7"/>
      <c r="SA939" s="7"/>
      <c r="SB939" s="7"/>
      <c r="SC939" s="7"/>
      <c r="SD939" s="7"/>
      <c r="SE939" s="7"/>
      <c r="SF939" s="7"/>
      <c r="SG939" s="7"/>
      <c r="SH939" s="7"/>
      <c r="SI939" s="7"/>
      <c r="SJ939" s="7"/>
      <c r="SK939" s="7"/>
      <c r="SL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  <c r="RZ940" s="7"/>
      <c r="SA940" s="7"/>
      <c r="SB940" s="7"/>
      <c r="SC940" s="7"/>
      <c r="SD940" s="7"/>
      <c r="SE940" s="7"/>
      <c r="SF940" s="7"/>
      <c r="SG940" s="7"/>
      <c r="SH940" s="7"/>
      <c r="SI940" s="7"/>
      <c r="SJ940" s="7"/>
      <c r="SK940" s="7"/>
      <c r="SL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  <c r="RZ941" s="7"/>
      <c r="SA941" s="7"/>
      <c r="SB941" s="7"/>
      <c r="SC941" s="7"/>
      <c r="SD941" s="7"/>
      <c r="SE941" s="7"/>
      <c r="SF941" s="7"/>
      <c r="SG941" s="7"/>
      <c r="SH941" s="7"/>
      <c r="SI941" s="7"/>
      <c r="SJ941" s="7"/>
      <c r="SK941" s="7"/>
      <c r="SL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  <c r="RZ942" s="7"/>
      <c r="SA942" s="7"/>
      <c r="SB942" s="7"/>
      <c r="SC942" s="7"/>
      <c r="SD942" s="7"/>
      <c r="SE942" s="7"/>
      <c r="SF942" s="7"/>
      <c r="SG942" s="7"/>
      <c r="SH942" s="7"/>
      <c r="SI942" s="7"/>
      <c r="SJ942" s="7"/>
      <c r="SK942" s="7"/>
      <c r="SL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  <c r="RZ943" s="7"/>
      <c r="SA943" s="7"/>
      <c r="SB943" s="7"/>
      <c r="SC943" s="7"/>
      <c r="SD943" s="7"/>
      <c r="SE943" s="7"/>
      <c r="SF943" s="7"/>
      <c r="SG943" s="7"/>
      <c r="SH943" s="7"/>
      <c r="SI943" s="7"/>
      <c r="SJ943" s="7"/>
      <c r="SK943" s="7"/>
      <c r="SL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  <c r="RZ944" s="7"/>
      <c r="SA944" s="7"/>
      <c r="SB944" s="7"/>
      <c r="SC944" s="7"/>
      <c r="SD944" s="7"/>
      <c r="SE944" s="7"/>
      <c r="SF944" s="7"/>
      <c r="SG944" s="7"/>
      <c r="SH944" s="7"/>
      <c r="SI944" s="7"/>
      <c r="SJ944" s="7"/>
      <c r="SK944" s="7"/>
      <c r="SL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  <c r="RZ945" s="7"/>
      <c r="SA945" s="7"/>
      <c r="SB945" s="7"/>
      <c r="SC945" s="7"/>
      <c r="SD945" s="7"/>
      <c r="SE945" s="7"/>
      <c r="SF945" s="7"/>
      <c r="SG945" s="7"/>
      <c r="SH945" s="7"/>
      <c r="SI945" s="7"/>
      <c r="SJ945" s="7"/>
      <c r="SK945" s="7"/>
      <c r="SL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  <c r="RZ946" s="7"/>
      <c r="SA946" s="7"/>
      <c r="SB946" s="7"/>
      <c r="SC946" s="7"/>
      <c r="SD946" s="7"/>
      <c r="SE946" s="7"/>
      <c r="SF946" s="7"/>
      <c r="SG946" s="7"/>
      <c r="SH946" s="7"/>
      <c r="SI946" s="7"/>
      <c r="SJ946" s="7"/>
      <c r="SK946" s="7"/>
      <c r="SL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  <c r="RZ947" s="7"/>
      <c r="SA947" s="7"/>
      <c r="SB947" s="7"/>
      <c r="SC947" s="7"/>
      <c r="SD947" s="7"/>
      <c r="SE947" s="7"/>
      <c r="SF947" s="7"/>
      <c r="SG947" s="7"/>
      <c r="SH947" s="7"/>
      <c r="SI947" s="7"/>
      <c r="SJ947" s="7"/>
      <c r="SK947" s="7"/>
      <c r="SL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  <c r="RZ948" s="7"/>
      <c r="SA948" s="7"/>
      <c r="SB948" s="7"/>
      <c r="SC948" s="7"/>
      <c r="SD948" s="7"/>
      <c r="SE948" s="7"/>
      <c r="SF948" s="7"/>
      <c r="SG948" s="7"/>
      <c r="SH948" s="7"/>
      <c r="SI948" s="7"/>
      <c r="SJ948" s="7"/>
      <c r="SK948" s="7"/>
      <c r="SL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  <c r="RZ949" s="7"/>
      <c r="SA949" s="7"/>
      <c r="SB949" s="7"/>
      <c r="SC949" s="7"/>
      <c r="SD949" s="7"/>
      <c r="SE949" s="7"/>
      <c r="SF949" s="7"/>
      <c r="SG949" s="7"/>
      <c r="SH949" s="7"/>
      <c r="SI949" s="7"/>
      <c r="SJ949" s="7"/>
      <c r="SK949" s="7"/>
      <c r="SL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  <c r="RZ950" s="7"/>
      <c r="SA950" s="7"/>
      <c r="SB950" s="7"/>
      <c r="SC950" s="7"/>
      <c r="SD950" s="7"/>
      <c r="SE950" s="7"/>
      <c r="SF950" s="7"/>
      <c r="SG950" s="7"/>
      <c r="SH950" s="7"/>
      <c r="SI950" s="7"/>
      <c r="SJ950" s="7"/>
      <c r="SK950" s="7"/>
      <c r="SL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  <c r="RZ951" s="7"/>
      <c r="SA951" s="7"/>
      <c r="SB951" s="7"/>
      <c r="SC951" s="7"/>
      <c r="SD951" s="7"/>
      <c r="SE951" s="7"/>
      <c r="SF951" s="7"/>
      <c r="SG951" s="7"/>
      <c r="SH951" s="7"/>
      <c r="SI951" s="7"/>
      <c r="SJ951" s="7"/>
      <c r="SK951" s="7"/>
      <c r="SL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  <c r="RZ952" s="7"/>
      <c r="SA952" s="7"/>
      <c r="SB952" s="7"/>
      <c r="SC952" s="7"/>
      <c r="SD952" s="7"/>
      <c r="SE952" s="7"/>
      <c r="SF952" s="7"/>
      <c r="SG952" s="7"/>
      <c r="SH952" s="7"/>
      <c r="SI952" s="7"/>
      <c r="SJ952" s="7"/>
      <c r="SK952" s="7"/>
      <c r="SL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  <c r="RZ953" s="7"/>
      <c r="SA953" s="7"/>
      <c r="SB953" s="7"/>
      <c r="SC953" s="7"/>
      <c r="SD953" s="7"/>
      <c r="SE953" s="7"/>
      <c r="SF953" s="7"/>
      <c r="SG953" s="7"/>
      <c r="SH953" s="7"/>
      <c r="SI953" s="7"/>
      <c r="SJ953" s="7"/>
      <c r="SK953" s="7"/>
      <c r="SL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  <c r="RZ954" s="7"/>
      <c r="SA954" s="7"/>
      <c r="SB954" s="7"/>
      <c r="SC954" s="7"/>
      <c r="SD954" s="7"/>
      <c r="SE954" s="7"/>
      <c r="SF954" s="7"/>
      <c r="SG954" s="7"/>
      <c r="SH954" s="7"/>
      <c r="SI954" s="7"/>
      <c r="SJ954" s="7"/>
      <c r="SK954" s="7"/>
      <c r="SL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  <c r="RZ955" s="7"/>
      <c r="SA955" s="7"/>
      <c r="SB955" s="7"/>
      <c r="SC955" s="7"/>
      <c r="SD955" s="7"/>
      <c r="SE955" s="7"/>
      <c r="SF955" s="7"/>
      <c r="SG955" s="7"/>
      <c r="SH955" s="7"/>
      <c r="SI955" s="7"/>
      <c r="SJ955" s="7"/>
      <c r="SK955" s="7"/>
      <c r="SL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  <c r="RZ956" s="7"/>
      <c r="SA956" s="7"/>
      <c r="SB956" s="7"/>
      <c r="SC956" s="7"/>
      <c r="SD956" s="7"/>
      <c r="SE956" s="7"/>
      <c r="SF956" s="7"/>
      <c r="SG956" s="7"/>
      <c r="SH956" s="7"/>
      <c r="SI956" s="7"/>
      <c r="SJ956" s="7"/>
      <c r="SK956" s="7"/>
      <c r="SL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  <c r="RZ957" s="7"/>
      <c r="SA957" s="7"/>
      <c r="SB957" s="7"/>
      <c r="SC957" s="7"/>
      <c r="SD957" s="7"/>
      <c r="SE957" s="7"/>
      <c r="SF957" s="7"/>
      <c r="SG957" s="7"/>
      <c r="SH957" s="7"/>
      <c r="SI957" s="7"/>
      <c r="SJ957" s="7"/>
      <c r="SK957" s="7"/>
      <c r="SL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  <c r="RZ958" s="7"/>
      <c r="SA958" s="7"/>
      <c r="SB958" s="7"/>
      <c r="SC958" s="7"/>
      <c r="SD958" s="7"/>
      <c r="SE958" s="7"/>
      <c r="SF958" s="7"/>
      <c r="SG958" s="7"/>
      <c r="SH958" s="7"/>
      <c r="SI958" s="7"/>
      <c r="SJ958" s="7"/>
      <c r="SK958" s="7"/>
      <c r="SL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  <c r="RZ959" s="7"/>
      <c r="SA959" s="7"/>
      <c r="SB959" s="7"/>
      <c r="SC959" s="7"/>
      <c r="SD959" s="7"/>
      <c r="SE959" s="7"/>
      <c r="SF959" s="7"/>
      <c r="SG959" s="7"/>
      <c r="SH959" s="7"/>
      <c r="SI959" s="7"/>
      <c r="SJ959" s="7"/>
      <c r="SK959" s="7"/>
      <c r="SL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  <c r="RZ960" s="7"/>
      <c r="SA960" s="7"/>
      <c r="SB960" s="7"/>
      <c r="SC960" s="7"/>
      <c r="SD960" s="7"/>
      <c r="SE960" s="7"/>
      <c r="SF960" s="7"/>
      <c r="SG960" s="7"/>
      <c r="SH960" s="7"/>
      <c r="SI960" s="7"/>
      <c r="SJ960" s="7"/>
      <c r="SK960" s="7"/>
      <c r="SL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  <c r="RZ961" s="7"/>
      <c r="SA961" s="7"/>
      <c r="SB961" s="7"/>
      <c r="SC961" s="7"/>
      <c r="SD961" s="7"/>
      <c r="SE961" s="7"/>
      <c r="SF961" s="7"/>
      <c r="SG961" s="7"/>
      <c r="SH961" s="7"/>
      <c r="SI961" s="7"/>
      <c r="SJ961" s="7"/>
      <c r="SK961" s="7"/>
      <c r="SL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  <c r="RZ962" s="7"/>
      <c r="SA962" s="7"/>
      <c r="SB962" s="7"/>
      <c r="SC962" s="7"/>
      <c r="SD962" s="7"/>
      <c r="SE962" s="7"/>
      <c r="SF962" s="7"/>
      <c r="SG962" s="7"/>
      <c r="SH962" s="7"/>
      <c r="SI962" s="7"/>
      <c r="SJ962" s="7"/>
      <c r="SK962" s="7"/>
      <c r="SL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  <c r="RZ963" s="7"/>
      <c r="SA963" s="7"/>
      <c r="SB963" s="7"/>
      <c r="SC963" s="7"/>
      <c r="SD963" s="7"/>
      <c r="SE963" s="7"/>
      <c r="SF963" s="7"/>
      <c r="SG963" s="7"/>
      <c r="SH963" s="7"/>
      <c r="SI963" s="7"/>
      <c r="SJ963" s="7"/>
      <c r="SK963" s="7"/>
      <c r="SL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  <c r="RZ964" s="7"/>
      <c r="SA964" s="7"/>
      <c r="SB964" s="7"/>
      <c r="SC964" s="7"/>
      <c r="SD964" s="7"/>
      <c r="SE964" s="7"/>
      <c r="SF964" s="7"/>
      <c r="SG964" s="7"/>
      <c r="SH964" s="7"/>
      <c r="SI964" s="7"/>
      <c r="SJ964" s="7"/>
      <c r="SK964" s="7"/>
      <c r="SL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  <c r="RZ965" s="7"/>
      <c r="SA965" s="7"/>
      <c r="SB965" s="7"/>
      <c r="SC965" s="7"/>
      <c r="SD965" s="7"/>
      <c r="SE965" s="7"/>
      <c r="SF965" s="7"/>
      <c r="SG965" s="7"/>
      <c r="SH965" s="7"/>
      <c r="SI965" s="7"/>
      <c r="SJ965" s="7"/>
      <c r="SK965" s="7"/>
      <c r="SL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  <c r="RZ966" s="7"/>
      <c r="SA966" s="7"/>
      <c r="SB966" s="7"/>
      <c r="SC966" s="7"/>
      <c r="SD966" s="7"/>
      <c r="SE966" s="7"/>
      <c r="SF966" s="7"/>
      <c r="SG966" s="7"/>
      <c r="SH966" s="7"/>
      <c r="SI966" s="7"/>
      <c r="SJ966" s="7"/>
      <c r="SK966" s="7"/>
      <c r="SL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  <c r="RZ967" s="7"/>
      <c r="SA967" s="7"/>
      <c r="SB967" s="7"/>
      <c r="SC967" s="7"/>
      <c r="SD967" s="7"/>
      <c r="SE967" s="7"/>
      <c r="SF967" s="7"/>
      <c r="SG967" s="7"/>
      <c r="SH967" s="7"/>
      <c r="SI967" s="7"/>
      <c r="SJ967" s="7"/>
      <c r="SK967" s="7"/>
      <c r="SL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  <c r="RZ968" s="7"/>
      <c r="SA968" s="7"/>
      <c r="SB968" s="7"/>
      <c r="SC968" s="7"/>
      <c r="SD968" s="7"/>
      <c r="SE968" s="7"/>
      <c r="SF968" s="7"/>
      <c r="SG968" s="7"/>
      <c r="SH968" s="7"/>
      <c r="SI968" s="7"/>
      <c r="SJ968" s="7"/>
      <c r="SK968" s="7"/>
      <c r="SL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  <c r="RZ969" s="7"/>
      <c r="SA969" s="7"/>
      <c r="SB969" s="7"/>
      <c r="SC969" s="7"/>
      <c r="SD969" s="7"/>
      <c r="SE969" s="7"/>
      <c r="SF969" s="7"/>
      <c r="SG969" s="7"/>
      <c r="SH969" s="7"/>
      <c r="SI969" s="7"/>
      <c r="SJ969" s="7"/>
      <c r="SK969" s="7"/>
      <c r="SL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  <c r="RZ970" s="7"/>
      <c r="SA970" s="7"/>
      <c r="SB970" s="7"/>
      <c r="SC970" s="7"/>
      <c r="SD970" s="7"/>
      <c r="SE970" s="7"/>
      <c r="SF970" s="7"/>
      <c r="SG970" s="7"/>
      <c r="SH970" s="7"/>
      <c r="SI970" s="7"/>
      <c r="SJ970" s="7"/>
      <c r="SK970" s="7"/>
      <c r="SL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  <c r="RZ971" s="7"/>
      <c r="SA971" s="7"/>
      <c r="SB971" s="7"/>
      <c r="SC971" s="7"/>
      <c r="SD971" s="7"/>
      <c r="SE971" s="7"/>
      <c r="SF971" s="7"/>
      <c r="SG971" s="7"/>
      <c r="SH971" s="7"/>
      <c r="SI971" s="7"/>
      <c r="SJ971" s="7"/>
      <c r="SK971" s="7"/>
      <c r="SL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  <c r="RZ972" s="7"/>
      <c r="SA972" s="7"/>
      <c r="SB972" s="7"/>
      <c r="SC972" s="7"/>
      <c r="SD972" s="7"/>
      <c r="SE972" s="7"/>
      <c r="SF972" s="7"/>
      <c r="SG972" s="7"/>
      <c r="SH972" s="7"/>
      <c r="SI972" s="7"/>
      <c r="SJ972" s="7"/>
      <c r="SK972" s="7"/>
      <c r="SL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  <c r="RZ973" s="7"/>
      <c r="SA973" s="7"/>
      <c r="SB973" s="7"/>
      <c r="SC973" s="7"/>
      <c r="SD973" s="7"/>
      <c r="SE973" s="7"/>
      <c r="SF973" s="7"/>
      <c r="SG973" s="7"/>
      <c r="SH973" s="7"/>
      <c r="SI973" s="7"/>
      <c r="SJ973" s="7"/>
      <c r="SK973" s="7"/>
      <c r="SL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  <c r="RZ974" s="7"/>
      <c r="SA974" s="7"/>
      <c r="SB974" s="7"/>
      <c r="SC974" s="7"/>
      <c r="SD974" s="7"/>
      <c r="SE974" s="7"/>
      <c r="SF974" s="7"/>
      <c r="SG974" s="7"/>
      <c r="SH974" s="7"/>
      <c r="SI974" s="7"/>
      <c r="SJ974" s="7"/>
      <c r="SK974" s="7"/>
      <c r="SL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  <c r="RZ975" s="7"/>
      <c r="SA975" s="7"/>
      <c r="SB975" s="7"/>
      <c r="SC975" s="7"/>
      <c r="SD975" s="7"/>
      <c r="SE975" s="7"/>
      <c r="SF975" s="7"/>
      <c r="SG975" s="7"/>
      <c r="SH975" s="7"/>
      <c r="SI975" s="7"/>
      <c r="SJ975" s="7"/>
      <c r="SK975" s="7"/>
      <c r="SL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  <c r="RZ976" s="7"/>
      <c r="SA976" s="7"/>
      <c r="SB976" s="7"/>
      <c r="SC976" s="7"/>
      <c r="SD976" s="7"/>
      <c r="SE976" s="7"/>
      <c r="SF976" s="7"/>
      <c r="SG976" s="7"/>
      <c r="SH976" s="7"/>
      <c r="SI976" s="7"/>
      <c r="SJ976" s="7"/>
      <c r="SK976" s="7"/>
      <c r="SL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  <c r="RZ977" s="7"/>
      <c r="SA977" s="7"/>
      <c r="SB977" s="7"/>
      <c r="SC977" s="7"/>
      <c r="SD977" s="7"/>
      <c r="SE977" s="7"/>
      <c r="SF977" s="7"/>
      <c r="SG977" s="7"/>
      <c r="SH977" s="7"/>
      <c r="SI977" s="7"/>
      <c r="SJ977" s="7"/>
      <c r="SK977" s="7"/>
      <c r="SL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  <c r="RZ978" s="7"/>
      <c r="SA978" s="7"/>
      <c r="SB978" s="7"/>
      <c r="SC978" s="7"/>
      <c r="SD978" s="7"/>
      <c r="SE978" s="7"/>
      <c r="SF978" s="7"/>
      <c r="SG978" s="7"/>
      <c r="SH978" s="7"/>
      <c r="SI978" s="7"/>
      <c r="SJ978" s="7"/>
      <c r="SK978" s="7"/>
      <c r="SL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  <c r="RZ979" s="7"/>
      <c r="SA979" s="7"/>
      <c r="SB979" s="7"/>
      <c r="SC979" s="7"/>
      <c r="SD979" s="7"/>
      <c r="SE979" s="7"/>
      <c r="SF979" s="7"/>
      <c r="SG979" s="7"/>
      <c r="SH979" s="7"/>
      <c r="SI979" s="7"/>
      <c r="SJ979" s="7"/>
      <c r="SK979" s="7"/>
      <c r="SL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  <c r="RZ980" s="7"/>
      <c r="SA980" s="7"/>
      <c r="SB980" s="7"/>
      <c r="SC980" s="7"/>
      <c r="SD980" s="7"/>
      <c r="SE980" s="7"/>
      <c r="SF980" s="7"/>
      <c r="SG980" s="7"/>
      <c r="SH980" s="7"/>
      <c r="SI980" s="7"/>
      <c r="SJ980" s="7"/>
      <c r="SK980" s="7"/>
      <c r="SL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  <c r="RZ981" s="7"/>
      <c r="SA981" s="7"/>
      <c r="SB981" s="7"/>
      <c r="SC981" s="7"/>
      <c r="SD981" s="7"/>
      <c r="SE981" s="7"/>
      <c r="SF981" s="7"/>
      <c r="SG981" s="7"/>
      <c r="SH981" s="7"/>
      <c r="SI981" s="7"/>
      <c r="SJ981" s="7"/>
      <c r="SK981" s="7"/>
      <c r="SL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  <c r="RZ982" s="7"/>
      <c r="SA982" s="7"/>
      <c r="SB982" s="7"/>
      <c r="SC982" s="7"/>
      <c r="SD982" s="7"/>
      <c r="SE982" s="7"/>
      <c r="SF982" s="7"/>
      <c r="SG982" s="7"/>
      <c r="SH982" s="7"/>
      <c r="SI982" s="7"/>
      <c r="SJ982" s="7"/>
      <c r="SK982" s="7"/>
      <c r="SL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  <c r="RZ983" s="7"/>
      <c r="SA983" s="7"/>
      <c r="SB983" s="7"/>
      <c r="SC983" s="7"/>
      <c r="SD983" s="7"/>
      <c r="SE983" s="7"/>
      <c r="SF983" s="7"/>
      <c r="SG983" s="7"/>
      <c r="SH983" s="7"/>
      <c r="SI983" s="7"/>
      <c r="SJ983" s="7"/>
      <c r="SK983" s="7"/>
      <c r="SL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  <c r="RZ984" s="7"/>
      <c r="SA984" s="7"/>
      <c r="SB984" s="7"/>
      <c r="SC984" s="7"/>
      <c r="SD984" s="7"/>
      <c r="SE984" s="7"/>
      <c r="SF984" s="7"/>
      <c r="SG984" s="7"/>
      <c r="SH984" s="7"/>
      <c r="SI984" s="7"/>
      <c r="SJ984" s="7"/>
      <c r="SK984" s="7"/>
      <c r="SL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  <c r="RZ985" s="7"/>
      <c r="SA985" s="7"/>
      <c r="SB985" s="7"/>
      <c r="SC985" s="7"/>
      <c r="SD985" s="7"/>
      <c r="SE985" s="7"/>
      <c r="SF985" s="7"/>
      <c r="SG985" s="7"/>
      <c r="SH985" s="7"/>
      <c r="SI985" s="7"/>
      <c r="SJ985" s="7"/>
      <c r="SK985" s="7"/>
      <c r="SL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  <c r="RZ986" s="7"/>
      <c r="SA986" s="7"/>
      <c r="SB986" s="7"/>
      <c r="SC986" s="7"/>
      <c r="SD986" s="7"/>
      <c r="SE986" s="7"/>
      <c r="SF986" s="7"/>
      <c r="SG986" s="7"/>
      <c r="SH986" s="7"/>
      <c r="SI986" s="7"/>
      <c r="SJ986" s="7"/>
      <c r="SK986" s="7"/>
      <c r="SL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  <c r="RZ987" s="7"/>
      <c r="SA987" s="7"/>
      <c r="SB987" s="7"/>
      <c r="SC987" s="7"/>
      <c r="SD987" s="7"/>
      <c r="SE987" s="7"/>
      <c r="SF987" s="7"/>
      <c r="SG987" s="7"/>
      <c r="SH987" s="7"/>
      <c r="SI987" s="7"/>
      <c r="SJ987" s="7"/>
      <c r="SK987" s="7"/>
      <c r="SL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  <c r="RZ988" s="7"/>
      <c r="SA988" s="7"/>
      <c r="SB988" s="7"/>
      <c r="SC988" s="7"/>
      <c r="SD988" s="7"/>
      <c r="SE988" s="7"/>
      <c r="SF988" s="7"/>
      <c r="SG988" s="7"/>
      <c r="SH988" s="7"/>
      <c r="SI988" s="7"/>
      <c r="SJ988" s="7"/>
      <c r="SK988" s="7"/>
      <c r="SL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  <c r="RZ989" s="7"/>
      <c r="SA989" s="7"/>
      <c r="SB989" s="7"/>
      <c r="SC989" s="7"/>
      <c r="SD989" s="7"/>
      <c r="SE989" s="7"/>
      <c r="SF989" s="7"/>
      <c r="SG989" s="7"/>
      <c r="SH989" s="7"/>
      <c r="SI989" s="7"/>
      <c r="SJ989" s="7"/>
      <c r="SK989" s="7"/>
      <c r="SL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  <c r="RZ990" s="7"/>
      <c r="SA990" s="7"/>
      <c r="SB990" s="7"/>
      <c r="SC990" s="7"/>
      <c r="SD990" s="7"/>
      <c r="SE990" s="7"/>
      <c r="SF990" s="7"/>
      <c r="SG990" s="7"/>
      <c r="SH990" s="7"/>
      <c r="SI990" s="7"/>
      <c r="SJ990" s="7"/>
      <c r="SK990" s="7"/>
      <c r="SL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  <c r="RZ991" s="7"/>
      <c r="SA991" s="7"/>
      <c r="SB991" s="7"/>
      <c r="SC991" s="7"/>
      <c r="SD991" s="7"/>
      <c r="SE991" s="7"/>
      <c r="SF991" s="7"/>
      <c r="SG991" s="7"/>
      <c r="SH991" s="7"/>
      <c r="SI991" s="7"/>
      <c r="SJ991" s="7"/>
      <c r="SK991" s="7"/>
      <c r="SL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  <c r="RZ992" s="7"/>
      <c r="SA992" s="7"/>
      <c r="SB992" s="7"/>
      <c r="SC992" s="7"/>
      <c r="SD992" s="7"/>
      <c r="SE992" s="7"/>
      <c r="SF992" s="7"/>
      <c r="SG992" s="7"/>
      <c r="SH992" s="7"/>
      <c r="SI992" s="7"/>
      <c r="SJ992" s="7"/>
      <c r="SK992" s="7"/>
      <c r="SL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  <c r="RZ993" s="7"/>
      <c r="SA993" s="7"/>
      <c r="SB993" s="7"/>
      <c r="SC993" s="7"/>
      <c r="SD993" s="7"/>
      <c r="SE993" s="7"/>
      <c r="SF993" s="7"/>
      <c r="SG993" s="7"/>
      <c r="SH993" s="7"/>
      <c r="SI993" s="7"/>
      <c r="SJ993" s="7"/>
      <c r="SK993" s="7"/>
      <c r="SL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  <c r="RZ994" s="7"/>
      <c r="SA994" s="7"/>
      <c r="SB994" s="7"/>
      <c r="SC994" s="7"/>
      <c r="SD994" s="7"/>
      <c r="SE994" s="7"/>
      <c r="SF994" s="7"/>
      <c r="SG994" s="7"/>
      <c r="SH994" s="7"/>
      <c r="SI994" s="7"/>
      <c r="SJ994" s="7"/>
      <c r="SK994" s="7"/>
      <c r="SL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  <c r="RZ995" s="7"/>
      <c r="SA995" s="7"/>
      <c r="SB995" s="7"/>
      <c r="SC995" s="7"/>
      <c r="SD995" s="7"/>
      <c r="SE995" s="7"/>
      <c r="SF995" s="7"/>
      <c r="SG995" s="7"/>
      <c r="SH995" s="7"/>
      <c r="SI995" s="7"/>
      <c r="SJ995" s="7"/>
      <c r="SK995" s="7"/>
      <c r="SL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  <c r="RZ996" s="7"/>
      <c r="SA996" s="7"/>
      <c r="SB996" s="7"/>
      <c r="SC996" s="7"/>
      <c r="SD996" s="7"/>
      <c r="SE996" s="7"/>
      <c r="SF996" s="7"/>
      <c r="SG996" s="7"/>
      <c r="SH996" s="7"/>
      <c r="SI996" s="7"/>
      <c r="SJ996" s="7"/>
      <c r="SK996" s="7"/>
      <c r="SL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  <c r="RZ997" s="7"/>
      <c r="SA997" s="7"/>
      <c r="SB997" s="7"/>
      <c r="SC997" s="7"/>
      <c r="SD997" s="7"/>
      <c r="SE997" s="7"/>
      <c r="SF997" s="7"/>
      <c r="SG997" s="7"/>
      <c r="SH997" s="7"/>
      <c r="SI997" s="7"/>
      <c r="SJ997" s="7"/>
      <c r="SK997" s="7"/>
      <c r="SL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  <c r="RZ998" s="7"/>
      <c r="SA998" s="7"/>
      <c r="SB998" s="7"/>
      <c r="SC998" s="7"/>
      <c r="SD998" s="7"/>
      <c r="SE998" s="7"/>
      <c r="SF998" s="7"/>
      <c r="SG998" s="7"/>
      <c r="SH998" s="7"/>
      <c r="SI998" s="7"/>
      <c r="SJ998" s="7"/>
      <c r="SK998" s="7"/>
      <c r="SL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  <c r="RZ999" s="7"/>
      <c r="SA999" s="7"/>
      <c r="SB999" s="7"/>
      <c r="SC999" s="7"/>
      <c r="SD999" s="7"/>
      <c r="SE999" s="7"/>
      <c r="SF999" s="7"/>
      <c r="SG999" s="7"/>
      <c r="SH999" s="7"/>
      <c r="SI999" s="7"/>
      <c r="SJ999" s="7"/>
      <c r="SK999" s="7"/>
      <c r="SL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  <c r="RZ1000" s="7"/>
      <c r="SA1000" s="7"/>
      <c r="SB1000" s="7"/>
      <c r="SC1000" s="7"/>
      <c r="SD1000" s="7"/>
      <c r="SE1000" s="7"/>
      <c r="SF1000" s="7"/>
      <c r="SG1000" s="7"/>
      <c r="SH1000" s="7"/>
      <c r="SI1000" s="7"/>
      <c r="SJ1000" s="7"/>
      <c r="SK1000" s="7"/>
      <c r="SL1000" s="7"/>
    </row>
    <row r="1001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  <c r="RZ1001" s="7"/>
      <c r="SA1001" s="7"/>
      <c r="SB1001" s="7"/>
      <c r="SC1001" s="7"/>
      <c r="SD1001" s="7"/>
      <c r="SE1001" s="7"/>
      <c r="SF1001" s="7"/>
      <c r="SG1001" s="7"/>
      <c r="SH1001" s="7"/>
      <c r="SI1001" s="7"/>
      <c r="SJ1001" s="7"/>
      <c r="SK1001" s="7"/>
      <c r="SL1001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2" t="s">
        <v>999</v>
      </c>
      <c r="B1" s="12" t="s">
        <v>1000</v>
      </c>
      <c r="C1" s="12" t="s">
        <v>505</v>
      </c>
      <c r="D1" s="12" t="s">
        <v>970</v>
      </c>
      <c r="E1" s="10" t="s">
        <v>998</v>
      </c>
    </row>
    <row r="2" ht="14.25" customHeight="1">
      <c r="A2" s="12" t="s">
        <v>3</v>
      </c>
      <c r="B2" s="12" t="s">
        <v>1001</v>
      </c>
      <c r="C2" s="12" t="s">
        <v>1001</v>
      </c>
      <c r="D2" s="12" t="s">
        <v>1002</v>
      </c>
      <c r="E2" s="12" t="str">
        <f>IFERROR(__xludf.DUMMYFUNCTION("GOOGLETRANSLATE(C2, ""en"", ""sw"")"),"Eneo")</f>
        <v>Eneo</v>
      </c>
    </row>
    <row r="3" ht="14.25" customHeight="1">
      <c r="A3" s="12" t="s">
        <v>3</v>
      </c>
      <c r="B3" s="12" t="s">
        <v>1003</v>
      </c>
      <c r="C3" s="12" t="s">
        <v>1003</v>
      </c>
      <c r="D3" s="12" t="s">
        <v>1003</v>
      </c>
      <c r="E3" s="12" t="str">
        <f>IFERROR(__xludf.DUMMYFUNCTION("GOOGLETRANSLATE(C3, ""en"", ""sw"")"),"URL")</f>
        <v>URL</v>
      </c>
    </row>
    <row r="4" ht="14.25" customHeight="1">
      <c r="A4" s="12" t="s">
        <v>3</v>
      </c>
      <c r="B4" s="12" t="s">
        <v>510</v>
      </c>
      <c r="C4" s="12" t="s">
        <v>510</v>
      </c>
      <c r="D4" s="12" t="s">
        <v>1004</v>
      </c>
      <c r="E4" s="12" t="str">
        <f>IFERROR(__xludf.DUMMYFUNCTION("GOOGLETRANSLATE(C4, ""en"", ""sw"")"),"Muunganisho wa hifadhidata")</f>
        <v>Muunganisho wa hifadhidata</v>
      </c>
    </row>
    <row r="5" ht="14.25" customHeight="1">
      <c r="A5" s="12" t="s">
        <v>3</v>
      </c>
      <c r="B5" s="12" t="s">
        <v>1005</v>
      </c>
      <c r="C5" s="12" t="s">
        <v>1005</v>
      </c>
      <c r="D5" s="12" t="s">
        <v>1006</v>
      </c>
      <c r="E5" s="12" t="str">
        <f>IFERROR(__xludf.DUMMYFUNCTION("GOOGLETRANSLATE(C5, ""en"", ""sw"")"),"Muunganisho wa API")</f>
        <v>Muunganisho wa API</v>
      </c>
    </row>
    <row r="6" ht="14.25" customHeight="1">
      <c r="A6" s="12" t="s">
        <v>1007</v>
      </c>
      <c r="B6" s="12" t="s">
        <v>1008</v>
      </c>
      <c r="C6" s="12" t="s">
        <v>1008</v>
      </c>
      <c r="D6" s="12" t="s">
        <v>1009</v>
      </c>
      <c r="E6" s="12" t="str">
        <f>IFERROR(__xludf.DUMMYFUNCTION("GOOGLETRANSLATE(C6, ""en"", ""sw"")"),"Kichwa")</f>
        <v>Kichwa</v>
      </c>
    </row>
    <row r="7" ht="14.25" customHeight="1">
      <c r="A7" s="12" t="s">
        <v>1007</v>
      </c>
      <c r="B7" s="12" t="s">
        <v>1010</v>
      </c>
      <c r="C7" s="12" t="s">
        <v>1010</v>
      </c>
      <c r="D7" s="12" t="s">
        <v>1011</v>
      </c>
      <c r="E7" s="12" t="str">
        <f>IFERROR(__xludf.DUMMYFUNCTION("GOOGLETRANSLATE(C7, ""en"", ""sw"")"),"Mkia")</f>
        <v>Mkia</v>
      </c>
    </row>
    <row r="8" ht="14.25" customHeight="1">
      <c r="A8" s="12" t="s">
        <v>1007</v>
      </c>
      <c r="B8" s="12" t="s">
        <v>1012</v>
      </c>
      <c r="C8" s="12" t="s">
        <v>1012</v>
      </c>
      <c r="D8" s="12" t="s">
        <v>1013</v>
      </c>
      <c r="E8" s="12" t="str">
        <f>IFERROR(__xludf.DUMMYFUNCTION("GOOGLETRANSLATE(C8, ""en"", ""sw"")"),"Zote")</f>
        <v>Zote</v>
      </c>
    </row>
    <row r="9" ht="14.25" customHeight="1">
      <c r="A9" s="12" t="s">
        <v>1014</v>
      </c>
      <c r="B9" s="10" t="s">
        <v>1015</v>
      </c>
      <c r="C9" s="10" t="s">
        <v>1015</v>
      </c>
      <c r="D9" s="10" t="s">
        <v>1016</v>
      </c>
      <c r="E9" s="12" t="str">
        <f>IFERROR(__xludf.DUMMYFUNCTION("GOOGLETRANSLATE(C9, ""en"", ""sw"")"),"---Chagua aina---")</f>
        <v>---Chagua aina---</v>
      </c>
    </row>
    <row r="10" ht="14.25" customHeight="1">
      <c r="A10" s="12" t="s">
        <v>1014</v>
      </c>
      <c r="B10" s="12" t="s">
        <v>1017</v>
      </c>
      <c r="C10" s="12" t="s">
        <v>1017</v>
      </c>
      <c r="D10" s="12" t="s">
        <v>1017</v>
      </c>
      <c r="E10" s="12" t="str">
        <f>IFERROR(__xludf.DUMMYFUNCTION("GOOGLETRANSLATE(C10, ""en"", ""sw"")"),"kipengele")</f>
        <v>kipengele</v>
      </c>
    </row>
    <row r="11" ht="14.25" customHeight="1">
      <c r="A11" s="12" t="s">
        <v>1014</v>
      </c>
      <c r="B11" s="12" t="s">
        <v>1018</v>
      </c>
      <c r="C11" s="12" t="s">
        <v>1018</v>
      </c>
      <c r="D11" s="12" t="s">
        <v>1018</v>
      </c>
      <c r="E11" s="12" t="str">
        <f>IFERROR(__xludf.DUMMYFUNCTION("GOOGLETRANSLATE(C11, ""en"", ""sw"")"),"mhusika")</f>
        <v>mhusika</v>
      </c>
    </row>
    <row r="12" ht="14.25" customHeight="1">
      <c r="A12" s="12" t="s">
        <v>1014</v>
      </c>
      <c r="B12" s="12" t="s">
        <v>1019</v>
      </c>
      <c r="C12" s="12" t="s">
        <v>1019</v>
      </c>
      <c r="D12" s="12" t="s">
        <v>1019</v>
      </c>
      <c r="E12" s="12" t="str">
        <f>IFERROR(__xludf.DUMMYFUNCTION("GOOGLETRANSLATE(C12, ""en"", ""sw"")"),"nambari")</f>
        <v>nambari</v>
      </c>
    </row>
    <row r="13" ht="14.25" customHeight="1">
      <c r="A13" s="12" t="s">
        <v>1020</v>
      </c>
      <c r="B13" s="12" t="s">
        <v>1021</v>
      </c>
      <c r="C13" s="12" t="s">
        <v>1021</v>
      </c>
      <c r="D13" s="12" t="s">
        <v>1022</v>
      </c>
      <c r="E13" s="12" t="str">
        <f>IFERROR(__xludf.DUMMYFUNCTION("GOOGLETRANSLATE(C13, ""en"", ""sw"")"),"Kidokezo kinakosekana (kwa wote)")</f>
        <v>Kidokezo kinakosekana (kwa wote)</v>
      </c>
    </row>
    <row r="14" ht="14.25" customHeight="1">
      <c r="A14" s="12" t="s">
        <v>1020</v>
      </c>
      <c r="B14" s="12" t="s">
        <v>1023</v>
      </c>
      <c r="C14" s="12" t="s">
        <v>1023</v>
      </c>
      <c r="D14" s="12" t="s">
        <v>1022</v>
      </c>
      <c r="E14" s="12" t="str">
        <f>IFERROR(__xludf.DUMMYFUNCTION("GOOGLETRANSLATE(C14, ""en"", ""sw"")"),"Kidokezo kinakosekana (kwa hili)")</f>
        <v>Kidokezo kinakosekana (kwa hili)</v>
      </c>
    </row>
    <row r="15" ht="14.25" customHeight="1">
      <c r="A15" s="12" t="s">
        <v>1020</v>
      </c>
      <c r="B15" s="12" t="s">
        <v>1024</v>
      </c>
      <c r="C15" s="12" t="s">
        <v>1024</v>
      </c>
      <c r="D15" s="12" t="s">
        <v>1025</v>
      </c>
      <c r="E15" s="12" t="str">
        <f>IFERROR(__xludf.DUMMYFUNCTION("GOOGLETRANSLATE(C15, ""en"", ""sw"")"),"Unda kategoria mpya (kwa wote)")</f>
        <v>Unda kategoria mpya (kwa wote)</v>
      </c>
    </row>
    <row r="16" ht="14.25" customHeight="1">
      <c r="A16" s="12" t="s">
        <v>1020</v>
      </c>
      <c r="B16" s="12" t="s">
        <v>1026</v>
      </c>
      <c r="C16" s="12" t="s">
        <v>1026</v>
      </c>
      <c r="D16" s="12" t="s">
        <v>1027</v>
      </c>
      <c r="E16" s="12" t="str">
        <f>IFERROR(__xludf.DUMMYFUNCTION("GOOGLETRANSLATE(C16, ""en"", ""sw"")"),"Unda kategoria mpya (kwa hili)")</f>
        <v>Unda kategoria mpya (kwa hili)</v>
      </c>
    </row>
    <row r="17" ht="14.25" customHeight="1">
      <c r="A17" s="12" t="s">
        <v>1028</v>
      </c>
      <c r="B17" s="12" t="s">
        <v>1029</v>
      </c>
      <c r="C17" s="12" t="s">
        <v>1029</v>
      </c>
      <c r="D17" s="12" t="s">
        <v>1030</v>
      </c>
      <c r="E17" s="12" t="str">
        <f>IFERROR(__xludf.DUMMYFUNCTION("GOOGLETRANSLATE(C17, ""en"", ""sw"")"),"Kwa kigezo hiki")</f>
        <v>Kwa kigezo hiki</v>
      </c>
    </row>
    <row r="18" ht="14.25" customHeight="1">
      <c r="A18" s="12" t="s">
        <v>1028</v>
      </c>
      <c r="B18" s="12" t="s">
        <v>1031</v>
      </c>
      <c r="C18" s="12" t="s">
        <v>1031</v>
      </c>
      <c r="D18" s="7" t="s">
        <v>1032</v>
      </c>
      <c r="E18" s="12" t="str">
        <f>IFERROR(__xludf.DUMMYFUNCTION("GOOGLETRANSLATE(C18, ""en"", ""sw"")"),"Kwa vigezo vyote")</f>
        <v>Kwa vigezo vyote</v>
      </c>
    </row>
    <row r="19" ht="14.25" customHeight="1">
      <c r="A19" s="12" t="s">
        <v>69</v>
      </c>
      <c r="B19" s="12" t="s">
        <v>1033</v>
      </c>
      <c r="C19" s="12" t="s">
        <v>1033</v>
      </c>
      <c r="D19" s="12" t="s">
        <v>1034</v>
      </c>
      <c r="E19" s="12" t="str">
        <f>IFERROR(__xludf.DUMMYFUNCTION("GOOGLETRANSLATE(C19, ""en"", ""sw"")"),"Tumia mifumo")</f>
        <v>Tumia mifumo</v>
      </c>
    </row>
    <row r="20" ht="14.25" customHeight="1">
      <c r="A20" s="12" t="s">
        <v>69</v>
      </c>
      <c r="B20" s="12" t="s">
        <v>1035</v>
      </c>
      <c r="C20" s="12" t="s">
        <v>1035</v>
      </c>
      <c r="D20" s="12" t="s">
        <v>1036</v>
      </c>
      <c r="E20" s="12" t="str">
        <f>IFERROR(__xludf.DUMMYFUNCTION("GOOGLETRANSLATE(C20, ""en"", ""sw"")"),"Tumia kategoria")</f>
        <v>Tumia kategoria</v>
      </c>
    </row>
    <row r="21" ht="14.25" customHeight="1">
      <c r="A21" s="12" t="s">
        <v>77</v>
      </c>
      <c r="B21" s="12" t="s">
        <v>1037</v>
      </c>
      <c r="C21" s="12" t="s">
        <v>1038</v>
      </c>
      <c r="D21" s="12" t="s">
        <v>1038</v>
      </c>
      <c r="E21" s="12" t="str">
        <f>IFERROR(__xludf.DUMMYFUNCTION("GOOGLETRANSLATE(C21, ""en"", ""sw"")"),"Tupu ("""")")</f>
        <v>Tupu ("")</v>
      </c>
    </row>
    <row r="22" ht="14.25" customHeight="1">
      <c r="A22" s="12" t="s">
        <v>77</v>
      </c>
      <c r="B22" s="12" t="s">
        <v>1039</v>
      </c>
      <c r="C22" s="12" t="s">
        <v>1039</v>
      </c>
      <c r="D22" s="12" t="s">
        <v>1039</v>
      </c>
      <c r="E22" s="12" t="str">
        <f>IFERROR(__xludf.DUMMYFUNCTION("GOOGLETRANSLATE(C22, ""en"", ""sw"")"),"NA")</f>
        <v>NA</v>
      </c>
    </row>
    <row r="23" ht="14.25" customHeight="1">
      <c r="A23" s="12" t="s">
        <v>77</v>
      </c>
      <c r="B23" s="12" t="s">
        <v>1040</v>
      </c>
      <c r="C23" s="12" t="s">
        <v>1040</v>
      </c>
      <c r="D23" s="12" t="s">
        <v>1040</v>
      </c>
      <c r="E23" s="12" t="str">
        <f>IFERROR(__xludf.DUMMYFUNCTION("GOOGLETRANSLATE(C23, ""en"", ""sw"")"),"NaN")</f>
        <v>NaN</v>
      </c>
    </row>
    <row r="24" ht="14.25" customHeight="1">
      <c r="A24" s="12" t="s">
        <v>1041</v>
      </c>
      <c r="B24" s="12" t="s">
        <v>1042</v>
      </c>
      <c r="C24" s="12" t="s">
        <v>1043</v>
      </c>
      <c r="D24" s="12" t="s">
        <v>1044</v>
      </c>
      <c r="E24" s="12" t="str">
        <f>IFERROR(__xludf.DUMMYFUNCTION("GOOGLETRANSLATE(C24, ""en"", ""sw"")"),"Kuacha")</f>
        <v>Kuacha</v>
      </c>
    </row>
    <row r="25" ht="14.25" customHeight="1">
      <c r="A25" s="12" t="s">
        <v>1041</v>
      </c>
      <c r="B25" s="12" t="s">
        <v>1045</v>
      </c>
      <c r="C25" s="12" t="s">
        <v>1046</v>
      </c>
      <c r="D25" s="12" t="s">
        <v>1047</v>
      </c>
      <c r="E25" s="12" t="str">
        <f>IFERROR(__xludf.DUMMYFUNCTION("GOOGLETRANSLATE(C25, ""en"", ""sw"")"),"Sahihi")</f>
        <v>Sahihi</v>
      </c>
    </row>
    <row r="26" ht="14.25" customHeight="1">
      <c r="A26" s="12" t="s">
        <v>1041</v>
      </c>
      <c r="B26" s="12" t="s">
        <v>1048</v>
      </c>
      <c r="C26" s="12" t="s">
        <v>1049</v>
      </c>
      <c r="D26" s="12" t="s">
        <v>1050</v>
      </c>
      <c r="E26" s="12" t="str">
        <f>IFERROR(__xludf.DUMMYFUNCTION("GOOGLETRANSLATE(C26, ""en"", ""sw"")"),"Usifanye chochote")</f>
        <v>Usifanye chochote</v>
      </c>
    </row>
    <row r="27" ht="14.25" customHeight="1">
      <c r="A27" s="12" t="s">
        <v>88</v>
      </c>
      <c r="B27" s="12" t="s">
        <v>1051</v>
      </c>
      <c r="C27" s="12" t="s">
        <v>1052</v>
      </c>
      <c r="D27" s="12" t="s">
        <v>1052</v>
      </c>
      <c r="E27" s="12" t="str">
        <f>IFERROR(__xludf.DUMMYFUNCTION("GOOGLETRANSLATE(C27, ""en"", ""sw"")"),"Wastani")</f>
        <v>Wastani</v>
      </c>
    </row>
    <row r="28" ht="14.25" customHeight="1">
      <c r="A28" s="12" t="s">
        <v>88</v>
      </c>
      <c r="B28" s="12" t="s">
        <v>1053</v>
      </c>
      <c r="C28" s="12" t="s">
        <v>1054</v>
      </c>
      <c r="D28" s="12" t="s">
        <v>1054</v>
      </c>
      <c r="E28" s="12" t="str">
        <f>IFERROR(__xludf.DUMMYFUNCTION("GOOGLETRANSLATE(C28, ""en"", ""sw"")"),"Wastani")</f>
        <v>Wastani</v>
      </c>
    </row>
    <row r="29" ht="14.25" customHeight="1">
      <c r="A29" s="12" t="s">
        <v>88</v>
      </c>
      <c r="B29" s="12" t="s">
        <v>1055</v>
      </c>
      <c r="C29" s="12" t="s">
        <v>1056</v>
      </c>
      <c r="D29" s="12" t="s">
        <v>1057</v>
      </c>
      <c r="E29" s="12" t="str">
        <f>IFERROR(__xludf.DUMMYFUNCTION("GOOGLETRANSLATE(C29, ""en"", ""sw"")"),"Thamani ya kuingiza")</f>
        <v>Thamani ya kuingiza</v>
      </c>
    </row>
    <row r="30" ht="14.25" customHeight="1">
      <c r="A30" s="10" t="s">
        <v>1058</v>
      </c>
      <c r="B30" s="10" t="s">
        <v>1059</v>
      </c>
      <c r="C30" s="10" t="s">
        <v>1060</v>
      </c>
      <c r="D30" s="10" t="s">
        <v>1061</v>
      </c>
      <c r="E30" s="12" t="str">
        <f>IFERROR(__xludf.DUMMYFUNCTION("GOOGLETRANSLATE(C30, ""en"", ""sw"")"),"Ulinganisho otomatiki")</f>
        <v>Ulinganisho otomatiki</v>
      </c>
    </row>
    <row r="31" ht="14.25" customHeight="1">
      <c r="A31" s="10" t="s">
        <v>1058</v>
      </c>
      <c r="B31" s="10" t="s">
        <v>1062</v>
      </c>
      <c r="C31" s="10" t="s">
        <v>1063</v>
      </c>
      <c r="D31" s="10" t="s">
        <v>1064</v>
      </c>
      <c r="E31" s="12" t="str">
        <f>IFERROR(__xludf.DUMMYFUNCTION("GOOGLETRANSLATE(C31, ""en"", ""sw"")"),"Ulinganisho wa mikono")</f>
        <v>Ulinganisho wa mikono</v>
      </c>
    </row>
    <row r="32" ht="14.25" customHeight="1">
      <c r="A32" s="10" t="s">
        <v>138</v>
      </c>
      <c r="B32" s="10" t="s">
        <v>1065</v>
      </c>
      <c r="C32" s="10" t="s">
        <v>608</v>
      </c>
      <c r="D32" s="10" t="s">
        <v>1066</v>
      </c>
      <c r="E32" s="12" t="str">
        <f>IFERROR(__xludf.DUMMYFUNCTION("GOOGLETRANSLATE(C32, ""en"", ""sw"")"),"Ongeza safu mlalo")</f>
        <v>Ongeza safu mlalo</v>
      </c>
    </row>
    <row r="33" ht="14.25" customHeight="1">
      <c r="A33" s="10" t="s">
        <v>138</v>
      </c>
      <c r="B33" s="10" t="s">
        <v>1067</v>
      </c>
      <c r="C33" s="10" t="s">
        <v>609</v>
      </c>
      <c r="D33" s="10" t="s">
        <v>1068</v>
      </c>
      <c r="E33" s="12" t="str">
        <f>IFERROR(__xludf.DUMMYFUNCTION("GOOGLETRANSLATE(C33, ""en"", ""sw"")"),"Ongeza safu wima")</f>
        <v>Ongeza safu wima</v>
      </c>
      <c r="H33" s="8"/>
      <c r="I33" s="8"/>
      <c r="J33" s="8"/>
      <c r="K33" s="8"/>
    </row>
    <row r="34" ht="14.25" customHeight="1">
      <c r="A34" s="10" t="s">
        <v>1069</v>
      </c>
      <c r="B34" s="10" t="s">
        <v>1070</v>
      </c>
      <c r="C34" s="10" t="s">
        <v>1070</v>
      </c>
      <c r="D34" s="10" t="s">
        <v>1071</v>
      </c>
      <c r="E34" s="12" t="str">
        <f>IFERROR(__xludf.DUMMYFUNCTION("GOOGLETRANSLATE(C34, ""en"", ""sw"")"),"Endelea")</f>
        <v>Endelea</v>
      </c>
      <c r="I34" s="8"/>
    </row>
    <row r="35" ht="14.25" customHeight="1">
      <c r="A35" s="10" t="s">
        <v>1069</v>
      </c>
      <c r="B35" s="10" t="s">
        <v>1072</v>
      </c>
      <c r="C35" s="10" t="s">
        <v>1072</v>
      </c>
      <c r="D35" s="10" t="s">
        <v>1073</v>
      </c>
      <c r="E35" s="12" t="str">
        <f>IFERROR(__xludf.DUMMYFUNCTION("GOOGLETRANSLATE(C35, ""en"", ""sw"")"),"Rekebisha vigezo vilivyolingana")</f>
        <v>Rekebisha vigezo vilivyolingana</v>
      </c>
      <c r="I35" s="8"/>
    </row>
    <row r="36" ht="14.25" customHeight="1">
      <c r="A36" s="10" t="s">
        <v>1074</v>
      </c>
      <c r="B36" s="10" t="s">
        <v>143</v>
      </c>
      <c r="C36" s="10" t="s">
        <v>638</v>
      </c>
      <c r="D36" s="8" t="s">
        <v>1075</v>
      </c>
      <c r="E36" s="12" t="str">
        <f>IFERROR(__xludf.DUMMYFUNCTION("GOOGLETRANSLATE(C36, ""en"", ""sw"")"),"Kupunguza uzito")</f>
        <v>Kupunguza uzito</v>
      </c>
      <c r="I36" s="8"/>
    </row>
    <row r="37" ht="14.25" customHeight="1">
      <c r="A37" s="10" t="s">
        <v>1074</v>
      </c>
      <c r="B37" s="10" t="s">
        <v>141</v>
      </c>
      <c r="C37" s="8" t="s">
        <v>636</v>
      </c>
      <c r="D37" s="8" t="s">
        <v>636</v>
      </c>
      <c r="E37" s="12" t="str">
        <f>IFERROR(__xludf.DUMMYFUNCTION("GOOGLETRANSLATE(C37, ""en"", ""sw"")"),"Muundo")</f>
        <v>Muundo</v>
      </c>
      <c r="I37" s="8"/>
    </row>
    <row r="38" ht="14.25" customHeight="1">
      <c r="A38" s="10" t="s">
        <v>1074</v>
      </c>
      <c r="B38" s="10" t="s">
        <v>201</v>
      </c>
      <c r="C38" s="8" t="s">
        <v>1076</v>
      </c>
      <c r="D38" s="8" t="s">
        <v>1077</v>
      </c>
      <c r="E38" s="12" t="str">
        <f>IFERROR(__xludf.DUMMYFUNCTION("GOOGLETRANSLATE(C38, ""en"", ""sw"")"),"Muhtasari wa kina")</f>
        <v>Muhtasari wa kina</v>
      </c>
    </row>
    <row r="39" ht="14.25" customHeight="1">
      <c r="A39" s="10" t="s">
        <v>1074</v>
      </c>
      <c r="B39" s="10" t="s">
        <v>142</v>
      </c>
      <c r="C39" s="8" t="s">
        <v>637</v>
      </c>
      <c r="D39" s="8" t="s">
        <v>1078</v>
      </c>
      <c r="E39" s="12" t="str">
        <f>IFERROR(__xludf.DUMMYFUNCTION("GOOGLETRANSLATE(C39, ""en"", ""sw"")"),"Muhtasari")</f>
        <v>Muhtasari</v>
      </c>
    </row>
    <row r="40" ht="14.25" customHeight="1">
      <c r="A40" s="10" t="s">
        <v>1079</v>
      </c>
      <c r="B40" s="10" t="s">
        <v>1080</v>
      </c>
      <c r="C40" s="10" t="s">
        <v>1081</v>
      </c>
      <c r="D40" s="8" t="s">
        <v>1082</v>
      </c>
      <c r="E40" s="12" t="str">
        <f>IFERROR(__xludf.DUMMYFUNCTION("GOOGLETRANSLATE(C40, ""en"", ""sw"")"),"Tumia meza")</f>
        <v>Tumia meza</v>
      </c>
    </row>
    <row r="41" ht="14.25" customHeight="1">
      <c r="A41" s="10" t="s">
        <v>1079</v>
      </c>
      <c r="B41" s="10" t="s">
        <v>1083</v>
      </c>
      <c r="C41" s="10" t="s">
        <v>1084</v>
      </c>
      <c r="D41" s="8" t="s">
        <v>1085</v>
      </c>
      <c r="E41" s="12" t="str">
        <f>IFERROR(__xludf.DUMMYFUNCTION("GOOGLETRANSLATE(C41, ""en"", ""sw"")"),"Tumia swali la SQL")</f>
        <v>Tumia swali la SQL</v>
      </c>
    </row>
    <row r="42" ht="14.25" customHeight="1">
      <c r="A42" s="10" t="s">
        <v>235</v>
      </c>
      <c r="B42" s="10" t="s">
        <v>1086</v>
      </c>
      <c r="C42" s="10" t="s">
        <v>1087</v>
      </c>
      <c r="D42" s="12" t="str">
        <f>IFERROR(__xludf.DUMMYFUNCTION("GOOGLETRANSLATE(C42, ""en"", ""fr"")"),"Oui")</f>
        <v>Oui</v>
      </c>
      <c r="E42" s="12" t="str">
        <f>IFERROR(__xludf.DUMMYFUNCTION("GOOGLETRANSLATE(C42, ""en"", ""sw"")"),"Ndiyo")</f>
        <v>Ndiyo</v>
      </c>
    </row>
    <row r="43" ht="14.25" customHeight="1">
      <c r="A43" s="10" t="s">
        <v>235</v>
      </c>
      <c r="B43" s="10" t="s">
        <v>1088</v>
      </c>
      <c r="C43" s="10" t="s">
        <v>1089</v>
      </c>
      <c r="D43" s="12" t="str">
        <f>IFERROR(__xludf.DUMMYFUNCTION("GOOGLETRANSLATE(C43, ""en"", ""fr"")"),"Non")</f>
        <v>Non</v>
      </c>
      <c r="E43" s="12" t="str">
        <f>IFERROR(__xludf.DUMMYFUNCTION("GOOGLETRANSLATE(C43, ""en"", ""sw"")"),"Hapana")</f>
        <v>Hapana</v>
      </c>
    </row>
    <row r="44" ht="14.25" customHeight="1">
      <c r="A44" s="10" t="s">
        <v>1090</v>
      </c>
      <c r="B44" s="10" t="s">
        <v>1091</v>
      </c>
      <c r="C44" s="10" t="s">
        <v>1091</v>
      </c>
      <c r="D44" s="12" t="str">
        <f>IFERROR(__xludf.DUMMYFUNCTION("GOOGLETRANSLATE(C44, ""en"", ""fr"")"),"Apprentissage supervisé")</f>
        <v>Apprentissage supervisé</v>
      </c>
      <c r="E44" s="12" t="str">
        <f>IFERROR(__xludf.DUMMYFUNCTION("GOOGLETRANSLATE(C44, ""en"", ""sw"")"),"Kujifunza kunakosimamiwa")</f>
        <v>Kujifunza kunakosimamiwa</v>
      </c>
    </row>
    <row r="45" ht="14.25" customHeight="1">
      <c r="A45" s="10" t="s">
        <v>1092</v>
      </c>
      <c r="B45" s="10" t="s">
        <v>787</v>
      </c>
      <c r="C45" s="10" t="s">
        <v>787</v>
      </c>
      <c r="D45" s="12" t="str">
        <f>IFERROR(__xludf.DUMMYFUNCTION("GOOGLETRANSLATE(C45, ""en"", ""fr"")"),"Régression")</f>
        <v>Régression</v>
      </c>
      <c r="E45" s="12" t="str">
        <f>IFERROR(__xludf.DUMMYFUNCTION("GOOGLETRANSLATE(C45, ""en"", ""sw"")"),"Urejeshaji")</f>
        <v>Urejeshaji</v>
      </c>
    </row>
    <row r="46" ht="14.25" customHeight="1">
      <c r="A46" s="10" t="s">
        <v>1092</v>
      </c>
      <c r="B46" s="10" t="s">
        <v>788</v>
      </c>
      <c r="C46" s="10" t="s">
        <v>788</v>
      </c>
      <c r="D46" s="12" t="str">
        <f>IFERROR(__xludf.DUMMYFUNCTION("GOOGLETRANSLATE(C46, ""en"", ""fr"")"),"Classification")</f>
        <v>Classification</v>
      </c>
      <c r="E46" s="12" t="str">
        <f>IFERROR(__xludf.DUMMYFUNCTION("GOOGLETRANSLATE(C46, ""en"", ""sw"")"),"Uainishaji")</f>
        <v>Uainishaji</v>
      </c>
    </row>
    <row r="47" ht="14.25" customHeight="1">
      <c r="A47" s="10" t="s">
        <v>1092</v>
      </c>
      <c r="B47" s="10" t="s">
        <v>874</v>
      </c>
      <c r="C47" s="10" t="s">
        <v>874</v>
      </c>
      <c r="D47" s="12" t="str">
        <f>IFERROR(__xludf.DUMMYFUNCTION("GOOGLETRANSLATE(C47, ""en"", ""fr"")"),"Apprentissage profond")</f>
        <v>Apprentissage profond</v>
      </c>
      <c r="E47" s="12" t="str">
        <f>IFERROR(__xludf.DUMMYFUNCTION("GOOGLETRANSLATE(C47, ""en"", ""sw"")"),"Kujifunza kwa kina")</f>
        <v>Kujifunza kwa kina</v>
      </c>
    </row>
    <row r="48" ht="14.25" customHeight="1">
      <c r="A48" s="10" t="s">
        <v>1093</v>
      </c>
      <c r="B48" s="10" t="s">
        <v>1094</v>
      </c>
      <c r="C48" s="10" t="s">
        <v>1094</v>
      </c>
      <c r="D48" s="12" t="str">
        <f>IFERROR(__xludf.DUMMYFUNCTION("GOOGLETRANSLATE(C48, ""en"", ""fr"")"),"Clustering")</f>
        <v>Clustering</v>
      </c>
      <c r="E48" s="12" t="str">
        <f>IFERROR(__xludf.DUMMYFUNCTION("GOOGLETRANSLATE(C48, ""en"", ""sw"")"),"Kuunganisha")</f>
        <v>Kuunganisha</v>
      </c>
    </row>
    <row r="49" ht="14.25" customHeight="1">
      <c r="A49" s="10" t="s">
        <v>1093</v>
      </c>
      <c r="B49" s="10" t="s">
        <v>1095</v>
      </c>
      <c r="C49" s="10" t="s">
        <v>1095</v>
      </c>
      <c r="D49" s="12" t="str">
        <f>IFERROR(__xludf.DUMMYFUNCTION("GOOGLETRANSLATE(C49, ""en"", ""fr"")"),"Détection d'anomalies")</f>
        <v>Détection d'anomalies</v>
      </c>
      <c r="E49" s="12" t="str">
        <f>IFERROR(__xludf.DUMMYFUNCTION("GOOGLETRANSLATE(C49, ""en"", ""sw"")"),"Ugunduzi wa kasoro")</f>
        <v>Ugunduzi wa kasoro</v>
      </c>
    </row>
    <row r="50" ht="14.25" customHeight="1">
      <c r="A50" s="10" t="s">
        <v>1096</v>
      </c>
      <c r="B50" s="10" t="s">
        <v>1097</v>
      </c>
      <c r="C50" s="10" t="s">
        <v>1098</v>
      </c>
      <c r="D50" s="12" t="str">
        <f>IFERROR(__xludf.DUMMYFUNCTION("GOOGLETRANSLATE(C50, ""en"", ""fr"")"),"Laissez tout tomber")</f>
        <v>Laissez tout tomber</v>
      </c>
      <c r="E50" s="12" t="str">
        <f>IFERROR(__xludf.DUMMYFUNCTION("GOOGLETRANSLATE(C50, ""en"", ""sw"")"),"Acha zote")</f>
        <v>Acha zote</v>
      </c>
    </row>
    <row r="51" ht="14.25" customHeight="1">
      <c r="A51" s="10" t="s">
        <v>1096</v>
      </c>
      <c r="B51" s="10" t="s">
        <v>1099</v>
      </c>
      <c r="C51" s="10" t="s">
        <v>1100</v>
      </c>
      <c r="D51" s="12" t="str">
        <f>IFERROR(__xludf.DUMMYFUNCTION("GOOGLETRANSLATE(C51, ""en"", ""fr"")"),"Catégorie manquante et moyenne")</f>
        <v>Catégorie manquante et moyenne</v>
      </c>
      <c r="E51" s="12" t="str">
        <f>IFERROR(__xludf.DUMMYFUNCTION("GOOGLETRANSLATE(C51, ""en"", ""sw"")"),"Kategoria na Wastani Hazipo")</f>
        <v>Kategoria na Wastani Hazipo</v>
      </c>
    </row>
    <row r="52" ht="14.25" customHeight="1">
      <c r="A52" s="10" t="s">
        <v>1096</v>
      </c>
      <c r="B52" s="10" t="s">
        <v>1101</v>
      </c>
      <c r="C52" s="10" t="s">
        <v>1102</v>
      </c>
      <c r="D52" s="12" t="str">
        <f>IFERROR(__xludf.DUMMYFUNCTION("GOOGLETRANSLATE(C52, ""en"", ""fr"")"),"Catégorie manquante et médiane")</f>
        <v>Catégorie manquante et médiane</v>
      </c>
      <c r="E52" s="12" t="str">
        <f>IFERROR(__xludf.DUMMYFUNCTION("GOOGLETRANSLATE(C52, ""en"", ""sw"")"),"Kategoria na Kati haipo")</f>
        <v>Kategoria na Kati haipo</v>
      </c>
    </row>
    <row r="53" ht="14.25" customHeight="1">
      <c r="A53" s="10" t="s">
        <v>1096</v>
      </c>
      <c r="B53" s="10" t="s">
        <v>1103</v>
      </c>
      <c r="C53" s="10" t="s">
        <v>1104</v>
      </c>
      <c r="D53" s="12" t="str">
        <f>IFERROR(__xludf.DUMMYFUNCTION("GOOGLETRANSLATE(C53, ""en"", ""fr"")"),"Mode et médiane")</f>
        <v>Mode et médiane</v>
      </c>
      <c r="E53" s="12" t="str">
        <f>IFERROR(__xludf.DUMMYFUNCTION("GOOGLETRANSLATE(C53, ""en"", ""sw"")"),"Hali na Wastani")</f>
        <v>Hali na Wastani</v>
      </c>
    </row>
    <row r="54" ht="14.25" customHeight="1">
      <c r="A54" s="10" t="s">
        <v>1096</v>
      </c>
      <c r="B54" s="10" t="s">
        <v>1105</v>
      </c>
      <c r="C54" s="10" t="s">
        <v>1106</v>
      </c>
      <c r="D54" s="12" t="str">
        <f>IFERROR(__xludf.DUMMYFUNCTION("GOOGLETRANSLATE(C54, ""en"", ""fr"")"),"Mode et moyenne")</f>
        <v>Mode et moyenne</v>
      </c>
      <c r="E54" s="12" t="str">
        <f>IFERROR(__xludf.DUMMYFUNCTION("GOOGLETRANSLATE(C54, ""en"", ""sw"")"),"Hali na Wastani")</f>
        <v>Hali na Wastani</v>
      </c>
    </row>
    <row r="55" ht="14.25" customHeight="1">
      <c r="A55" s="10" t="s">
        <v>1096</v>
      </c>
      <c r="B55" s="10" t="s">
        <v>1107</v>
      </c>
      <c r="C55" s="10" t="s">
        <v>1108</v>
      </c>
      <c r="D55" s="12" t="str">
        <f>IFERROR(__xludf.DUMMYFUNCTION("GOOGLETRANSLATE(C55, ""en"", ""fr"")"),"K plus proches voisins")</f>
        <v>K plus proches voisins</v>
      </c>
      <c r="E55" s="12" t="str">
        <f>IFERROR(__xludf.DUMMYFUNCTION("GOOGLETRANSLATE(C55, ""en"", ""sw"")"),"Majirani walio karibu zaidi wa K")</f>
        <v>Majirani walio karibu zaidi wa K</v>
      </c>
    </row>
    <row r="56" ht="14.25" customHeight="1">
      <c r="A56" s="10" t="s">
        <v>1096</v>
      </c>
      <c r="B56" s="10" t="s">
        <v>1109</v>
      </c>
      <c r="C56" s="10" t="s">
        <v>1110</v>
      </c>
      <c r="D56" s="12" t="str">
        <f>IFERROR(__xludf.DUMMYFUNCTION("GOOGLETRANSLATE(C56, ""en"", ""fr"")"),"Modèle des k plus proches voisins et modèle linéaire")</f>
        <v>Modèle des k plus proches voisins et modèle linéaire</v>
      </c>
      <c r="E56" s="12" t="str">
        <f>IFERROR(__xludf.DUMMYFUNCTION("GOOGLETRANSLATE(C56, ""en"", ""sw"")"),"K-jirani zilizo karibu zaidi na modeli ya Linear")</f>
        <v>K-jirani zilizo karibu zaidi na modeli ya Linear</v>
      </c>
    </row>
    <row r="57" ht="14.25" customHeight="1">
      <c r="A57" s="10" t="s">
        <v>1096</v>
      </c>
      <c r="B57" s="10" t="s">
        <v>1111</v>
      </c>
      <c r="C57" s="10" t="s">
        <v>1112</v>
      </c>
      <c r="D57" s="12" t="str">
        <f>IFERROR(__xludf.DUMMYFUNCTION("GOOGLETRANSLATE(C57, ""en"", ""fr"")"),"Ensachage")</f>
        <v>Ensachage</v>
      </c>
      <c r="E57" s="12" t="str">
        <f>IFERROR(__xludf.DUMMYFUNCTION("GOOGLETRANSLATE(C57, ""en"", ""sw"")"),"Kuweka mifuko")</f>
        <v>Kuweka mifuko</v>
      </c>
    </row>
    <row r="58" ht="14.25" customHeight="1">
      <c r="A58" s="10" t="s">
        <v>297</v>
      </c>
      <c r="B58" s="10" t="s">
        <v>1086</v>
      </c>
      <c r="C58" s="10" t="s">
        <v>1087</v>
      </c>
      <c r="D58" s="12" t="str">
        <f>IFERROR(__xludf.DUMMYFUNCTION("GOOGLETRANSLATE(C58, ""en"", ""fr"")"),"Oui")</f>
        <v>Oui</v>
      </c>
      <c r="E58" s="12" t="str">
        <f>IFERROR(__xludf.DUMMYFUNCTION("GOOGLETRANSLATE(C58, ""en"", ""sw"")"),"Ndiyo")</f>
        <v>Ndiyo</v>
      </c>
    </row>
    <row r="59" ht="14.25" customHeight="1">
      <c r="A59" s="10" t="s">
        <v>297</v>
      </c>
      <c r="B59" s="10" t="s">
        <v>1088</v>
      </c>
      <c r="C59" s="10" t="s">
        <v>1089</v>
      </c>
      <c r="D59" s="12" t="str">
        <f>IFERROR(__xludf.DUMMYFUNCTION("GOOGLETRANSLATE(C59, ""en"", ""fr"")"),"Non")</f>
        <v>Non</v>
      </c>
      <c r="E59" s="12" t="str">
        <f>IFERROR(__xludf.DUMMYFUNCTION("GOOGLETRANSLATE(C59, ""en"", ""sw"")"),"Hapana")</f>
        <v>Hapana</v>
      </c>
    </row>
    <row r="60" ht="14.25" customHeight="1">
      <c r="A60" s="10" t="s">
        <v>1113</v>
      </c>
      <c r="B60" s="10" t="s">
        <v>615</v>
      </c>
      <c r="C60" s="10" t="s">
        <v>615</v>
      </c>
      <c r="D60" s="12" t="str">
        <f>IFERROR(__xludf.DUMMYFUNCTION("GOOGLETRANSLATE(C60, ""en"", ""fr"")"),"apprentissage automatique")</f>
        <v>apprentissage automatique</v>
      </c>
      <c r="E60" s="12" t="str">
        <f>IFERROR(__xludf.DUMMYFUNCTION("GOOGLETRANSLATE(C60, ""en"", ""sw"")"),"Kujifunza kwa mashine")</f>
        <v>Kujifunza kwa mashine</v>
      </c>
    </row>
    <row r="61" ht="14.25" customHeight="1">
      <c r="A61" s="10" t="s">
        <v>1114</v>
      </c>
      <c r="B61" s="10" t="s">
        <v>615</v>
      </c>
      <c r="C61" s="10" t="s">
        <v>615</v>
      </c>
      <c r="D61" s="12" t="str">
        <f>IFERROR(__xludf.DUMMYFUNCTION("GOOGLETRANSLATE(C61, ""en"", ""fr"")"),"apprentissage automatique")</f>
        <v>apprentissage automatique</v>
      </c>
      <c r="E61" s="12" t="str">
        <f>IFERROR(__xludf.DUMMYFUNCTION("GOOGLETRANSLATE(C61, ""en"", ""sw"")"),"Kujifunza kwa mashine")</f>
        <v>Kujifunza kwa mashine</v>
      </c>
    </row>
    <row r="62" ht="14.25" customHeight="1">
      <c r="A62" s="10" t="s">
        <v>1114</v>
      </c>
      <c r="B62" s="10" t="s">
        <v>874</v>
      </c>
      <c r="C62" s="10" t="s">
        <v>874</v>
      </c>
      <c r="D62" s="12" t="str">
        <f>IFERROR(__xludf.DUMMYFUNCTION("GOOGLETRANSLATE(C62, ""en"", ""fr"")"),"Apprentissage profond")</f>
        <v>Apprentissage profond</v>
      </c>
      <c r="E62" s="12" t="str">
        <f>IFERROR(__xludf.DUMMYFUNCTION("GOOGLETRANSLATE(C62, ""en"", ""sw"")"),"Kujifunza kwa kina")</f>
        <v>Kujifunza kwa kina</v>
      </c>
    </row>
    <row r="63" ht="14.25" customHeight="1">
      <c r="A63" s="10" t="s">
        <v>1115</v>
      </c>
      <c r="B63" s="10" t="s">
        <v>615</v>
      </c>
      <c r="C63" s="10" t="s">
        <v>615</v>
      </c>
      <c r="D63" s="12" t="str">
        <f>IFERROR(__xludf.DUMMYFUNCTION("GOOGLETRANSLATE(C63, ""en"", ""fr"")"),"apprentissage automatique")</f>
        <v>apprentissage automatique</v>
      </c>
      <c r="E63" s="12" t="str">
        <f>IFERROR(__xludf.DUMMYFUNCTION("GOOGLETRANSLATE(C63, ""en"", ""sw"")"),"Kujifunza kwa mashine")</f>
        <v>Kujifunza kwa mashine</v>
      </c>
    </row>
    <row r="64" ht="14.25" customHeight="1">
      <c r="A64" s="10" t="s">
        <v>1116</v>
      </c>
      <c r="B64" s="10" t="s">
        <v>874</v>
      </c>
      <c r="C64" s="10" t="s">
        <v>874</v>
      </c>
      <c r="D64" s="12" t="str">
        <f>IFERROR(__xludf.DUMMYFUNCTION("GOOGLETRANSLATE(C64, ""en"", ""fr"")"),"Apprentissage profond")</f>
        <v>Apprentissage profond</v>
      </c>
      <c r="E64" s="12" t="str">
        <f>IFERROR(__xludf.DUMMYFUNCTION("GOOGLETRANSLATE(C64, ""en"", ""sw"")"),"Kujifunza kwa kina")</f>
        <v>Kujifunza kwa kina</v>
      </c>
    </row>
    <row r="65" ht="14.25" customHeight="1">
      <c r="A65" s="10" t="s">
        <v>301</v>
      </c>
      <c r="B65" s="10" t="s">
        <v>1117</v>
      </c>
      <c r="C65" s="10" t="s">
        <v>1117</v>
      </c>
      <c r="D65" s="12" t="str">
        <f>IFERROR(__xludf.DUMMYFUNCTION("GOOGLETRANSLATE(C65, ""en"", ""fr"")"),"Caret")</f>
        <v>Caret</v>
      </c>
      <c r="E65" s="12" t="str">
        <f>IFERROR(__xludf.DUMMYFUNCTION("GOOGLETRANSLATE(C65, ""en"", ""sw"")"),"Kareti")</f>
        <v>Kareti</v>
      </c>
    </row>
    <row r="66" ht="14.25" customHeight="1">
      <c r="A66" s="10" t="s">
        <v>301</v>
      </c>
      <c r="B66" s="10" t="s">
        <v>1118</v>
      </c>
      <c r="C66" s="10" t="s">
        <v>1118</v>
      </c>
      <c r="D66" s="12" t="str">
        <f>IFERROR(__xludf.DUMMYFUNCTION("GOOGLETRANSLATE(C66, ""en"", ""fr"")"),"Pycaret")</f>
        <v>Pycaret</v>
      </c>
      <c r="E66" s="12" t="str">
        <f>IFERROR(__xludf.DUMMYFUNCTION("GOOGLETRANSLATE(C66, ""en"", ""sw"")"),"Pycaret")</f>
        <v>Pycaret</v>
      </c>
    </row>
    <row r="67" ht="14.25" customHeight="1">
      <c r="A67" s="10" t="s">
        <v>1119</v>
      </c>
      <c r="B67" s="10" t="s">
        <v>1120</v>
      </c>
      <c r="C67" s="10" t="s">
        <v>1121</v>
      </c>
      <c r="D67" s="12" t="str">
        <f>IFERROR(__xludf.DUMMYFUNCTION("GOOGLETRANSLATE(C67, ""en"", ""fr"")"),"Suréchantillonnage aléatoire des minorités")</f>
        <v>Suréchantillonnage aléatoire des minorités</v>
      </c>
      <c r="E67" s="12" t="str">
        <f>IFERROR(__xludf.DUMMYFUNCTION("GOOGLETRANSLATE(C67, ""en"", ""sw"")"),"Sampuli nyingi kupita kiasi ya wachache bila mpangilio")</f>
        <v>Sampuli nyingi kupita kiasi ya wachache bila mpangilio</v>
      </c>
    </row>
    <row r="68" ht="14.25" customHeight="1">
      <c r="A68" s="10" t="s">
        <v>1119</v>
      </c>
      <c r="B68" s="10" t="s">
        <v>1122</v>
      </c>
      <c r="C68" s="10" t="s">
        <v>1123</v>
      </c>
      <c r="D68" s="12" t="str">
        <f>IFERROR(__xludf.DUMMYFUNCTION("GOOGLETRANSLATE(C68, ""en"", ""fr"")"),"SMOTE")</f>
        <v>SMOTE</v>
      </c>
      <c r="E68" s="12" t="str">
        <f>IFERROR(__xludf.DUMMYFUNCTION("GOOGLETRANSLATE(C68, ""en"", ""sw"")"),"SMOTE")</f>
        <v>SMOTE</v>
      </c>
    </row>
    <row r="69" ht="14.25" customHeight="1">
      <c r="A69" s="10" t="s">
        <v>1119</v>
      </c>
      <c r="B69" s="10" t="s">
        <v>1124</v>
      </c>
      <c r="C69" s="10" t="s">
        <v>1125</v>
      </c>
      <c r="D69" s="12" t="str">
        <f>IFERROR(__xludf.DUMMYFUNCTION("GOOGLETRANSLATE(C69, ""en"", ""fr"")"),"Limite SMOTE")</f>
        <v>Limite SMOTE</v>
      </c>
      <c r="E69" s="12" t="str">
        <f>IFERROR(__xludf.DUMMYFUNCTION("GOOGLETRANSLATE(C69, ""en"", ""sw"")"),"SMOTE ya Mpakani")</f>
        <v>SMOTE ya Mpakani</v>
      </c>
    </row>
    <row r="70" ht="14.25" customHeight="1">
      <c r="A70" s="10" t="s">
        <v>1119</v>
      </c>
      <c r="B70" s="10" t="s">
        <v>1126</v>
      </c>
      <c r="C70" s="10" t="s">
        <v>1127</v>
      </c>
      <c r="D70" s="12" t="str">
        <f>IFERROR(__xludf.DUMMYFUNCTION("GOOGLETRANSLATE(C70, ""en"", ""fr"")"),"Échantillonnage synthétique adaptatif")</f>
        <v>Échantillonnage synthétique adaptatif</v>
      </c>
      <c r="E70" s="12" t="str">
        <f>IFERROR(__xludf.DUMMYFUNCTION("GOOGLETRANSLATE(C70, ""en"", ""sw"")"),"Sampuli za sintetiki zinazoweza kubadilika")</f>
        <v>Sampuli za sintetiki zinazoweza kubadilika</v>
      </c>
    </row>
    <row r="71" ht="14.25" customHeight="1">
      <c r="A71" s="10" t="s">
        <v>1119</v>
      </c>
      <c r="B71" s="10" t="s">
        <v>1128</v>
      </c>
      <c r="C71" s="10" t="s">
        <v>1129</v>
      </c>
      <c r="D71" s="12" t="str">
        <f>IFERROR(__xludf.DUMMYFUNCTION("GOOGLETRANSLATE(C71, ""en"", ""fr"")"),"Exemples de suréchantillonnage aléatoire")</f>
        <v>Exemples de suréchantillonnage aléatoire</v>
      </c>
      <c r="E71" s="12" t="str">
        <f>IFERROR(__xludf.DUMMYFUNCTION("GOOGLETRANSLATE(C71, ""en"", ""sw"")"),"Mifano ya Sampuli Bila Kutegemeana")</f>
        <v>Mifano ya Sampuli Bila Kutegemeana</v>
      </c>
    </row>
    <row r="72" ht="14.25" customHeight="1">
      <c r="A72" s="10" t="s">
        <v>1130</v>
      </c>
      <c r="B72" s="10" t="s">
        <v>1131</v>
      </c>
      <c r="C72" s="10" t="s">
        <v>1132</v>
      </c>
      <c r="D72" s="12" t="str">
        <f>IFERROR(__xludf.DUMMYFUNCTION("GOOGLETRANSLATE(C72, ""en"", ""fr"")"),"Simple (standard)")</f>
        <v>Simple (standard)</v>
      </c>
      <c r="E72" s="12" t="str">
        <f>IFERROR(__xludf.DUMMYFUNCTION("GOOGLETRANSLATE(C72, ""en"", ""sw"")"),"Moja (kiwango)")</f>
        <v>Moja (kiwango)</v>
      </c>
    </row>
    <row r="73" ht="14.25" customHeight="1">
      <c r="A73" s="10" t="s">
        <v>1130</v>
      </c>
      <c r="B73" s="10" t="s">
        <v>1133</v>
      </c>
      <c r="C73" s="10" t="s">
        <v>1134</v>
      </c>
      <c r="D73" s="12" t="str">
        <f>IFERROR(__xludf.DUMMYFUNCTION("GOOGLETRANSLATE(C73, ""en"", ""fr"")"),"Basé sur le temps")</f>
        <v>Basé sur le temps</v>
      </c>
      <c r="E73" s="12" t="str">
        <f>IFERROR(__xludf.DUMMYFUNCTION("GOOGLETRANSLATE(C73, ""en"", ""sw"")"),"Kulingana na wakati")</f>
        <v>Kulingana na wakati</v>
      </c>
    </row>
    <row r="74" ht="14.25" customHeight="1">
      <c r="A74" s="10" t="s">
        <v>1130</v>
      </c>
      <c r="B74" s="10" t="s">
        <v>1135</v>
      </c>
      <c r="C74" s="10" t="s">
        <v>1136</v>
      </c>
      <c r="D74" s="12" t="str">
        <f>IFERROR(__xludf.DUMMYFUNCTION("GOOGLETRANSLATE(C74, ""en"", ""fr"")"),"Données groupées")</f>
        <v>Données groupées</v>
      </c>
      <c r="E74" s="12" t="str">
        <f>IFERROR(__xludf.DUMMYFUNCTION("GOOGLETRANSLATE(C74, ""en"", ""sw"")"),"Data iliyopangwa kwa makundi")</f>
        <v>Data iliyopangwa kwa makundi</v>
      </c>
    </row>
    <row r="75" ht="14.25" customHeight="1">
      <c r="A75" s="10" t="s">
        <v>1130</v>
      </c>
      <c r="B75" s="10" t="s">
        <v>1137</v>
      </c>
      <c r="C75" s="10" t="s">
        <v>1138</v>
      </c>
      <c r="D75" s="12" t="str">
        <f>IFERROR(__xludf.DUMMYFUNCTION("GOOGLETRANSLATE(C75, ""en"", ""fr"")"),"Séries chronologiques")</f>
        <v>Séries chronologiques</v>
      </c>
      <c r="E75" s="12" t="str">
        <f>IFERROR(__xludf.DUMMYFUNCTION("GOOGLETRANSLATE(C75, ""en"", ""sw"")"),"Mfululizo wa muda")</f>
        <v>Mfululizo wa muda</v>
      </c>
    </row>
    <row r="76" ht="14.25" customHeight="1">
      <c r="A76" s="10" t="s">
        <v>1139</v>
      </c>
      <c r="B76" s="10" t="s">
        <v>1140</v>
      </c>
      <c r="C76" s="10" t="s">
        <v>1140</v>
      </c>
      <c r="D76" s="12" t="str">
        <f>IFERROR(__xludf.DUMMYFUNCTION("GOOGLETRANSLATE(C76, ""en"", ""fr"")"),"Précision")</f>
        <v>Précision</v>
      </c>
      <c r="E76" s="12" t="str">
        <f>IFERROR(__xludf.DUMMYFUNCTION("GOOGLETRANSLATE(C76, ""en"", ""sw"")"),"Usahihi")</f>
        <v>Usahihi</v>
      </c>
    </row>
    <row r="77" ht="14.25" customHeight="1">
      <c r="A77" s="10" t="s">
        <v>1139</v>
      </c>
      <c r="B77" s="10" t="s">
        <v>1141</v>
      </c>
      <c r="C77" s="10" t="s">
        <v>1141</v>
      </c>
      <c r="D77" s="10" t="s">
        <v>1141</v>
      </c>
      <c r="E77" s="12" t="str">
        <f>IFERROR(__xludf.DUMMYFUNCTION("GOOGLETRANSLATE(C77, ""en"", ""sw"")"),"AUC")</f>
        <v>AUC</v>
      </c>
    </row>
    <row r="78" ht="14.25" customHeight="1">
      <c r="A78" s="10" t="s">
        <v>1139</v>
      </c>
      <c r="B78" s="10" t="s">
        <v>1142</v>
      </c>
      <c r="C78" s="10" t="s">
        <v>1142</v>
      </c>
      <c r="D78" s="12" t="str">
        <f>IFERROR(__xludf.DUMMYFUNCTION("GOOGLETRANSLATE(C78, ""en"", ""fr"")"),"Kappa")</f>
        <v>Kappa</v>
      </c>
      <c r="E78" s="12" t="str">
        <f>IFERROR(__xludf.DUMMYFUNCTION("GOOGLETRANSLATE(C78, ""en"", ""sw"")"),"Kappa")</f>
        <v>Kappa</v>
      </c>
    </row>
    <row r="79" ht="14.25" customHeight="1">
      <c r="A79" s="10" t="s">
        <v>1139</v>
      </c>
      <c r="B79" s="10" t="s">
        <v>1143</v>
      </c>
      <c r="C79" s="10" t="s">
        <v>1143</v>
      </c>
      <c r="D79" s="12" t="str">
        <f>IFERROR(__xludf.DUMMYFUNCTION("GOOGLETRANSLATE(C79, ""en"", ""fr"")"),"F1")</f>
        <v>F1</v>
      </c>
      <c r="E79" s="12" t="str">
        <f>IFERROR(__xludf.DUMMYFUNCTION("GOOGLETRANSLATE(C79, ""en"", ""sw"")"),"F1")</f>
        <v>F1</v>
      </c>
    </row>
    <row r="80" ht="14.25" customHeight="1">
      <c r="A80" s="10" t="s">
        <v>1144</v>
      </c>
      <c r="B80" s="10" t="s">
        <v>1145</v>
      </c>
      <c r="C80" s="10" t="s">
        <v>1145</v>
      </c>
      <c r="D80" s="12" t="str">
        <f>IFERROR(__xludf.DUMMYFUNCTION("GOOGLETRANSLATE(C80, ""en"", ""fr"")"),"RMSE")</f>
        <v>RMSE</v>
      </c>
      <c r="E80" s="12" t="str">
        <f>IFERROR(__xludf.DUMMYFUNCTION("GOOGLETRANSLATE(C80, ""en"", ""sw"")"),"RMSE")</f>
        <v>RMSE</v>
      </c>
    </row>
    <row r="81" ht="14.25" customHeight="1">
      <c r="A81" s="10" t="s">
        <v>1144</v>
      </c>
      <c r="B81" s="10" t="s">
        <v>1146</v>
      </c>
      <c r="C81" s="10" t="s">
        <v>1147</v>
      </c>
      <c r="D81" s="12" t="str">
        <f>IFERROR(__xludf.DUMMYFUNCTION("GOOGLETRANSLATE(C81, ""en"", ""fr"")"),"RSquare")</f>
        <v>RSquare</v>
      </c>
      <c r="E81" s="10" t="s">
        <v>1147</v>
      </c>
    </row>
    <row r="82" ht="14.25" customHeight="1">
      <c r="A82" s="10" t="s">
        <v>1148</v>
      </c>
      <c r="B82" s="10" t="s">
        <v>1149</v>
      </c>
      <c r="C82" s="10" t="s">
        <v>1149</v>
      </c>
      <c r="D82" s="12" t="str">
        <f>IFERROR(__xludf.DUMMYFUNCTION("GOOGLETRANSLATE(C82, ""en"", ""fr"")"),"Travail en cours")</f>
        <v>Travail en cours</v>
      </c>
      <c r="E82" s="12" t="str">
        <f>IFERROR(__xludf.DUMMYFUNCTION("GOOGLETRANSLATE(C82, ""en"", ""sw"")"),"Kazi inayoendelea")</f>
        <v>Kazi inayoendelea</v>
      </c>
    </row>
    <row r="83" ht="14.25" customHeight="1">
      <c r="A83" s="10" t="s">
        <v>300</v>
      </c>
      <c r="B83" s="10" t="s">
        <v>788</v>
      </c>
      <c r="C83" s="10" t="s">
        <v>788</v>
      </c>
      <c r="D83" s="12" t="str">
        <f>IFERROR(__xludf.DUMMYFUNCTION("GOOGLETRANSLATE(C83, ""en"", ""fr"")"),"Classification")</f>
        <v>Classification</v>
      </c>
      <c r="E83" s="12" t="str">
        <f>IFERROR(__xludf.DUMMYFUNCTION("GOOGLETRANSLATE(C83, ""en"", ""sw"")"),"Uainishaji")</f>
        <v>Uainishaji</v>
      </c>
    </row>
    <row r="84" ht="14.25" customHeight="1">
      <c r="A84" s="10" t="s">
        <v>299</v>
      </c>
      <c r="B84" s="10" t="s">
        <v>787</v>
      </c>
      <c r="C84" s="10" t="s">
        <v>787</v>
      </c>
      <c r="D84" s="12" t="str">
        <f>IFERROR(__xludf.DUMMYFUNCTION("GOOGLETRANSLATE(C84, ""en"", ""fr"")"),"Régression")</f>
        <v>Régression</v>
      </c>
      <c r="E84" s="12" t="str">
        <f>IFERROR(__xludf.DUMMYFUNCTION("GOOGLETRANSLATE(C84, ""en"", ""sw"")"),"Urejeshaji")</f>
        <v>Urejeshaji</v>
      </c>
    </row>
    <row r="85" ht="14.25" customHeight="1">
      <c r="A85" s="10" t="s">
        <v>259</v>
      </c>
      <c r="B85" s="10" t="s">
        <v>752</v>
      </c>
      <c r="C85" s="10" t="s">
        <v>752</v>
      </c>
      <c r="D85" s="12" t="str">
        <f>IFERROR(__xludf.DUMMYFUNCTION("GOOGLETRANSLATE(C85, ""en"", ""fr"")"),"Sans surveillance")</f>
        <v>Sans surveillance</v>
      </c>
      <c r="E85" s="12" t="str">
        <f>IFERROR(__xludf.DUMMYFUNCTION("GOOGLETRANSLATE(C85, ""en"", ""sw"")"),"Haijasimamiwa")</f>
        <v>Haijasimamiwa</v>
      </c>
    </row>
    <row r="86" ht="14.25" customHeight="1">
      <c r="A86" s="10" t="s">
        <v>1150</v>
      </c>
      <c r="B86" s="10" t="s">
        <v>1151</v>
      </c>
      <c r="C86" s="10" t="s">
        <v>1152</v>
      </c>
      <c r="D86" s="12" t="str">
        <f>IFERROR(__xludf.DUMMYFUNCTION("GOOGLETRANSLATE(C86, ""en"", ""fr"")"),"CV")</f>
        <v>CV</v>
      </c>
      <c r="E86" s="12" t="str">
        <f>IFERROR(__xludf.DUMMYFUNCTION("GOOGLETRANSLATE(C86, ""en"", ""sw"")"),"CV")</f>
        <v>CV</v>
      </c>
    </row>
    <row r="87" ht="14.25" customHeight="1">
      <c r="A87" s="10" t="s">
        <v>1150</v>
      </c>
      <c r="B87" s="10" t="s">
        <v>1153</v>
      </c>
      <c r="C87" s="10" t="s">
        <v>1154</v>
      </c>
      <c r="D87" s="12" t="str">
        <f>IFERROR(__xludf.DUMMYFUNCTION("GOOGLETRANSLATE(C87, ""en"", ""fr"")"),"CV répété")</f>
        <v>CV répété</v>
      </c>
      <c r="E87" s="12" t="str">
        <f>IFERROR(__xludf.DUMMYFUNCTION("GOOGLETRANSLATE(C87, ""en"", ""sw"")"),"CV Iliyorudiwa")</f>
        <v>CV Iliyorudiwa</v>
      </c>
    </row>
    <row r="88" ht="14.25" customHeight="1">
      <c r="A88" s="10" t="s">
        <v>1150</v>
      </c>
      <c r="B88" s="10" t="s">
        <v>1155</v>
      </c>
      <c r="C88" s="10" t="s">
        <v>1156</v>
      </c>
      <c r="D88" s="12" t="str">
        <f>IFERROR(__xludf.DUMMYFUNCTION("GOOGLETRANSLATE(C88, ""en"", ""fr"")"),"CV adaptatif")</f>
        <v>CV adaptatif</v>
      </c>
      <c r="E88" s="12" t="str">
        <f>IFERROR(__xludf.DUMMYFUNCTION("GOOGLETRANSLATE(C88, ""en"", ""sw"")"),"CV Inayoweza Kubadilika")</f>
        <v>CV Inayoweza Kubadilika</v>
      </c>
    </row>
    <row r="89" ht="14.25" customHeight="1">
      <c r="A89" s="10" t="s">
        <v>1150</v>
      </c>
      <c r="B89" s="10" t="s">
        <v>1157</v>
      </c>
      <c r="C89" s="10" t="s">
        <v>1157</v>
      </c>
      <c r="D89" s="12" t="str">
        <f>IFERROR(__xludf.DUMMYFUNCTION("GOOGLETRANSLATE(C89, ""en"", ""fr"")"),"LOOCV")</f>
        <v>LOOCV</v>
      </c>
      <c r="E89" s="12" t="str">
        <f>IFERROR(__xludf.DUMMYFUNCTION("GOOGLETRANSLATE(C89, ""en"", ""sw"")"),"LOOCV")</f>
        <v>LOOCV</v>
      </c>
    </row>
    <row r="90" ht="14.25" customHeight="1">
      <c r="A90" s="10" t="s">
        <v>1150</v>
      </c>
      <c r="B90" s="10" t="s">
        <v>1158</v>
      </c>
      <c r="C90" s="10" t="s">
        <v>1158</v>
      </c>
      <c r="D90" s="12" t="str">
        <f>IFERROR(__xludf.DUMMYFUNCTION("GOOGLETRANSLATE(C90, ""en"", ""fr"")"),"LGOCV")</f>
        <v>LGOCV</v>
      </c>
      <c r="E90" s="12" t="str">
        <f>IFERROR(__xludf.DUMMYFUNCTION("GOOGLETRANSLATE(C90, ""en"", ""sw"")"),"LGOCV")</f>
        <v>LGOCV</v>
      </c>
    </row>
    <row r="91" ht="14.25" customHeight="1">
      <c r="A91" s="10" t="s">
        <v>1150</v>
      </c>
      <c r="B91" s="10" t="s">
        <v>1159</v>
      </c>
      <c r="C91" s="10" t="s">
        <v>1160</v>
      </c>
      <c r="D91" s="12" t="str">
        <f>IFERROR(__xludf.DUMMYFUNCTION("GOOGLETRANSLATE(C91, ""en"", ""fr"")"),"LGOCV adaptatif")</f>
        <v>LGOCV adaptatif</v>
      </c>
      <c r="E91" s="12" t="str">
        <f>IFERROR(__xludf.DUMMYFUNCTION("GOOGLETRANSLATE(C91, ""en"", ""sw"")"),"LGOCV Inayoweza Kubadilika")</f>
        <v>LGOCV Inayoweza Kubadilika</v>
      </c>
    </row>
    <row r="92" ht="14.25" customHeight="1">
      <c r="A92" s="10" t="s">
        <v>1150</v>
      </c>
      <c r="B92" s="10" t="s">
        <v>1161</v>
      </c>
      <c r="C92" s="10" t="s">
        <v>1162</v>
      </c>
      <c r="D92" s="12" t="str">
        <f>IFERROR(__xludf.DUMMYFUNCTION("GOOGLETRANSLATE(C92, ""en"", ""fr"")"),"Bootstrap")</f>
        <v>Bootstrap</v>
      </c>
      <c r="E92" s="12" t="str">
        <f>IFERROR(__xludf.DUMMYFUNCTION("GOOGLETRANSLATE(C92, ""en"", ""sw"")"),"Mkanda wa Boot")</f>
        <v>Mkanda wa Boot</v>
      </c>
    </row>
    <row r="93" ht="14.25" customHeight="1">
      <c r="A93" s="10" t="s">
        <v>1150</v>
      </c>
      <c r="B93" s="10" t="s">
        <v>1163</v>
      </c>
      <c r="C93" s="10" t="s">
        <v>1164</v>
      </c>
      <c r="D93" s="12" t="str">
        <f>IFERROR(__xludf.DUMMYFUNCTION("GOOGLETRANSLATE(C93, ""en"", ""fr"")"),"Bootstrap 632")</f>
        <v>Bootstrap 632</v>
      </c>
      <c r="E93" s="12" t="str">
        <f>IFERROR(__xludf.DUMMYFUNCTION("GOOGLETRANSLATE(C93, ""en"", ""sw"")"),"Mkanda wa Boot 632")</f>
        <v>Mkanda wa Boot 632</v>
      </c>
    </row>
    <row r="94" ht="14.25" customHeight="1">
      <c r="A94" s="10" t="s">
        <v>1150</v>
      </c>
      <c r="B94" s="10" t="s">
        <v>1165</v>
      </c>
      <c r="C94" s="10" t="s">
        <v>1166</v>
      </c>
      <c r="D94" s="12" t="str">
        <f>IFERROR(__xludf.DUMMYFUNCTION("GOOGLETRANSLATE(C94, ""en"", ""fr"")"),"Bootstrap optimiste")</f>
        <v>Bootstrap optimiste</v>
      </c>
      <c r="E94" s="12" t="str">
        <f>IFERROR(__xludf.DUMMYFUNCTION("GOOGLETRANSLATE(C94, ""en"", ""sw"")"),"Kiambatisho cha matumaini")</f>
        <v>Kiambatisho cha matumaini</v>
      </c>
    </row>
    <row r="95" ht="14.25" customHeight="1">
      <c r="A95" s="10" t="s">
        <v>1150</v>
      </c>
      <c r="B95" s="10" t="s">
        <v>1167</v>
      </c>
      <c r="C95" s="10" t="s">
        <v>1168</v>
      </c>
      <c r="D95" s="12" t="str">
        <f>IFERROR(__xludf.DUMMYFUNCTION("GOOGLETRANSLATE(C95, ""en"", ""fr"")"),"Bootstrap tout")</f>
        <v>Bootstrap tout</v>
      </c>
      <c r="E95" s="12" t="str">
        <f>IFERROR(__xludf.DUMMYFUNCTION("GOOGLETRANSLATE(C95, ""en"", ""sw"")"),"Bootsrap zote")</f>
        <v>Bootsrap zote</v>
      </c>
    </row>
    <row r="96" ht="14.25" customHeight="1">
      <c r="A96" s="10" t="s">
        <v>1150</v>
      </c>
      <c r="B96" s="10" t="s">
        <v>1169</v>
      </c>
      <c r="C96" s="10" t="s">
        <v>1170</v>
      </c>
      <c r="D96" s="12" t="str">
        <f>IFERROR(__xludf.DUMMYFUNCTION("GOOGLETRANSLATE(C96, ""en"", ""fr"")"),"Bootstrap adaptatif")</f>
        <v>Bootstrap adaptatif</v>
      </c>
      <c r="E96" s="12" t="str">
        <f>IFERROR(__xludf.DUMMYFUNCTION("GOOGLETRANSLATE(C96, ""en"", ""sw"")"),"Mkanda wa kufungulia unaojirekebisha")</f>
        <v>Mkanda wa kufungulia unaojirekebisha</v>
      </c>
    </row>
    <row r="97" ht="14.25" customHeight="1">
      <c r="A97" s="10" t="s">
        <v>1171</v>
      </c>
      <c r="B97" s="10" t="s">
        <v>1149</v>
      </c>
      <c r="C97" s="10" t="s">
        <v>1149</v>
      </c>
      <c r="D97" s="12" t="str">
        <f>IFERROR(__xludf.DUMMYFUNCTION("GOOGLETRANSLATE(C97, ""en"", ""fr"")"),"Travail en cours")</f>
        <v>Travail en cours</v>
      </c>
      <c r="E97" s="12" t="str">
        <f>IFERROR(__xludf.DUMMYFUNCTION("GOOGLETRANSLATE(C97, ""en"", ""sw"")"),"Kazi inayoendelea")</f>
        <v>Kazi inayoendelea</v>
      </c>
    </row>
    <row r="98" ht="14.25" customHeight="1">
      <c r="A98" s="10" t="s">
        <v>1172</v>
      </c>
      <c r="B98" s="10" t="s">
        <v>1149</v>
      </c>
      <c r="C98" s="10" t="s">
        <v>1149</v>
      </c>
      <c r="D98" s="12" t="str">
        <f>IFERROR(__xludf.DUMMYFUNCTION("GOOGLETRANSLATE(C98, ""en"", ""fr"")"),"Travail en cours")</f>
        <v>Travail en cours</v>
      </c>
      <c r="E98" s="12" t="str">
        <f>IFERROR(__xludf.DUMMYFUNCTION("GOOGLETRANSLATE(C98, ""en"", ""sw"")"),"Kazi inayoendelea")</f>
        <v>Kazi inayoendelea</v>
      </c>
    </row>
    <row r="99" ht="14.25" customHeight="1">
      <c r="A99" s="10" t="s">
        <v>1173</v>
      </c>
      <c r="B99" s="10" t="s">
        <v>1149</v>
      </c>
      <c r="C99" s="10" t="s">
        <v>1149</v>
      </c>
      <c r="D99" s="12" t="str">
        <f>IFERROR(__xludf.DUMMYFUNCTION("GOOGLETRANSLATE(C99, ""en"", ""fr"")"),"Travail en cours")</f>
        <v>Travail en cours</v>
      </c>
      <c r="E99" s="12" t="str">
        <f>IFERROR(__xludf.DUMMYFUNCTION("GOOGLETRANSLATE(C99, ""en"", ""sw"")"),"Kazi inayoendelea")</f>
        <v>Kazi inayoendelea</v>
      </c>
    </row>
    <row r="100" ht="14.25" customHeight="1">
      <c r="A100" s="10" t="s">
        <v>1174</v>
      </c>
      <c r="B100" s="10" t="s">
        <v>1175</v>
      </c>
      <c r="C100" s="10" t="s">
        <v>844</v>
      </c>
      <c r="D100" s="12" t="str">
        <f>IFERROR(__xludf.DUMMYFUNCTION("GOOGLETRANSLATE(C100, ""en"", ""fr"")"),"Forêt aléatoire")</f>
        <v>Forêt aléatoire</v>
      </c>
      <c r="E100" s="12" t="str">
        <f>IFERROR(__xludf.DUMMYFUNCTION("GOOGLETRANSLATE(C100, ""en"", ""sw"")"),"Msitu wa nasibu")</f>
        <v>Msitu wa nasibu</v>
      </c>
    </row>
    <row r="101" ht="14.25" customHeight="1">
      <c r="A101" s="10" t="s">
        <v>1174</v>
      </c>
      <c r="B101" s="10" t="s">
        <v>1176</v>
      </c>
      <c r="C101" s="10" t="s">
        <v>1177</v>
      </c>
      <c r="D101" s="12" t="str">
        <f>IFERROR(__xludf.DUMMYFUNCTION("GOOGLETRANSLATE(C101, ""en"", ""fr"")"),"Boost de gradient")</f>
        <v>Boost de gradient</v>
      </c>
      <c r="E101" s="12" t="str">
        <f>IFERROR(__xludf.DUMMYFUNCTION("GOOGLETRANSLATE(C101, ""en"", ""sw"")"),"Kuongeza nguvu ya gradient")</f>
        <v>Kuongeza nguvu ya gradient</v>
      </c>
    </row>
    <row r="102" ht="14.25" customHeight="1">
      <c r="A102" s="10" t="s">
        <v>1174</v>
      </c>
      <c r="B102" s="10" t="s">
        <v>1107</v>
      </c>
      <c r="C102" s="10" t="s">
        <v>1178</v>
      </c>
      <c r="D102" s="12" t="str">
        <f>IFERROR(__xludf.DUMMYFUNCTION("GOOGLETRANSLATE(C102, ""en"", ""fr"")"),"K voisins les plus proches")</f>
        <v>K voisins les plus proches</v>
      </c>
      <c r="E102" s="12" t="str">
        <f>IFERROR(__xludf.DUMMYFUNCTION("GOOGLETRANSLATE(C102, ""en"", ""sw"")"),"Majirani walio karibu zaidi")</f>
        <v>Majirani walio karibu zaidi</v>
      </c>
    </row>
    <row r="103" ht="14.25" customHeight="1">
      <c r="A103" s="10" t="s">
        <v>1174</v>
      </c>
      <c r="B103" s="10" t="s">
        <v>1179</v>
      </c>
      <c r="C103" s="10" t="s">
        <v>1180</v>
      </c>
      <c r="D103" s="12" t="str">
        <f>IFERROR(__xludf.DUMMYFUNCTION("GOOGLETRANSLATE(C103, ""en"", ""fr"")"),"Logistique")</f>
        <v>Logistique</v>
      </c>
      <c r="E103" s="12" t="str">
        <f>IFERROR(__xludf.DUMMYFUNCTION("GOOGLETRANSLATE(C103, ""en"", ""sw"")"),"Vifaa")</f>
        <v>Vifaa</v>
      </c>
    </row>
    <row r="104" ht="14.25" customHeight="1">
      <c r="A104" s="10" t="s">
        <v>1174</v>
      </c>
      <c r="B104" s="10" t="s">
        <v>1181</v>
      </c>
      <c r="C104" s="10" t="s">
        <v>1182</v>
      </c>
      <c r="D104" s="12" t="str">
        <f>IFERROR(__xludf.DUMMYFUNCTION("GOOGLETRANSLATE(C104, ""en"", ""fr"")"),"Modèle linéaire")</f>
        <v>Modèle linéaire</v>
      </c>
      <c r="E104" s="12" t="str">
        <f>IFERROR(__xludf.DUMMYFUNCTION("GOOGLETRANSLATE(C104, ""en"", ""sw"")"),"Mfano wa mstari")</f>
        <v>Mfano wa mstari</v>
      </c>
    </row>
    <row r="105" ht="14.25" customHeight="1">
      <c r="A105" s="10" t="s">
        <v>1183</v>
      </c>
      <c r="B105" s="10" t="s">
        <v>1175</v>
      </c>
      <c r="C105" s="10" t="s">
        <v>844</v>
      </c>
      <c r="D105" s="12" t="str">
        <f>IFERROR(__xludf.DUMMYFUNCTION("GOOGLETRANSLATE(C105, ""en"", ""fr"")"),"Forêt aléatoire")</f>
        <v>Forêt aléatoire</v>
      </c>
      <c r="E105" s="12" t="str">
        <f>IFERROR(__xludf.DUMMYFUNCTION("GOOGLETRANSLATE(C105, ""en"", ""sw"")"),"Msitu wa nasibu")</f>
        <v>Msitu wa nasibu</v>
      </c>
    </row>
    <row r="106" ht="14.25" customHeight="1">
      <c r="A106" s="10" t="s">
        <v>1183</v>
      </c>
      <c r="B106" s="10" t="s">
        <v>1176</v>
      </c>
      <c r="C106" s="10" t="s">
        <v>1177</v>
      </c>
      <c r="D106" s="12" t="str">
        <f>IFERROR(__xludf.DUMMYFUNCTION("GOOGLETRANSLATE(C106, ""en"", ""fr"")"),"Boost de gradient")</f>
        <v>Boost de gradient</v>
      </c>
      <c r="E106" s="12" t="str">
        <f>IFERROR(__xludf.DUMMYFUNCTION("GOOGLETRANSLATE(C106, ""en"", ""sw"")"),"Kuongeza nguvu ya gradient")</f>
        <v>Kuongeza nguvu ya gradient</v>
      </c>
    </row>
    <row r="107" ht="14.25" customHeight="1">
      <c r="A107" s="10" t="s">
        <v>1183</v>
      </c>
      <c r="B107" s="10" t="s">
        <v>1107</v>
      </c>
      <c r="C107" s="10" t="s">
        <v>1178</v>
      </c>
      <c r="D107" s="12" t="str">
        <f>IFERROR(__xludf.DUMMYFUNCTION("GOOGLETRANSLATE(C107, ""en"", ""fr"")"),"K voisins les plus proches")</f>
        <v>K voisins les plus proches</v>
      </c>
      <c r="E107" s="12" t="str">
        <f>IFERROR(__xludf.DUMMYFUNCTION("GOOGLETRANSLATE(C107, ""en"", ""sw"")"),"Majirani walio karibu zaidi")</f>
        <v>Majirani walio karibu zaidi</v>
      </c>
    </row>
    <row r="108" ht="14.25" customHeight="1">
      <c r="A108" s="10" t="s">
        <v>1183</v>
      </c>
      <c r="B108" s="10" t="s">
        <v>1179</v>
      </c>
      <c r="C108" s="10" t="s">
        <v>1180</v>
      </c>
      <c r="D108" s="12" t="str">
        <f>IFERROR(__xludf.DUMMYFUNCTION("GOOGLETRANSLATE(C108, ""en"", ""fr"")"),"Logistique")</f>
        <v>Logistique</v>
      </c>
      <c r="E108" s="12" t="str">
        <f>IFERROR(__xludf.DUMMYFUNCTION("GOOGLETRANSLATE(C108, ""en"", ""sw"")"),"Vifaa")</f>
        <v>Vifaa</v>
      </c>
    </row>
    <row r="109" ht="14.25" customHeight="1">
      <c r="A109" s="10" t="s">
        <v>1183</v>
      </c>
      <c r="B109" s="10" t="s">
        <v>1181</v>
      </c>
      <c r="C109" s="10" t="s">
        <v>1182</v>
      </c>
      <c r="D109" s="12" t="str">
        <f>IFERROR(__xludf.DUMMYFUNCTION("GOOGLETRANSLATE(C109, ""en"", ""fr"")"),"Modèle linéaire")</f>
        <v>Modèle linéaire</v>
      </c>
      <c r="E109" s="12" t="str">
        <f>IFERROR(__xludf.DUMMYFUNCTION("GOOGLETRANSLATE(C109, ""en"", ""sw"")"),"Mfano wa mstari")</f>
        <v>Mfano wa mstari</v>
      </c>
    </row>
    <row r="110" ht="14.25" customHeight="1">
      <c r="A110" s="10" t="s">
        <v>1184</v>
      </c>
      <c r="B110" s="10" t="s">
        <v>1185</v>
      </c>
      <c r="C110" s="10" t="s">
        <v>1186</v>
      </c>
      <c r="D110" s="12" t="str">
        <f>IFERROR(__xludf.DUMMYFUNCTION("GOOGLETRANSLATE(C110, ""en"", ""fr"")"),"Grille")</f>
        <v>Grille</v>
      </c>
      <c r="E110" s="12" t="str">
        <f>IFERROR(__xludf.DUMMYFUNCTION("GOOGLETRANSLATE(C110, ""en"", ""sw"")"),"Gridi")</f>
        <v>Gridi</v>
      </c>
    </row>
    <row r="111" ht="14.25" customHeight="1">
      <c r="A111" s="10" t="s">
        <v>1184</v>
      </c>
      <c r="B111" s="10" t="s">
        <v>1120</v>
      </c>
      <c r="C111" s="10" t="s">
        <v>1187</v>
      </c>
      <c r="D111" s="12" t="str">
        <f>IFERROR(__xludf.DUMMYFUNCTION("GOOGLETRANSLATE(C111, ""en"", ""fr"")"),"Aléatoire")</f>
        <v>Aléatoire</v>
      </c>
      <c r="E111" s="12" t="str">
        <f>IFERROR(__xludf.DUMMYFUNCTION("GOOGLETRANSLATE(C111, ""en"", ""sw"")"),"Nasibu")</f>
        <v>Nasibu</v>
      </c>
    </row>
    <row r="112" ht="14.25" customHeight="1">
      <c r="A112" s="10" t="s">
        <v>1188</v>
      </c>
      <c r="B112" s="10" t="s">
        <v>1179</v>
      </c>
      <c r="C112" s="10" t="s">
        <v>1189</v>
      </c>
      <c r="D112" s="12" t="str">
        <f>IFERROR(__xludf.DUMMYFUNCTION("GOOGLETRANSLATE(C112, ""en"", ""fr"")"),"Modèle logistique")</f>
        <v>Modèle logistique</v>
      </c>
      <c r="E112" s="12" t="str">
        <f>IFERROR(__xludf.DUMMYFUNCTION("GOOGLETRANSLATE(C112, ""en"", ""sw"")"),"Mfano wa vifaa")</f>
        <v>Mfano wa vifaa</v>
      </c>
    </row>
    <row r="113" ht="14.25" customHeight="1">
      <c r="A113" s="10" t="s">
        <v>1190</v>
      </c>
      <c r="B113" s="10" t="s">
        <v>1181</v>
      </c>
      <c r="C113" s="10" t="s">
        <v>1182</v>
      </c>
      <c r="D113" s="12" t="str">
        <f>IFERROR(__xludf.DUMMYFUNCTION("GOOGLETRANSLATE(C113, ""en"", ""fr"")"),"Modèle linéaire")</f>
        <v>Modèle linéaire</v>
      </c>
      <c r="E113" s="12" t="str">
        <f>IFERROR(__xludf.DUMMYFUNCTION("GOOGLETRANSLATE(C113, ""en"", ""sw"")"),"Mfano wa mstari")</f>
        <v>Mfano wa mstari</v>
      </c>
    </row>
    <row r="114" ht="14.25" customHeight="1">
      <c r="A114" s="10" t="s">
        <v>1191</v>
      </c>
      <c r="B114" s="13" t="s">
        <v>1192</v>
      </c>
      <c r="C114" s="10" t="s">
        <v>1193</v>
      </c>
      <c r="D114" s="12" t="str">
        <f>IFERROR(__xludf.DUMMYFUNCTION("GOOGLETRANSLATE(C114, ""en"", ""fr"")"),"Modèle logistique multinomial")</f>
        <v>Modèle logistique multinomial</v>
      </c>
      <c r="E114" s="12" t="str">
        <f>IFERROR(__xludf.DUMMYFUNCTION("GOOGLETRANSLATE(C114, ""en"", ""sw"")"),"Mfano wa vifaa vingi")</f>
        <v>Mfano wa vifaa vingi</v>
      </c>
    </row>
    <row r="115" ht="14.25" customHeight="1">
      <c r="A115" s="10" t="s">
        <v>355</v>
      </c>
      <c r="B115" s="13" t="s">
        <v>1194</v>
      </c>
      <c r="C115" s="10" t="b">
        <v>1</v>
      </c>
      <c r="D115" s="12" t="str">
        <f>IFERROR(__xludf.DUMMYFUNCTION("GOOGLETRANSLATE(C115, ""en"", ""fr"")"),"VRAI")</f>
        <v>VRAI</v>
      </c>
      <c r="E115" s="12" t="str">
        <f>IFERROR(__xludf.DUMMYFUNCTION("GOOGLETRANSLATE(C115, ""en"", ""sw"")"),"KWELI")</f>
        <v>KWELI</v>
      </c>
    </row>
    <row r="116" ht="14.25" customHeight="1">
      <c r="A116" s="10" t="s">
        <v>355</v>
      </c>
      <c r="B116" s="13" t="s">
        <v>1195</v>
      </c>
      <c r="C116" s="10" t="b">
        <v>0</v>
      </c>
      <c r="D116" s="12" t="str">
        <f>IFERROR(__xludf.DUMMYFUNCTION("GOOGLETRANSLATE(C116, ""en"", ""fr"")"),"FAUX")</f>
        <v>FAUX</v>
      </c>
      <c r="E116" s="12" t="str">
        <f>IFERROR(__xludf.DUMMYFUNCTION("GOOGLETRANSLATE(C116, ""en"", ""sw"")"),"UONGO")</f>
        <v>UONGO</v>
      </c>
    </row>
    <row r="117" ht="14.25" customHeight="1">
      <c r="A117" s="10" t="s">
        <v>359</v>
      </c>
      <c r="B117" s="10" t="s">
        <v>1175</v>
      </c>
      <c r="C117" s="10" t="s">
        <v>1196</v>
      </c>
      <c r="D117" s="12" t="str">
        <f>IFERROR(__xludf.DUMMYFUNCTION("GOOGLETRANSLATE(C117, ""en"", ""fr"")"),"Forêt aléatoire")</f>
        <v>Forêt aléatoire</v>
      </c>
      <c r="E117" s="12" t="str">
        <f>IFERROR(__xludf.DUMMYFUNCTION("GOOGLETRANSLATE(C117, ""en"", ""sw"")"),"Msitu Bila Kupangwa")</f>
        <v>Msitu Bila Kupangwa</v>
      </c>
    </row>
    <row r="118" ht="14.25" customHeight="1">
      <c r="A118" s="10" t="s">
        <v>1197</v>
      </c>
      <c r="B118" s="10" t="s">
        <v>1176</v>
      </c>
      <c r="C118" s="10" t="s">
        <v>1198</v>
      </c>
      <c r="D118" s="12" t="str">
        <f>IFERROR(__xludf.DUMMYFUNCTION("GOOGLETRANSLATE(C118, ""en"", ""fr"")"),"Machine de boosting de gradient")</f>
        <v>Machine de boosting de gradient</v>
      </c>
      <c r="E118" s="12" t="str">
        <f>IFERROR(__xludf.DUMMYFUNCTION("GOOGLETRANSLATE(C118, ""en"", ""sw"")"),"Mashine ya kuongeza nguvu ya gradient")</f>
        <v>Mashine ya kuongeza nguvu ya gradient</v>
      </c>
    </row>
    <row r="119" ht="14.25" customHeight="1">
      <c r="A119" s="10" t="s">
        <v>1199</v>
      </c>
      <c r="B119" s="10" t="s">
        <v>1200</v>
      </c>
      <c r="C119" s="10" t="s">
        <v>1201</v>
      </c>
      <c r="D119" s="12" t="str">
        <f>IFERROR(__xludf.DUMMYFUNCTION("GOOGLETRANSLATE(C119, ""en"", ""fr"")"),"Boost de gradient extrême")</f>
        <v>Boost de gradient extrême</v>
      </c>
      <c r="E119" s="12" t="str">
        <f>IFERROR(__xludf.DUMMYFUNCTION("GOOGLETRANSLATE(C119, ""en"", ""sw"")"),"Kuongeza Ubora wa Kinanda kwa Kiwango Kikubwa")</f>
        <v>Kuongeza Ubora wa Kinanda kwa Kiwango Kikubwa</v>
      </c>
    </row>
    <row r="120" ht="14.25" customHeight="1">
      <c r="A120" s="10" t="s">
        <v>1202</v>
      </c>
      <c r="B120" s="10" t="s">
        <v>1203</v>
      </c>
      <c r="C120" s="10" t="s">
        <v>1204</v>
      </c>
      <c r="D120" s="12" t="str">
        <f>IFERROR(__xludf.DUMMYFUNCTION("GOOGLETRANSLATE(C120, ""en"", ""fr"")"),"Boost de gradient extrême (pénalisé)")</f>
        <v>Boost de gradient extrême (pénalisé)</v>
      </c>
      <c r="E120" s="12" t="str">
        <f>IFERROR(__xludf.DUMMYFUNCTION("GOOGLETRANSLATE(C120, ""en"", ""sw"")"),"Kuongeza Ubora wa Kina (Kuadhibiwa)")</f>
        <v>Kuongeza Ubora wa Kina (Kuadhibiwa)</v>
      </c>
    </row>
    <row r="121" ht="14.25" customHeight="1">
      <c r="A121" s="10" t="s">
        <v>1205</v>
      </c>
      <c r="B121" s="10" t="s">
        <v>1206</v>
      </c>
      <c r="C121" s="10" t="s">
        <v>1207</v>
      </c>
      <c r="D121" s="12" t="str">
        <f>IFERROR(__xludf.DUMMYFUNCTION("GOOGLETRANSLATE(C121, ""en"", ""fr"")"),"SVM (Noyau de fonction de base radiale)")</f>
        <v>SVM (Noyau de fonction de base radiale)</v>
      </c>
      <c r="E121" s="12" t="str">
        <f>IFERROR(__xludf.DUMMYFUNCTION("GOOGLETRANSLATE(C121, ""en"", ""sw"")"),"SVM (Kiini cha Kazi cha Msingi wa Radial)")</f>
        <v>SVM (Kiini cha Kazi cha Msingi wa Radial)</v>
      </c>
    </row>
    <row r="122" ht="14.25" customHeight="1">
      <c r="A122" s="10" t="s">
        <v>1208</v>
      </c>
      <c r="B122" s="10" t="s">
        <v>1209</v>
      </c>
      <c r="C122" s="10" t="s">
        <v>1210</v>
      </c>
      <c r="D122" s="12" t="str">
        <f>IFERROR(__xludf.DUMMYFUNCTION("GOOGLETRANSLATE(C122, ""en"", ""fr"")"),"SVM régularisé (dual) avec noyau linéaire")</f>
        <v>SVM régularisé (dual) avec noyau linéaire</v>
      </c>
      <c r="E122" s="12" t="str">
        <f>IFERROR(__xludf.DUMMYFUNCTION("GOOGLETRANSLATE(C122, ""en"", ""sw"")"),"SVM iliyorekebishwa (mbili) kwa kutumia Linear Kernel")</f>
        <v>SVM iliyorekebishwa (mbili) kwa kutumia Linear Kernel</v>
      </c>
    </row>
    <row r="123" ht="14.25" customHeight="1">
      <c r="A123" s="10" t="s">
        <v>1211</v>
      </c>
      <c r="B123" s="10" t="s">
        <v>1212</v>
      </c>
      <c r="C123" s="10" t="s">
        <v>1213</v>
      </c>
      <c r="D123" s="12" t="str">
        <f>IFERROR(__xludf.DUMMYFUNCTION("GOOGLETRANSLATE(C123, ""en"", ""fr"")"),"SVM avec noyau polynomial")</f>
        <v>SVM avec noyau polynomial</v>
      </c>
      <c r="E123" s="12" t="str">
        <f>IFERROR(__xludf.DUMMYFUNCTION("GOOGLETRANSLATE(C123, ""en"", ""sw"")"),"SVM yenye Kiini cha Polynomial")</f>
        <v>SVM yenye Kiini cha Polynomial</v>
      </c>
    </row>
    <row r="124" ht="14.25" customHeight="1">
      <c r="A124" s="10" t="s">
        <v>1214</v>
      </c>
      <c r="B124" s="10" t="s">
        <v>1215</v>
      </c>
      <c r="C124" s="10" t="s">
        <v>1216</v>
      </c>
      <c r="D124" s="12" t="str">
        <f>IFERROR(__xludf.DUMMYFUNCTION("GOOGLETRANSLATE(C124, ""en"", ""fr"")"),"Filet élastique")</f>
        <v>Filet élastique</v>
      </c>
      <c r="E124" s="12" t="str">
        <f>IFERROR(__xludf.DUMMYFUNCTION("GOOGLETRANSLATE(C124, ""en"", ""sw"")"),"Wavu ya elastic")</f>
        <v>Wavu ya elastic</v>
      </c>
    </row>
    <row r="125" ht="14.25" customHeight="1">
      <c r="A125" s="10" t="s">
        <v>1217</v>
      </c>
      <c r="B125" s="10" t="s">
        <v>1215</v>
      </c>
      <c r="C125" s="10" t="s">
        <v>1218</v>
      </c>
      <c r="D125" s="12" t="str">
        <f>IFERROR(__xludf.DUMMYFUNCTION("GOOGLETRANSLATE(C125, ""en"", ""fr"")"),"LASSO")</f>
        <v>LASSO</v>
      </c>
      <c r="E125" s="12" t="str">
        <f>IFERROR(__xludf.DUMMYFUNCTION("GOOGLETRANSLATE(C125, ""en"", ""sw"")"),"LASSO")</f>
        <v>LASSO</v>
      </c>
    </row>
    <row r="126" ht="14.25" customHeight="1">
      <c r="A126" s="10" t="s">
        <v>1219</v>
      </c>
      <c r="B126" s="10" t="s">
        <v>1215</v>
      </c>
      <c r="C126" s="10" t="s">
        <v>1220</v>
      </c>
      <c r="D126" s="12" t="str">
        <f>IFERROR(__xludf.DUMMYFUNCTION("GOOGLETRANSLATE(C126, ""en"", ""fr"")"),"Crête")</f>
        <v>Crête</v>
      </c>
      <c r="E126" s="12" t="str">
        <f>IFERROR(__xludf.DUMMYFUNCTION("GOOGLETRANSLATE(C126, ""en"", ""sw"")"),"Ukingo")</f>
        <v>Ukingo</v>
      </c>
    </row>
    <row r="127" ht="14.25" customHeight="1">
      <c r="A127" s="10" t="s">
        <v>1221</v>
      </c>
      <c r="B127" s="10" t="s">
        <v>1107</v>
      </c>
      <c r="C127" s="10" t="s">
        <v>1222</v>
      </c>
      <c r="D127" s="12" t="str">
        <f>IFERROR(__xludf.DUMMYFUNCTION("GOOGLETRANSLATE(C127, ""en"", ""fr"")"),"voisins les plus proches")</f>
        <v>voisins les plus proches</v>
      </c>
      <c r="E127" s="12" t="str">
        <f>IFERROR(__xludf.DUMMYFUNCTION("GOOGLETRANSLATE(C127, ""en"", ""sw"")"),"Majirani Walio Karibu Zaidi")</f>
        <v>Majirani Walio Karibu Zaidi</v>
      </c>
    </row>
    <row r="128" ht="14.25" customHeight="1">
      <c r="A128" s="10" t="s">
        <v>1223</v>
      </c>
      <c r="B128" s="10" t="s">
        <v>1224</v>
      </c>
      <c r="C128" s="10" t="s">
        <v>1225</v>
      </c>
      <c r="D128" s="12" t="str">
        <f>IFERROR(__xludf.DUMMYFUNCTION("GOOGLETRANSLATE(C128, ""en"", ""fr"")"),"Réseau neuronal")</f>
        <v>Réseau neuronal</v>
      </c>
      <c r="E128" s="12" t="str">
        <f>IFERROR(__xludf.DUMMYFUNCTION("GOOGLETRANSLATE(C128, ""en"", ""sw"")"),"Mtandao wa Neva")</f>
        <v>Mtandao wa Neva</v>
      </c>
    </row>
    <row r="129" ht="14.25" customHeight="1">
      <c r="A129" s="10" t="s">
        <v>38</v>
      </c>
      <c r="B129" s="10" t="s">
        <v>1226</v>
      </c>
      <c r="C129" s="10" t="s">
        <v>1227</v>
      </c>
      <c r="D129" s="12" t="str">
        <f>IFERROR(__xludf.DUMMYFUNCTION("GOOGLETRANSLATE(C129, ""en"", ""fr"")"),"Par défaut (thème_gris)")</f>
        <v>Par défaut (thème_gris)</v>
      </c>
      <c r="E129" s="12" t="str">
        <f>IFERROR(__xludf.DUMMYFUNCTION("GOOGLETRANSLATE(C129, ""en"", ""sw"")"),"Chaguo-msingi (theme_grey)")</f>
        <v>Chaguo-msingi (theme_grey)</v>
      </c>
    </row>
    <row r="130" ht="14.25" customHeight="1">
      <c r="A130" s="10" t="s">
        <v>38</v>
      </c>
      <c r="B130" s="10" t="s">
        <v>1228</v>
      </c>
      <c r="C130" s="10" t="s">
        <v>1229</v>
      </c>
      <c r="D130" s="12" t="str">
        <f>IFERROR(__xludf.DUMMYFUNCTION("GOOGLETRANSLATE(C130, ""en"", ""fr"")"),"Noir et blanc (thème_bw)")</f>
        <v>Noir et blanc (thème_bw)</v>
      </c>
      <c r="E130" s="12" t="str">
        <f>IFERROR(__xludf.DUMMYFUNCTION("GOOGLETRANSLATE(C130, ""en"", ""sw"")"),"Nyeusi na Nyeupe (theme_bw)")</f>
        <v>Nyeusi na Nyeupe (theme_bw)</v>
      </c>
    </row>
    <row r="131" ht="14.25" customHeight="1">
      <c r="A131" s="10" t="s">
        <v>38</v>
      </c>
      <c r="B131" s="10" t="s">
        <v>1230</v>
      </c>
      <c r="C131" s="10" t="s">
        <v>1231</v>
      </c>
      <c r="D131" s="12" t="str">
        <f>IFERROR(__xludf.DUMMYFUNCTION("GOOGLETRANSLATE(C131, ""en"", ""fr"")"),"Classique (theme_classic)")</f>
        <v>Classique (theme_classic)</v>
      </c>
      <c r="E131" s="12" t="str">
        <f>IFERROR(__xludf.DUMMYFUNCTION("GOOGLETRANSLATE(C131, ""en"", ""sw"")"),"Zamani (zamani_za_mada)")</f>
        <v>Zamani (zamani_za_mada)</v>
      </c>
    </row>
    <row r="132" ht="14.25" customHeight="1">
      <c r="A132" s="10" t="s">
        <v>38</v>
      </c>
      <c r="B132" s="10" t="s">
        <v>1232</v>
      </c>
      <c r="C132" s="10" t="s">
        <v>1233</v>
      </c>
      <c r="D132" s="12" t="str">
        <f>IFERROR(__xludf.DUMMYFUNCTION("GOOGLETRANSLATE(C132, ""en"", ""fr"")"),"Minimal (theme_minimal)")</f>
        <v>Minimal (theme_minimal)</v>
      </c>
      <c r="E132" s="12" t="str">
        <f>IFERROR(__xludf.DUMMYFUNCTION("GOOGLETRANSLATE(C132, ""en"", ""sw"")"),"Kidogo (kidogo_cha mandhari)")</f>
        <v>Kidogo (kidogo_cha mandhari)</v>
      </c>
    </row>
    <row r="133" ht="14.25" customHeight="1">
      <c r="A133" s="10" t="s">
        <v>38</v>
      </c>
      <c r="B133" s="10" t="s">
        <v>1234</v>
      </c>
      <c r="C133" s="10" t="s">
        <v>1235</v>
      </c>
      <c r="D133" s="12" t="str">
        <f>IFERROR(__xludf.DUMMYFUNCTION("GOOGLETRANSLATE(C133, ""en"", ""fr"")"),"Lumière (thème_lumière)")</f>
        <v>Lumière (thème_lumière)</v>
      </c>
      <c r="E133" s="12" t="str">
        <f>IFERROR(__xludf.DUMMYFUNCTION("GOOGLETRANSLATE(C133, ""en"", ""sw"")"),"Mwanga (mwanga_wa_mandhari)")</f>
        <v>Mwanga (mwanga_wa_mandhari)</v>
      </c>
    </row>
    <row r="134" ht="14.25" customHeight="1">
      <c r="A134" s="10" t="s">
        <v>38</v>
      </c>
      <c r="B134" s="10" t="s">
        <v>1236</v>
      </c>
      <c r="C134" s="10" t="s">
        <v>1237</v>
      </c>
      <c r="D134" s="12" t="str">
        <f>IFERROR(__xludf.DUMMYFUNCTION("GOOGLETRANSLATE(C134, ""en"", ""fr"")"),"Sombre (thème_sombre)")</f>
        <v>Sombre (thème_sombre)</v>
      </c>
      <c r="E134" s="12" t="str">
        <f>IFERROR(__xludf.DUMMYFUNCTION("GOOGLETRANSLATE(C134, ""en"", ""sw"")"),"Giza (theme_giza)")</f>
        <v>Giza (theme_giza)</v>
      </c>
    </row>
    <row r="135" ht="14.25" customHeight="1">
      <c r="A135" s="10" t="s">
        <v>38</v>
      </c>
      <c r="B135" s="10" t="s">
        <v>1238</v>
      </c>
      <c r="C135" s="10" t="s">
        <v>1239</v>
      </c>
      <c r="D135" s="12" t="str">
        <f>IFERROR(__xludf.DUMMYFUNCTION("GOOGLETRANSLATE(C135, ""en"", ""fr"")"),"Dessin au trait (thème_dessin au trait)")</f>
        <v>Dessin au trait (thème_dessin au trait)</v>
      </c>
      <c r="E135" s="12" t="str">
        <f>IFERROR(__xludf.DUMMYFUNCTION("GOOGLETRANSLATE(C135, ""en"", ""sw"")"),"Mchoro wa mstari (mchoro_wa_mstari wa mandhari)")</f>
        <v>Mchoro wa mstari (mchoro_wa_mstari wa mandhari)</v>
      </c>
    </row>
    <row r="136" ht="14.25" customHeight="1">
      <c r="A136" s="10" t="s">
        <v>38</v>
      </c>
      <c r="B136" s="10" t="s">
        <v>1240</v>
      </c>
      <c r="C136" s="10" t="s">
        <v>1241</v>
      </c>
      <c r="D136" s="12" t="str">
        <f>IFERROR(__xludf.DUMMYFUNCTION("GOOGLETRANSLATE(C136, ""en"", ""fr"")"),"Vide (theme_void)")</f>
        <v>Vide (theme_void)</v>
      </c>
      <c r="E136" s="12" t="str">
        <f>IFERROR(__xludf.DUMMYFUNCTION("GOOGLETRANSLATE(C136, ""en"", ""sw"")"),"Batili (mandhari_batili)")</f>
        <v>Batili (mandhari_batili)</v>
      </c>
    </row>
    <row r="137" ht="14.25" customHeight="1">
      <c r="A137" s="10" t="s">
        <v>38</v>
      </c>
      <c r="B137" s="10" t="s">
        <v>1242</v>
      </c>
      <c r="C137" s="10" t="s">
        <v>1243</v>
      </c>
      <c r="D137" s="12" t="str">
        <f>IFERROR(__xludf.DUMMYFUNCTION("GOOGLETRANSLATE(C137, ""en"", ""fr"")"),"Test (theme_test)")</f>
        <v>Test (theme_test)</v>
      </c>
      <c r="E137" s="12" t="str">
        <f>IFERROR(__xludf.DUMMYFUNCTION("GOOGLETRANSLATE(C137, ""en"", ""sw"")"),"Jaribio (jaribio_la_mandhari)")</f>
        <v>Jaribio (jaribio_la_mandhari)</v>
      </c>
    </row>
    <row r="138" ht="14.25" customHeight="1">
      <c r="A138" s="10" t="s">
        <v>411</v>
      </c>
      <c r="B138" s="10" t="s">
        <v>1012</v>
      </c>
      <c r="C138" s="10" t="s">
        <v>1244</v>
      </c>
      <c r="D138" s="12" t="str">
        <f>IFERROR(__xludf.DUMMYFUNCTION("GOOGLETRANSLATE(C138, ""en"", ""fr"")"),"Tous les modèles")</f>
        <v>Tous les modèles</v>
      </c>
      <c r="E138" s="12" t="str">
        <f>IFERROR(__xludf.DUMMYFUNCTION("GOOGLETRANSLATE(C138, ""en"", ""sw"")"),"Mifumo yote")</f>
        <v>Mifumo yote</v>
      </c>
    </row>
    <row r="139" ht="14.25" customHeight="1">
      <c r="A139" s="10" t="s">
        <v>411</v>
      </c>
      <c r="B139" s="10" t="s">
        <v>1245</v>
      </c>
      <c r="C139" s="10" t="s">
        <v>1245</v>
      </c>
      <c r="D139" s="12" t="str">
        <f>IFERROR(__xludf.DUMMYFUNCTION("GOOGLETRANSLATE(C139, ""en"", ""fr"")"),"Modèles sélectionnés")</f>
        <v>Modèles sélectionnés</v>
      </c>
      <c r="E139" s="12" t="str">
        <f>IFERROR(__xludf.DUMMYFUNCTION("GOOGLETRANSLATE(C139, ""en"", ""sw"")"),"Chagua miundo")</f>
        <v>Chagua miundo</v>
      </c>
    </row>
    <row r="140" ht="14.25" customHeight="1">
      <c r="A140" s="10" t="s">
        <v>442</v>
      </c>
      <c r="B140" s="10" t="s">
        <v>7</v>
      </c>
      <c r="C140" s="10" t="s">
        <v>507</v>
      </c>
      <c r="D140" s="12" t="str">
        <f>IFERROR(__xludf.DUMMYFUNCTION("GOOGLETRANSLATE(C140, ""en"", ""fr"")"),"Téléverser un fichier")</f>
        <v>Téléverser un fichier</v>
      </c>
      <c r="E140" s="12" t="str">
        <f>IFERROR(__xludf.DUMMYFUNCTION("GOOGLETRANSLATE(C140, ""en"", ""sw"")"),"Pakia faili")</f>
        <v>Pakia faili</v>
      </c>
    </row>
    <row r="141" ht="14.25" customHeight="1">
      <c r="A141" s="10" t="s">
        <v>442</v>
      </c>
      <c r="B141" s="10" t="s">
        <v>1246</v>
      </c>
      <c r="C141" s="10" t="s">
        <v>1247</v>
      </c>
      <c r="D141" s="12" t="str">
        <f>IFERROR(__xludf.DUMMYFUNCTION("GOOGLETRANSLATE(C141, ""en"", ""fr"")"),"Utilisez le formulaire")</f>
        <v>Utilisez le formulaire</v>
      </c>
      <c r="E141" s="12" t="str">
        <f>IFERROR(__xludf.DUMMYFUNCTION("GOOGLETRANSLATE(C141, ""en"", ""sw"")"),"Tumia fomu")</f>
        <v>Tumia fomu</v>
      </c>
    </row>
    <row r="142" ht="14.25" customHeight="1">
      <c r="A142" s="10" t="s">
        <v>1248</v>
      </c>
      <c r="B142" s="10" t="s">
        <v>1249</v>
      </c>
      <c r="C142" s="10" t="s">
        <v>1250</v>
      </c>
      <c r="D142" s="12" t="str">
        <f>IFERROR(__xludf.DUMMYFUNCTION("GOOGLETRANSLATE(C142, ""en"", ""fr"")"),"Chariot à sacs")</f>
        <v>Chariot à sacs</v>
      </c>
      <c r="E142" s="12" t="str">
        <f>IFERROR(__xludf.DUMMYFUNCTION("GOOGLETRANSLATE(C142, ""en"", ""sw"")"),"KIKOKOTO kilichowekwa kwenye mifuko")</f>
        <v>KIKOKOTO kilichowekwa kwenye mifuko</v>
      </c>
    </row>
    <row r="143" ht="14.25" customHeight="1">
      <c r="A143" s="10" t="s">
        <v>1251</v>
      </c>
      <c r="B143" s="10" t="s">
        <v>1252</v>
      </c>
      <c r="C143" s="10" t="s">
        <v>1253</v>
      </c>
      <c r="D143" s="12" t="str">
        <f>IFERROR(__xludf.DUMMYFUNCTION("GOOGLETRANSLATE(C143, ""en"", ""fr"")"),"Réseau neuronal moyenné par modèle")</f>
        <v>Réseau neuronal moyenné par modèle</v>
      </c>
      <c r="E143" s="12" t="str">
        <f>IFERROR(__xludf.DUMMYFUNCTION("GOOGLETRANSLATE(C143, ""en"", ""sw"")"),"Mtandao wa Neva wa Wastani wa Mfano")</f>
        <v>Mtandao wa Neva wa Wastani wa Mfano</v>
      </c>
    </row>
    <row r="144" ht="14.25" customHeight="1">
      <c r="A144" s="10" t="s">
        <v>494</v>
      </c>
      <c r="B144" s="13" t="s">
        <v>1194</v>
      </c>
      <c r="C144" s="10" t="b">
        <v>1</v>
      </c>
      <c r="D144" s="12" t="str">
        <f>IFERROR(__xludf.DUMMYFUNCTION("GOOGLETRANSLATE(C144, ""en"", ""fr"")"),"VRAI")</f>
        <v>VRAI</v>
      </c>
      <c r="E144" s="12" t="str">
        <f>IFERROR(__xludf.DUMMYFUNCTION("GOOGLETRANSLATE(C144, ""en"", ""sw"")"),"KWELI")</f>
        <v>KWELI</v>
      </c>
    </row>
    <row r="145" ht="14.25" customHeight="1">
      <c r="A145" s="10" t="s">
        <v>494</v>
      </c>
      <c r="B145" s="13" t="s">
        <v>1195</v>
      </c>
      <c r="C145" s="10" t="b">
        <v>0</v>
      </c>
      <c r="D145" s="12" t="str">
        <f>IFERROR(__xludf.DUMMYFUNCTION("GOOGLETRANSLATE(C145, ""en"", ""fr"")"),"FAUX")</f>
        <v>FAUX</v>
      </c>
      <c r="E145" s="12" t="str">
        <f>IFERROR(__xludf.DUMMYFUNCTION("GOOGLETRANSLATE(C145, ""en"", ""sw"")"),"UONGO")</f>
        <v>UONGO</v>
      </c>
    </row>
    <row r="146" ht="14.25" customHeight="1">
      <c r="A146" s="10" t="s">
        <v>1254</v>
      </c>
      <c r="B146" s="10" t="s">
        <v>1255</v>
      </c>
      <c r="C146" s="10" t="s">
        <v>1256</v>
      </c>
      <c r="D146" s="12" t="str">
        <f>IFERROR(__xludf.DUMMYFUNCTION("GOOGLETRANSLATE(C146, ""en"", ""fr"")"),"Moindres carrés partiels")</f>
        <v>Moindres carrés partiels</v>
      </c>
      <c r="E146" s="12" t="str">
        <f>IFERROR(__xludf.DUMMYFUNCTION("GOOGLETRANSLATE(C146, ""en"", ""sw"")"),"Viwanja Vidogo vya Sehemu")</f>
        <v>Viwanja Vidogo vya Sehemu</v>
      </c>
    </row>
    <row r="147" ht="14.25" customHeight="1">
      <c r="A147" s="10" t="s">
        <v>1257</v>
      </c>
      <c r="B147" s="10" t="s">
        <v>1258</v>
      </c>
      <c r="C147" s="10" t="s">
        <v>1259</v>
      </c>
      <c r="D147" s="12" t="str">
        <f>IFERROR(__xludf.DUMMYFUNCTION("GOOGLETRANSLATE(C147, ""en"", ""fr"")"),"Modèle additif généralisé utilisant des splines")</f>
        <v>Modèle additif généralisé utilisant des splines</v>
      </c>
      <c r="E147" s="12" t="str">
        <f>IFERROR(__xludf.DUMMYFUNCTION("GOOGLETRANSLATE(C147, ""en"", ""sw"")"),"Mfano wa Nyongeza wa Jumla kwa kutumia Splines")</f>
        <v>Mfano wa Nyongeza wa Jumla kwa kutumia Splines</v>
      </c>
    </row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2" t="s">
        <v>1260</v>
      </c>
    </row>
    <row r="2" ht="14.25" customHeight="1">
      <c r="A2" s="12" t="s">
        <v>1261</v>
      </c>
    </row>
    <row r="3" ht="14.25" customHeight="1">
      <c r="A3" s="12" t="s">
        <v>1262</v>
      </c>
    </row>
    <row r="4" ht="14.25" customHeight="1">
      <c r="A4" s="12" t="s">
        <v>1263</v>
      </c>
    </row>
    <row r="5" ht="14.25" customHeight="1">
      <c r="A5" s="12" t="s">
        <v>1264</v>
      </c>
    </row>
    <row r="6" ht="14.25" customHeight="1">
      <c r="A6" s="12" t="s">
        <v>1265</v>
      </c>
    </row>
    <row r="7" ht="14.25" customHeight="1">
      <c r="A7" s="12" t="s">
        <v>1266</v>
      </c>
    </row>
    <row r="8" ht="14.25" customHeight="1">
      <c r="A8" s="12" t="s">
        <v>1267</v>
      </c>
    </row>
    <row r="9" ht="14.25" customHeight="1">
      <c r="A9" s="12" t="s">
        <v>1268</v>
      </c>
    </row>
    <row r="10" ht="14.25" customHeight="1">
      <c r="A10" s="12" t="s">
        <v>1269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2" t="s">
        <v>1270</v>
      </c>
    </row>
    <row r="2" ht="14.25" customHeight="1">
      <c r="A2" s="12" t="s">
        <v>1018</v>
      </c>
    </row>
    <row r="3" ht="14.25" customHeight="1">
      <c r="A3" s="12" t="s">
        <v>1017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0" t="s">
        <v>999</v>
      </c>
      <c r="B1" s="10" t="s">
        <v>1271</v>
      </c>
    </row>
    <row r="2">
      <c r="A2" s="10" t="s">
        <v>1272</v>
      </c>
      <c r="B2" s="10" t="s">
        <v>1273</v>
      </c>
    </row>
    <row r="3">
      <c r="A3" s="10" t="s">
        <v>1274</v>
      </c>
      <c r="B3" s="10" t="s">
        <v>1275</v>
      </c>
    </row>
    <row r="4">
      <c r="A4" s="10" t="s">
        <v>251</v>
      </c>
      <c r="B4" s="10" t="s">
        <v>1276</v>
      </c>
    </row>
    <row r="5">
      <c r="A5" s="10" t="s">
        <v>247</v>
      </c>
      <c r="B5" s="10" t="s">
        <v>1277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