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45YdJJ9RvM7AgINvdAPUTPV/g4RisZcmmGjotIN8mK4="/>
    </ext>
  </extLst>
</workbook>
</file>

<file path=xl/sharedStrings.xml><?xml version="1.0" encoding="utf-8"?>
<sst xmlns="http://schemas.openxmlformats.org/spreadsheetml/2006/main" count="1533" uniqueCount="1268">
  <si>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</si>
  <si>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</si>
  <si>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</si>
  <si>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</si>
  <si>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</si>
  <si>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</si>
  <si>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</si>
  <si>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</si>
  <si>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</si>
  <si>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</si>
  <si>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</si>
  <si>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</si>
  <si>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</si>
  <si>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</si>
  <si>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</si>
  <si>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</si>
  <si>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</si>
  <si>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</si>
  <si>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</si>
  <si>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</si>
  <si>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</si>
  <si>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</si>
  <si>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</si>
  <si>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</si>
  <si>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</si>
  <si>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</si>
  <si>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</si>
  <si>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</si>
  <si>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</si>
  <si>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</si>
  <si>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</si>
  <si>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</si>
  <si>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</si>
  <si>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</si>
  <si>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</si>
  <si>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</si>
  <si>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</si>
  <si>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</si>
  <si>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</si>
  <si>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</si>
  <si>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</si>
  <si>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</si>
  <si>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</si>
  <si>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</si>
  <si>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</si>
  <si>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</si>
  <si>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</si>
  <si>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</si>
  <si>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</si>
  <si>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</si>
  <si>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</si>
  <si>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</si>
  <si>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</si>
  <si>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</si>
  <si>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</si>
  <si>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</si>
  <si>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</si>
  <si>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</si>
  <si>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</si>
  <si>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</si>
  <si>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</si>
  <si>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</si>
  <si>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</si>
  <si>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</si>
  <si>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</si>
  <si>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</si>
  <si>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</si>
  <si>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</si>
  <si>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</si>
  <si>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</si>
  <si>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</si>
  <si>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</si>
  <si>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</si>
  <si>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</si>
  <si>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</si>
  <si>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</si>
  <si>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</si>
  <si>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</si>
  <si>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</si>
  <si>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</si>
  <si>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</si>
  <si>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</si>
  <si>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</si>
  <si>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</si>
  <si>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</si>
  <si>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</si>
  <si>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</si>
  <si>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</si>
  <si>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</si>
  <si>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</si>
  <si>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</si>
  <si>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</si>
  <si>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</si>
  <si>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</si>
  <si>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</si>
  <si>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</si>
  <si>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</si>
  <si>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</si>
  <si>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</si>
  <si>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</si>
  <si>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</si>
  <si>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</si>
  <si>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</si>
  <si>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</si>
  <si>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</si>
  <si>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</si>
  <si>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</si>
  <si>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</si>
  <si>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</si>
  <si>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</si>
  <si>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</si>
  <si>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</si>
  <si>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</si>
  <si>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</si>
  <si>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</si>
  <si>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</si>
  <si>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</si>
  <si>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</si>
  <si>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</si>
  <si>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</si>
  <si>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</si>
  <si>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</si>
  <si>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</si>
  <si>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</si>
  <si>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</si>
  <si>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</si>
  <si>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</si>
  <si>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</si>
  <si>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</si>
  <si>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</si>
  <si>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</si>
  <si>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</si>
  <si>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</si>
  <si>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</si>
  <si>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</si>
  <si>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</si>
  <si>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</si>
  <si>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</si>
  <si>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</si>
  <si>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</si>
  <si>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</si>
  <si>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</si>
  <si>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</si>
  <si>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</si>
  <si>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</si>
  <si>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</si>
  <si>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</si>
  <si>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</si>
  <si>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</si>
  <si>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</si>
  <si>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</si>
  <si>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</si>
  <si>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</si>
  <si>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</si>
  <si>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</si>
  <si>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</si>
  <si>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</si>
  <si>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</si>
  <si>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</si>
  <si>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</si>
  <si>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</si>
  <si>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</si>
  <si>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</si>
  <si>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</si>
  <si>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</si>
  <si>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</si>
  <si>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</si>
  <si>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</si>
  <si>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</si>
  <si>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</si>
  <si>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</si>
  <si>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</si>
  <si>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</si>
  <si>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</si>
  <si>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</si>
  <si>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</si>
  <si>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</si>
  <si>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</si>
  <si>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</si>
  <si>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</si>
  <si>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</si>
  <si>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</si>
  <si>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</si>
  <si>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</si>
  <si>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</si>
  <si>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</si>
  <si>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</si>
  <si>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</si>
  <si>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</si>
  <si>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</si>
  <si>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</si>
  <si>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</si>
  <si>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</si>
  <si>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</si>
  <si>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</si>
  <si>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</si>
  <si>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</si>
  <si>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</si>
  <si>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</si>
  <si>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</si>
  <si>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</si>
  <si>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</si>
  <si>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</si>
  <si>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</si>
  <si>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</si>
  <si>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</si>
  <si>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</si>
  <si>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</si>
  <si>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</si>
  <si>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</si>
  <si>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</si>
  <si>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</si>
  <si>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</si>
  <si>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</si>
  <si>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</si>
  <si>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</si>
  <si>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</si>
  <si>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</si>
  <si>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</si>
  <si>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</si>
  <si>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</si>
  <si>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</si>
  <si>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</si>
  <si>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</si>
  <si>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</si>
  <si>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</si>
  <si>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</si>
  <si>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</si>
  <si>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</si>
  <si>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</si>
  <si>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</si>
  <si>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</si>
  <si>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</si>
  <si>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</si>
  <si>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</si>
  <si>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</si>
  <si>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</si>
  <si>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</si>
  <si>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</si>
  <si>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</si>
  <si>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</si>
  <si>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</si>
  <si>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</si>
  <si>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</si>
  <si>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</si>
  <si>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</si>
  <si>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</si>
  <si>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</si>
  <si>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</si>
  <si>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</si>
  <si>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</si>
  <si>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</si>
  <si>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</si>
  <si>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</si>
  <si>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</si>
  <si>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</si>
  <si>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</si>
  <si>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</si>
  <si>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</si>
  <si>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</si>
  <si>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</si>
  <si>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</si>
  <si>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</si>
  <si>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</si>
  <si>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</si>
  <si>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</si>
  <si>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</si>
  <si>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</si>
  <si>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</si>
  <si>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</si>
  <si>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</si>
  <si>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</si>
  <si>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</si>
  <si>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</si>
  <si>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</si>
  <si>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</si>
  <si>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</si>
  <si>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</si>
  <si>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</si>
  <si>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</si>
  <si>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</si>
  <si>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</si>
  <si>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</si>
  <si>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</si>
  <si>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</si>
  <si>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</si>
  <si>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</si>
  <si>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</si>
  <si>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</si>
  <si>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</si>
  <si>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</si>
  <si>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</si>
  <si>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</si>
  <si>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</si>
  <si>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</si>
  <si>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</si>
  <si>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</si>
  <si>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</si>
  <si>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</si>
  <si>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</si>
  <si>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</si>
  <si>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</si>
  <si>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</si>
  <si>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</si>
  <si>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</si>
  <si>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</si>
  <si>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</si>
  <si>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</si>
  <si>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</si>
  <si>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</si>
  <si>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</si>
  <si>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</si>
  <si>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</si>
  <si>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</si>
  <si>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</si>
  <si>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</si>
  <si>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</si>
  <si>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</si>
  <si>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</si>
  <si>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</si>
  <si>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</si>
  <si>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</si>
  <si>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</si>
  <si>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</si>
  <si>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</si>
  <si>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</si>
  <si>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</si>
  <si>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</si>
  <si>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</si>
  <si>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</si>
  <si>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</si>
  <si>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</si>
  <si>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</si>
  <si>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</si>
  <si>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</si>
  <si>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</si>
  <si>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</si>
  <si>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</si>
  <si>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</si>
  <si>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</si>
  <si>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</si>
  <si>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</si>
  <si>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</si>
  <si>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</si>
  <si>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</si>
  <si>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</si>
  <si>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</si>
  <si>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</si>
  <si>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</si>
  <si>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</si>
  <si>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</si>
  <si>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</si>
  <si>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</si>
  <si>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</si>
  <si>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</si>
  <si>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</si>
  <si>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</si>
  <si>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</si>
  <si>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</si>
  <si>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</si>
  <si>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</si>
  <si>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</si>
  <si>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</si>
  <si>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</si>
  <si>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</si>
  <si>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</si>
  <si>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</si>
  <si>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</si>
  <si>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</si>
  <si>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</si>
  <si>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</si>
  <si>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</si>
  <si>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</si>
  <si>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</si>
  <si>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</si>
  <si>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</si>
  <si>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</si>
  <si>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</si>
  <si>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</si>
  <si>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</si>
  <si>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</si>
  <si>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</si>
  <si>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</si>
  <si>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</si>
  <si>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</si>
  <si>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</si>
  <si>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</si>
  <si>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</si>
  <si>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</si>
  <si>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</si>
  <si>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</si>
  <si>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</si>
  <si>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</si>
  <si>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</si>
  <si>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</si>
  <si>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</si>
  <si>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</si>
  <si>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</si>
  <si>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</si>
  <si>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</si>
  <si>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</si>
  <si>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</si>
  <si>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</si>
  <si>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</si>
  <si>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</si>
  <si>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</si>
  <si>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</si>
  <si>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</si>
  <si>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</si>
  <si>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</si>
  <si>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</si>
  <si>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</si>
  <si>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</si>
  <si>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</si>
  <si>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</si>
  <si>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</si>
  <si>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</si>
  <si>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</si>
  <si>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</si>
  <si>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</si>
  <si>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</si>
  <si>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</si>
  <si>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</si>
  <si>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</si>
  <si>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</si>
  <si>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</si>
  <si>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</si>
  <si>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</si>
  <si>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</si>
  <si>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</si>
  <si>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</si>
  <si>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</si>
  <si>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</si>
  <si>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</si>
  <si>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</si>
  <si>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</si>
  <si>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</si>
  <si>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</si>
  <si>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</si>
  <si>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</si>
  <si>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</si>
  <si>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</si>
  <si>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</si>
  <si>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</si>
  <si>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</si>
  <si>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</si>
  <si>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</si>
  <si>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</si>
  <si>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</si>
  <si>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</si>
  <si>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</si>
  <si>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</si>
  <si>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</si>
  <si>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</si>
  <si>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</si>
  <si>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</si>
  <si>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</si>
  <si>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</si>
  <si>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</si>
  <si>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</si>
  <si>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</si>
  <si>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</si>
  <si>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</si>
  <si>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</si>
  <si>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</si>
  <si>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</si>
  <si>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</si>
  <si>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</si>
  <si>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</si>
  <si>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</si>
  <si>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</si>
  <si>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</si>
  <si>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</si>
  <si>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</si>
  <si>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</si>
  <si>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</si>
  <si>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</si>
  <si>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</si>
  <si>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</si>
  <si>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</si>
  <si>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</si>
  <si>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</si>
  <si>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</si>
  <si>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</si>
  <si>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</si>
  <si>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</si>
  <si>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</si>
  <si>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</si>
  <si>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</si>
  <si>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</si>
  <si>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</si>
  <si>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</si>
  <si>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</si>
  <si>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</si>
  <si>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</si>
  <si>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</si>
  <si>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</si>
  <si>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</si>
  <si>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</si>
  <si>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</si>
  <si>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</si>
  <si>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</si>
  <si>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</si>
  <si>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</si>
  <si>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</si>
  <si>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</si>
  <si>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</si>
  <si>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</si>
  <si>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</si>
  <si>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</si>
  <si>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</si>
  <si>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</si>
  <si>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</si>
  <si>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</si>
  <si>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</si>
  <si>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</si>
  <si>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</si>
  <si>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</si>
  <si>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</si>
  <si>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</si>
  <si>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</si>
  <si>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</si>
  <si>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</si>
  <si>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</si>
  <si>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</si>
  <si>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</si>
  <si>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</si>
  <si>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</si>
  <si>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</si>
  <si>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</si>
  <si>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</si>
  <si>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</si>
  <si>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</si>
  <si>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</si>
  <si>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</si>
  <si>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</si>
  <si>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</si>
  <si>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</si>
  <si>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</si>
  <si>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</si>
  <si>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</si>
  <si>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</si>
  <si>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</si>
  <si>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</si>
  <si>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</si>
  <si>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</si>
  <si>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</si>
  <si>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</si>
  <si>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</si>
  <si>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</si>
  <si>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</si>
  <si>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</si>
  <si>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</si>
  <si>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</si>
  <si>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</si>
  <si>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</si>
  <si>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</si>
  <si>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</si>
  <si>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</si>
  <si>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</si>
  <si>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</si>
  <si>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</si>
  <si>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</si>
  <si>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</si>
  <si>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</si>
  <si>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</si>
  <si>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</si>
  <si>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</si>
  <si>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</si>
  <si>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</si>
  <si>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</si>
  <si>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</si>
  <si>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</si>
  <si>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</si>
  <si>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</si>
  <si>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</si>
  <si>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</si>
  <si>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</si>
  <si>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</si>
  <si>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</si>
  <si>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</si>
  <si>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</si>
  <si>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</si>
  <si>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</si>
  <si>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</si>
  <si>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</si>
  <si>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</si>
  <si>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</si>
  <si>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</si>
  <si>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</si>
  <si>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</si>
  <si>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</si>
  <si>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</si>
  <si>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</si>
  <si>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</si>
  <si>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</si>
  <si>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</si>
  <si>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</si>
  <si>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</si>
  <si>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</si>
  <si>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</si>
  <si>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</si>
  <si>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</si>
  <si>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</si>
  <si>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</si>
  <si>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</si>
  <si>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</si>
  <si>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</si>
  <si>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</si>
  <si>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</si>
  <si>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</si>
  <si>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</si>
  <si>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</si>
  <si>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</si>
  <si>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</si>
  <si>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</si>
  <si>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</si>
  <si>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</si>
  <si>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</si>
  <si>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</si>
  <si>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</si>
  <si>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</si>
  <si>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</si>
  <si>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</si>
  <si>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</si>
  <si>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</si>
  <si>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</si>
  <si>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</si>
  <si>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</si>
  <si>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</si>
  <si>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</si>
  <si>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</si>
  <si>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</si>
  <si>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</si>
  <si>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</si>
  <si>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</si>
  <si>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</si>
  <si>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</si>
  <si>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</si>
  <si>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</si>
  <si>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</si>
  <si>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</si>
  <si>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</si>
  <si>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</si>
  <si>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</si>
  <si>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</si>
  <si>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</si>
  <si>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</si>
  <si>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</si>
  <si>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</si>
  <si>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</si>
  <si>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</si>
  <si>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</si>
  <si>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</si>
  <si>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</si>
  <si>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</si>
  <si>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</si>
  <si>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</si>
  <si>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</si>
  <si>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</si>
  <si>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</si>
  <si>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</si>
  <si>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</si>
  <si>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</si>
  <si>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</si>
  <si>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</si>
  <si>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</si>
  <si>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</si>
  <si>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</si>
  <si>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</si>
  <si>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</si>
  <si>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</si>
  <si>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</si>
  <si>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</si>
  <si>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</si>
  <si>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</si>
  <si>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</si>
  <si>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</si>
  <si>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</si>
  <si>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</si>
  <si>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</si>
  <si>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</si>
  <si>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</si>
  <si>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</si>
  <si>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</si>
  <si>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</si>
  <si>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</si>
  <si>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</si>
  <si>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</si>
  <si>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</si>
  <si>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</si>
  <si>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</si>
  <si>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</si>
  <si>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</si>
  <si>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</si>
  <si>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</si>
  <si>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</si>
  <si>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</si>
  <si>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</si>
  <si>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</si>
  <si>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</si>
  <si>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</si>
  <si>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</si>
  <si>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</si>
  <si>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</si>
  <si>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</si>
  <si>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</si>
  <si>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</si>
  <si>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</si>
  <si>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</si>
  <si>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</si>
  <si>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</si>
  <si>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</si>
  <si>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</si>
  <si>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</si>
  <si>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</si>
  <si>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</si>
  <si>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</si>
  <si>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</si>
  <si>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</si>
  <si>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</si>
  <si>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</si>
  <si>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</si>
  <si>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</si>
  <si>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</si>
  <si>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</si>
  <si>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</si>
  <si>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</si>
  <si>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</si>
  <si>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</si>
  <si>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</si>
  <si>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</si>
  <si>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</si>
  <si>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</si>
  <si>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</si>
  <si>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</si>
  <si>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</si>
  <si>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</si>
  <si>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</si>
  <si>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</si>
  <si>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</si>
  <si>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</si>
  <si>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</si>
  <si>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</si>
  <si>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</si>
  <si>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</si>
  <si>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</si>
  <si>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</si>
  <si>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</si>
  <si>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</si>
  <si>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</si>
  <si>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</si>
  <si>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</si>
  <si>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</si>
  <si>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</si>
  <si>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</si>
  <si>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</si>
  <si>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</si>
  <si>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</si>
  <si>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</si>
  <si>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</si>
  <si>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</si>
  <si>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</si>
  <si>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</si>
  <si>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</si>
  <si>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</si>
  <si>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</si>
  <si>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</si>
  <si>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</si>
  <si>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</si>
  <si>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</si>
  <si>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</si>
  <si>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</si>
  <si>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</si>
  <si>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</si>
  <si>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</si>
  <si>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</si>
  <si>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</si>
  <si>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</si>
  <si>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</si>
  <si>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</si>
  <si>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</si>
  <si>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</si>
  <si>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</si>
  <si>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</si>
  <si>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</si>
  <si>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</si>
  <si>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</si>
  <si>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</si>
  <si>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</si>
  <si>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</si>
  <si>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</si>
  <si>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</si>
  <si>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</si>
  <si>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</si>
  <si>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</si>
  <si>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</si>
  <si>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</si>
  <si>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</si>
  <si>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</si>
  <si>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</si>
  <si>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</si>
  <si>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</si>
  <si>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</si>
  <si>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</si>
  <si>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</si>
  <si>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</si>
  <si>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</si>
  <si>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</si>
  <si>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</si>
  <si>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</si>
  <si>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</si>
  <si>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</si>
  <si>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</si>
  <si>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</si>
  <si>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</si>
  <si>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</si>
  <si>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</si>
  <si>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</si>
  <si>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</si>
  <si>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</si>
  <si>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</si>
  <si>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</si>
  <si>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</si>
  <si>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</si>
  <si>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</si>
  <si>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</si>
  <si>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</si>
  <si>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</si>
  <si>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</si>
  <si>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</si>
  <si>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</si>
  <si>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</si>
  <si>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</si>
  <si>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</si>
  <si>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</si>
  <si>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</si>
  <si>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</si>
  <si>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</si>
  <si>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</si>
  <si>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</si>
  <si>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</si>
  <si>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</si>
  <si>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</si>
  <si>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</si>
  <si>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</si>
  <si>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</si>
  <si>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</si>
  <si>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</si>
  <si>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</si>
  <si>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</si>
  <si>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</si>
  <si>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</si>
  <si>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</si>
  <si>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</si>
  <si>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</si>
  <si>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</si>
  <si>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</si>
  <si>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</si>
  <si>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</si>
  <si>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</si>
  <si>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</si>
  <si>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</si>
  <si>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</si>
  <si>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</si>
  <si>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</si>
  <si>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</si>
  <si>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</si>
  <si>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</si>
  <si>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</si>
  <si>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</si>
  <si>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</si>
  <si>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</si>
  <si>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</si>
  <si>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</si>
  <si>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</si>
  <si>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</si>
  <si>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</si>
  <si>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</si>
  <si>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</si>
  <si>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</si>
  <si>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</si>
  <si>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</si>
  <si>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</si>
  <si>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</si>
  <si>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</si>
  <si>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</si>
  <si>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</si>
  <si>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</si>
  <si>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</si>
  <si>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</si>
  <si>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</si>
  <si>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</si>
  <si>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</si>
  <si>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</si>
  <si>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</si>
  <si>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</si>
  <si>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</si>
  <si>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</si>
  <si>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</si>
  <si>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</si>
  <si>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</si>
  <si>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</si>
  <si>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</si>
  <si>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</si>
  <si>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</si>
  <si>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</si>
  <si>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</si>
  <si>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</si>
  <si>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</si>
  <si>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</si>
  <si>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</si>
  <si>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</si>
  <si>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</si>
  <si>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</si>
  <si>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</si>
  <si>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</si>
  <si>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</si>
  <si>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</si>
  <si>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</si>
  <si>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</si>
  <si>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</si>
  <si>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</si>
  <si>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</si>
  <si>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</si>
  <si>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</si>
  <si>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</si>
  <si>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</si>
  <si>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</si>
  <si>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</si>
  <si>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</si>
  <si>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</si>
  <si>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</si>
  <si>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</si>
  <si>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</si>
  <si>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</si>
  <si>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</si>
  <si>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</si>
  <si>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</si>
  <si>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</si>
  <si>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</si>
  <si>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</si>
  <si>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</si>
  <si>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</si>
  <si>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</si>
  <si>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</si>
  <si>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</si>
  <si>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</si>
  <si>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</si>
  <si>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</si>
  <si>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</si>
  <si>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</si>
  <si>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</si>
  <si>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</si>
  <si>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</si>
  <si>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</si>
  <si>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</si>
  <si>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</si>
  <si>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</si>
  <si>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</si>
  <si>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</si>
  <si>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</si>
  <si>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</si>
  <si>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</si>
  <si>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</si>
  <si>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</si>
  <si>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</si>
  <si>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</si>
  <si>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</si>
  <si>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</si>
  <si>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</si>
  <si>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</si>
  <si>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</si>
  <si>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</si>
  <si>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</si>
  <si>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</si>
  <si>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</si>
  <si>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</si>
  <si>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</si>
  <si>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</si>
  <si>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</si>
  <si>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</si>
  <si>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</si>
  <si>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</si>
  <si>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</si>
  <si>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</si>
  <si>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</si>
  <si>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</si>
  <si>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</si>
  <si>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</si>
  <si>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</si>
  <si>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</si>
  <si>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</si>
  <si>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</si>
  <si>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</si>
  <si>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</si>
  <si>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</si>
  <si>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</si>
  <si>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</si>
  <si>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</si>
  <si>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</si>
  <si>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</si>
  <si>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</si>
  <si>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</si>
  <si>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</si>
  <si>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</si>
  <si>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</si>
  <si>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</si>
  <si>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</si>
  <si>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</si>
  <si>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</si>
  <si>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</si>
  <si>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</si>
  <si>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</si>
  <si>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</si>
  <si>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</si>
  <si>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</si>
  <si>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</si>
  <si>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</si>
  <si>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</si>
  <si>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</si>
  <si>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</si>
  <si>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</si>
  <si>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</si>
  <si>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</si>
  <si>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</si>
  <si>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</si>
  <si>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</si>
  <si>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</si>
  <si>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</si>
  <si>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</si>
  <si>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</si>
  <si>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</si>
  <si>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</si>
  <si>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</si>
  <si>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</si>
  <si>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</si>
  <si>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</si>
  <si>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</si>
  <si>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</si>
  <si>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</si>
  <si>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</si>
  <si>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</si>
  <si>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</si>
  <si>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</si>
  <si>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</si>
  <si>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</si>
  <si>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</si>
  <si>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</si>
  <si>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</si>
  <si>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</si>
  <si>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</si>
  <si>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</si>
  <si>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</si>
  <si>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</si>
  <si>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</si>
  <si>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</si>
  <si>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</si>
  <si>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</si>
  <si>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</si>
  <si>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</si>
  <si>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</si>
  <si>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</si>
  <si>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</si>
  <si>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</si>
  <si>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</si>
  <si>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</si>
  <si>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</si>
  <si>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</si>
  <si>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</si>
  <si>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</si>
  <si>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</si>
  <si>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</si>
  <si>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</si>
  <si>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</si>
  <si>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</si>
  <si>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</si>
  <si>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</si>
  <si>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</si>
  <si>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</si>
  <si>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</si>
  <si>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</si>
  <si>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</si>
  <si>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</si>
  <si>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</si>
  <si>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</si>
  <si>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</si>
  <si>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</si>
  <si>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</si>
  <si>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</si>
  <si>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</si>
  <si>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</si>
  <si>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</si>
  <si>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</si>
  <si>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</si>
  <si>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</si>
  <si>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</si>
  <si>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</si>
  <si>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</si>
  <si>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</si>
  <si>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</si>
  <si>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</si>
  <si>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</si>
  <si>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</si>
  <si>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</si>
  <si>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</si>
  <si>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</si>
  <si>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</si>
  <si>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</si>
  <si>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</si>
  <si>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</si>
  <si>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</si>
  <si>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</si>
  <si>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</si>
  <si>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</si>
  <si>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</si>
  <si>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</si>
  <si>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</si>
  <si>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</si>
  <si>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</si>
  <si>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</si>
  <si>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</si>
  <si>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</si>
  <si>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</si>
  <si>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</si>
  <si>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</si>
  <si>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</si>
  <si>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</si>
  <si>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</si>
  <si>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</si>
  <si>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</si>
  <si>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</si>
  <si>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</si>
  <si>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</si>
  <si>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</si>
  <si>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</si>
  <si>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</si>
  <si>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</si>
  <si>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</si>
  <si>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</si>
  <si>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</si>
  <si>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</si>
  <si>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</si>
  <si>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</si>
  <si>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</si>
  <si>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</si>
  <si>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</si>
  <si>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</si>
  <si>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</si>
  <si>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</si>
  <si>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</si>
  <si>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</si>
  <si>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</si>
  <si>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</si>
  <si>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</si>
  <si>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</si>
  <si>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</si>
  <si>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</si>
  <si>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</si>
  <si>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</si>
  <si>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</si>
  <si>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</si>
  <si>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</si>
  <si>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</si>
  <si>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</si>
  <si>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</si>
  <si>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</si>
  <si>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</si>
  <si>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</si>
  <si>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</si>
  <si>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</si>
  <si>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</si>
  <si>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</si>
  <si>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</si>
  <si>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</si>
  <si>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</si>
  <si>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</si>
  <si>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</si>
  <si>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</si>
  <si>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</si>
  <si>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</si>
  <si>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</si>
  <si>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</si>
  <si>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</si>
  <si>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</si>
  <si>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</si>
  <si>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</si>
  <si>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</si>
  <si>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</si>
  <si>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</si>
  <si>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</si>
  <si>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</si>
  <si>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</si>
  <si>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</si>
  <si>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</si>
  <si>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</si>
  <si>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</si>
  <si>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</si>
  <si>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</si>
  <si>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</si>
  <si>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</si>
  <si>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</si>
  <si>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</si>
  <si>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</si>
  <si>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</si>
  <si>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</si>
  <si>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</si>
  <si>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</si>
  <si>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</si>
  <si>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</si>
  <si>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</si>
  <si>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</si>
  <si>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k-Nearest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</si>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</sst>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3" width="9.29"/>
    <col customWidth="1" min="114" max="114" width="35.0"/>
    <col customWidth="1" min="115" max="143" width="9.29"/>
    <col customWidth="1" min="144" max="201" width="24.0"/>
    <col customWidth="1" min="202" max="208" width="9.29"/>
    <col customWidth="1" min="209" max="209" width="9.14"/>
    <col customWidth="1" min="210" max="210" width="14.0"/>
    <col customWidth="1" min="211" max="273" width="9.29"/>
    <col customWidth="1" min="274" max="274" width="33.29"/>
    <col customWidth="1" min="275" max="287" width="9.29"/>
    <col customWidth="1" min="288" max="288" width="6.14"/>
    <col customWidth="1" min="289" max="303" width="9.29"/>
    <col customWidth="1" min="304" max="304" width="28.57"/>
    <col customWidth="1" min="305" max="310" width="9.29"/>
    <col customWidth="1" min="311" max="311" width="41.29"/>
    <col customWidth="1" min="312" max="319" width="9.29"/>
    <col customWidth="1" min="320" max="322" width="31.0"/>
    <col customWidth="1" min="323" max="399" width="9.29"/>
    <col customWidth="1" min="400" max="400" width="16.71"/>
    <col customWidth="1" min="401" max="500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1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3" t="s">
        <v>309</v>
      </c>
      <c r="KY1" s="3" t="s">
        <v>310</v>
      </c>
      <c r="KZ1" s="2" t="s">
        <v>311</v>
      </c>
      <c r="LA1" s="3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4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5" t="s">
        <v>340</v>
      </c>
      <c r="MD1" s="5" t="s">
        <v>341</v>
      </c>
      <c r="ME1" s="5" t="s">
        <v>342</v>
      </c>
      <c r="MF1" s="5" t="s">
        <v>343</v>
      </c>
      <c r="MG1" s="4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6" t="s">
        <v>364</v>
      </c>
      <c r="NB1" s="6" t="s">
        <v>365</v>
      </c>
      <c r="NC1" s="4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3" t="s">
        <v>373</v>
      </c>
      <c r="NK1" s="2" t="s">
        <v>374</v>
      </c>
      <c r="NL1" s="3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</row>
    <row r="2" ht="14.25" customHeight="1">
      <c r="A2" s="7" t="s">
        <v>500</v>
      </c>
      <c r="B2" s="7" t="s">
        <v>501</v>
      </c>
      <c r="C2" s="7" t="s">
        <v>502</v>
      </c>
      <c r="D2" s="7" t="s">
        <v>503</v>
      </c>
      <c r="E2" s="7" t="s">
        <v>504</v>
      </c>
      <c r="F2" s="8" t="s">
        <v>505</v>
      </c>
      <c r="G2" s="7" t="s">
        <v>506</v>
      </c>
      <c r="H2" s="7" t="s">
        <v>502</v>
      </c>
      <c r="I2" s="7" t="s">
        <v>507</v>
      </c>
      <c r="J2" s="7" t="s">
        <v>508</v>
      </c>
      <c r="K2" s="7" t="s">
        <v>509</v>
      </c>
      <c r="L2" s="7" t="s">
        <v>510</v>
      </c>
      <c r="M2" s="7" t="s">
        <v>511</v>
      </c>
      <c r="N2" s="7" t="s">
        <v>512</v>
      </c>
      <c r="O2" s="7" t="s">
        <v>513</v>
      </c>
      <c r="P2" s="7" t="s">
        <v>514</v>
      </c>
      <c r="Q2" s="7" t="s">
        <v>515</v>
      </c>
      <c r="R2" s="7" t="s">
        <v>516</v>
      </c>
      <c r="S2" s="7" t="s">
        <v>517</v>
      </c>
      <c r="T2" s="7" t="s">
        <v>518</v>
      </c>
      <c r="U2" s="7" t="s">
        <v>519</v>
      </c>
      <c r="V2" s="7" t="s">
        <v>520</v>
      </c>
      <c r="W2" s="7" t="s">
        <v>521</v>
      </c>
      <c r="X2" s="7" t="s">
        <v>522</v>
      </c>
      <c r="Y2" s="7" t="s">
        <v>523</v>
      </c>
      <c r="Z2" s="7" t="s">
        <v>524</v>
      </c>
      <c r="AA2" s="7" t="s">
        <v>525</v>
      </c>
      <c r="AB2" s="7" t="s">
        <v>526</v>
      </c>
      <c r="AC2" s="7" t="s">
        <v>527</v>
      </c>
      <c r="AD2" s="7" t="s">
        <v>528</v>
      </c>
      <c r="AE2" s="7" t="s">
        <v>529</v>
      </c>
      <c r="AF2" s="7" t="s">
        <v>530</v>
      </c>
      <c r="AG2" s="7" t="s">
        <v>531</v>
      </c>
      <c r="AH2" s="7" t="s">
        <v>532</v>
      </c>
      <c r="AI2" s="7" t="s">
        <v>533</v>
      </c>
      <c r="AJ2" s="7" t="s">
        <v>534</v>
      </c>
      <c r="AK2" s="7" t="s">
        <v>535</v>
      </c>
      <c r="AL2" s="7" t="s">
        <v>536</v>
      </c>
      <c r="AM2" s="8" t="s">
        <v>537</v>
      </c>
      <c r="AN2" s="7" t="s">
        <v>538</v>
      </c>
      <c r="AO2" s="7" t="s">
        <v>539</v>
      </c>
      <c r="AP2" s="7" t="s">
        <v>540</v>
      </c>
      <c r="AQ2" s="7" t="s">
        <v>541</v>
      </c>
      <c r="AR2" s="7" t="s">
        <v>542</v>
      </c>
      <c r="AS2" s="7" t="s">
        <v>543</v>
      </c>
      <c r="AT2" s="7" t="s">
        <v>544</v>
      </c>
      <c r="AU2" s="7" t="s">
        <v>545</v>
      </c>
      <c r="AV2" s="7" t="s">
        <v>546</v>
      </c>
      <c r="AW2" s="7" t="s">
        <v>547</v>
      </c>
      <c r="AX2" s="7" t="s">
        <v>548</v>
      </c>
      <c r="AY2" s="7" t="s">
        <v>549</v>
      </c>
      <c r="AZ2" s="7" t="s">
        <v>550</v>
      </c>
      <c r="BA2" s="7" t="s">
        <v>551</v>
      </c>
      <c r="BB2" s="7" t="s">
        <v>552</v>
      </c>
      <c r="BC2" s="7" t="s">
        <v>553</v>
      </c>
      <c r="BD2" s="7" t="s">
        <v>554</v>
      </c>
      <c r="BE2" s="7" t="s">
        <v>555</v>
      </c>
      <c r="BF2" s="7" t="s">
        <v>556</v>
      </c>
      <c r="BG2" s="7" t="s">
        <v>557</v>
      </c>
      <c r="BH2" s="7" t="s">
        <v>558</v>
      </c>
      <c r="BI2" s="7" t="s">
        <v>559</v>
      </c>
      <c r="BJ2" s="7" t="s">
        <v>560</v>
      </c>
      <c r="BK2" s="7" t="s">
        <v>561</v>
      </c>
      <c r="BL2" s="7" t="s">
        <v>562</v>
      </c>
      <c r="BM2" s="7" t="s">
        <v>563</v>
      </c>
      <c r="BN2" s="7" t="s">
        <v>564</v>
      </c>
      <c r="BO2" s="7" t="s">
        <v>544</v>
      </c>
      <c r="BP2" s="7" t="s">
        <v>565</v>
      </c>
      <c r="BQ2" s="7" t="s">
        <v>566</v>
      </c>
      <c r="BR2" s="7" t="s">
        <v>567</v>
      </c>
      <c r="BS2" s="7" t="s">
        <v>568</v>
      </c>
      <c r="BT2" s="7" t="s">
        <v>569</v>
      </c>
      <c r="BU2" s="7" t="s">
        <v>570</v>
      </c>
      <c r="BV2" s="7" t="s">
        <v>571</v>
      </c>
      <c r="BW2" s="7" t="s">
        <v>572</v>
      </c>
      <c r="BX2" s="7" t="s">
        <v>573</v>
      </c>
      <c r="BY2" s="7" t="s">
        <v>574</v>
      </c>
      <c r="BZ2" s="7" t="s">
        <v>575</v>
      </c>
      <c r="CA2" s="7" t="s">
        <v>576</v>
      </c>
      <c r="CB2" s="7">
        <v>-9.9999999E7</v>
      </c>
      <c r="CC2" s="7" t="s">
        <v>577</v>
      </c>
      <c r="CD2" s="7" t="s">
        <v>578</v>
      </c>
      <c r="CE2" s="7" t="s">
        <v>579</v>
      </c>
      <c r="CF2" s="7" t="s">
        <v>580</v>
      </c>
      <c r="CG2" s="7" t="s">
        <v>581</v>
      </c>
      <c r="CH2" s="7" t="s">
        <v>566</v>
      </c>
      <c r="CI2" s="7" t="s">
        <v>582</v>
      </c>
      <c r="CJ2" s="7" t="s">
        <v>583</v>
      </c>
      <c r="CK2" s="7" t="s">
        <v>584</v>
      </c>
      <c r="CL2" s="7" t="s">
        <v>585</v>
      </c>
      <c r="CM2" s="7" t="s">
        <v>566</v>
      </c>
      <c r="CN2" s="7" t="s">
        <v>586</v>
      </c>
      <c r="CO2" s="7" t="s">
        <v>587</v>
      </c>
      <c r="CP2" s="8" t="s">
        <v>588</v>
      </c>
      <c r="CQ2" s="8" t="s">
        <v>589</v>
      </c>
      <c r="CR2" s="8" t="s">
        <v>590</v>
      </c>
      <c r="CS2" s="8" t="s">
        <v>591</v>
      </c>
      <c r="CT2" s="8" t="s">
        <v>592</v>
      </c>
      <c r="CU2" s="8" t="s">
        <v>593</v>
      </c>
      <c r="CV2" s="8" t="s">
        <v>594</v>
      </c>
      <c r="CW2" s="8" t="s">
        <v>595</v>
      </c>
      <c r="CX2" s="8" t="s">
        <v>596</v>
      </c>
      <c r="CY2" s="8" t="s">
        <v>597</v>
      </c>
      <c r="CZ2" s="8" t="s">
        <v>598</v>
      </c>
      <c r="DA2" s="8" t="s">
        <v>588</v>
      </c>
      <c r="DB2" s="8" t="s">
        <v>589</v>
      </c>
      <c r="DC2" s="8" t="s">
        <v>590</v>
      </c>
      <c r="DD2" s="8" t="s">
        <v>595</v>
      </c>
      <c r="DE2" s="8" t="s">
        <v>599</v>
      </c>
      <c r="DF2" s="8" t="s">
        <v>600</v>
      </c>
      <c r="DG2" s="8" t="s">
        <v>601</v>
      </c>
      <c r="DH2" s="8" t="s">
        <v>602</v>
      </c>
      <c r="DI2" s="8" t="s">
        <v>603</v>
      </c>
      <c r="DJ2" s="8" t="s">
        <v>604</v>
      </c>
      <c r="DK2" s="8" t="s">
        <v>605</v>
      </c>
      <c r="DL2" s="8" t="s">
        <v>606</v>
      </c>
      <c r="DM2" s="8" t="s">
        <v>607</v>
      </c>
      <c r="DN2" s="8" t="s">
        <v>608</v>
      </c>
      <c r="DO2" s="8" t="s">
        <v>609</v>
      </c>
      <c r="DP2" s="8" t="s">
        <v>610</v>
      </c>
      <c r="DQ2" s="8" t="s">
        <v>600</v>
      </c>
      <c r="DR2" s="8" t="s">
        <v>611</v>
      </c>
      <c r="DS2" s="8" t="s">
        <v>612</v>
      </c>
      <c r="DT2" s="8" t="s">
        <v>613</v>
      </c>
      <c r="DU2" s="8" t="s">
        <v>614</v>
      </c>
      <c r="DV2" s="8" t="s">
        <v>615</v>
      </c>
      <c r="DW2" s="7" t="s">
        <v>616</v>
      </c>
      <c r="DX2" s="8" t="s">
        <v>617</v>
      </c>
      <c r="DY2" s="8" t="s">
        <v>618</v>
      </c>
      <c r="DZ2" s="8" t="s">
        <v>619</v>
      </c>
      <c r="EA2" s="8" t="s">
        <v>620</v>
      </c>
      <c r="EB2" s="8" t="s">
        <v>621</v>
      </c>
      <c r="EC2" s="8" t="s">
        <v>622</v>
      </c>
      <c r="ED2" s="8" t="s">
        <v>623</v>
      </c>
      <c r="EE2" s="8" t="s">
        <v>624</v>
      </c>
      <c r="EF2" s="8" t="s">
        <v>625</v>
      </c>
      <c r="EG2" s="8" t="s">
        <v>626</v>
      </c>
      <c r="EH2" s="8" t="s">
        <v>627</v>
      </c>
      <c r="EI2" s="8" t="s">
        <v>628</v>
      </c>
      <c r="EJ2" s="8" t="s">
        <v>629</v>
      </c>
      <c r="EK2" s="8" t="s">
        <v>630</v>
      </c>
      <c r="EL2" s="8" t="s">
        <v>631</v>
      </c>
      <c r="EM2" s="8" t="s">
        <v>632</v>
      </c>
      <c r="EN2" s="8" t="s">
        <v>633</v>
      </c>
      <c r="EO2" s="8" t="s">
        <v>634</v>
      </c>
      <c r="EP2" s="8" t="s">
        <v>635</v>
      </c>
      <c r="EQ2" s="8" t="s">
        <v>636</v>
      </c>
      <c r="ER2" s="8" t="s">
        <v>637</v>
      </c>
      <c r="ES2" s="8" t="s">
        <v>638</v>
      </c>
      <c r="ET2" s="8" t="s">
        <v>639</v>
      </c>
      <c r="EU2" s="8" t="s">
        <v>640</v>
      </c>
      <c r="EV2" s="8" t="s">
        <v>641</v>
      </c>
      <c r="EW2" s="8" t="s">
        <v>642</v>
      </c>
      <c r="EX2" s="8" t="s">
        <v>643</v>
      </c>
      <c r="EY2" s="8" t="s">
        <v>644</v>
      </c>
      <c r="EZ2" s="8" t="s">
        <v>645</v>
      </c>
      <c r="FA2" s="8" t="s">
        <v>646</v>
      </c>
      <c r="FB2" s="8" t="s">
        <v>647</v>
      </c>
      <c r="FC2" s="8" t="s">
        <v>648</v>
      </c>
      <c r="FD2" s="8" t="s">
        <v>649</v>
      </c>
      <c r="FE2" s="8" t="s">
        <v>650</v>
      </c>
      <c r="FF2" s="8" t="s">
        <v>651</v>
      </c>
      <c r="FG2" s="8" t="s">
        <v>652</v>
      </c>
      <c r="FH2" s="8" t="s">
        <v>653</v>
      </c>
      <c r="FI2" s="8" t="s">
        <v>654</v>
      </c>
      <c r="FJ2" s="8" t="s">
        <v>655</v>
      </c>
      <c r="FK2" s="8" t="s">
        <v>656</v>
      </c>
      <c r="FL2" s="8" t="s">
        <v>657</v>
      </c>
      <c r="FM2" s="8" t="s">
        <v>658</v>
      </c>
      <c r="FN2" s="8" t="s">
        <v>659</v>
      </c>
      <c r="FO2" s="8" t="s">
        <v>660</v>
      </c>
      <c r="FP2" s="8" t="s">
        <v>661</v>
      </c>
      <c r="FQ2" s="8" t="s">
        <v>662</v>
      </c>
      <c r="FR2" s="8" t="s">
        <v>663</v>
      </c>
      <c r="FS2" s="8" t="s">
        <v>664</v>
      </c>
      <c r="FT2" s="8" t="s">
        <v>665</v>
      </c>
      <c r="FU2" s="8" t="s">
        <v>666</v>
      </c>
      <c r="FV2" s="8" t="s">
        <v>667</v>
      </c>
      <c r="FW2" s="8" t="s">
        <v>668</v>
      </c>
      <c r="FX2" s="8" t="s">
        <v>669</v>
      </c>
      <c r="FY2" s="8" t="s">
        <v>670</v>
      </c>
      <c r="FZ2" s="8" t="s">
        <v>671</v>
      </c>
      <c r="GA2" s="8" t="s">
        <v>672</v>
      </c>
      <c r="GB2" s="8" t="s">
        <v>673</v>
      </c>
      <c r="GC2" s="8" t="s">
        <v>674</v>
      </c>
      <c r="GD2" s="8" t="s">
        <v>675</v>
      </c>
      <c r="GE2" s="8" t="s">
        <v>676</v>
      </c>
      <c r="GF2" s="8" t="s">
        <v>677</v>
      </c>
      <c r="GG2" s="8" t="s">
        <v>678</v>
      </c>
      <c r="GH2" s="8" t="s">
        <v>679</v>
      </c>
      <c r="GI2" s="8" t="s">
        <v>680</v>
      </c>
      <c r="GJ2" s="8" t="s">
        <v>681</v>
      </c>
      <c r="GK2" s="8" t="s">
        <v>682</v>
      </c>
      <c r="GL2" s="8" t="s">
        <v>683</v>
      </c>
      <c r="GM2" s="8" t="s">
        <v>684</v>
      </c>
      <c r="GN2" s="8" t="s">
        <v>685</v>
      </c>
      <c r="GO2" s="8" t="s">
        <v>686</v>
      </c>
      <c r="GP2" s="8" t="s">
        <v>687</v>
      </c>
      <c r="GQ2" s="8" t="s">
        <v>688</v>
      </c>
      <c r="GR2" s="8" t="s">
        <v>689</v>
      </c>
      <c r="GS2" s="8" t="s">
        <v>690</v>
      </c>
      <c r="GT2" s="8" t="s">
        <v>691</v>
      </c>
      <c r="GU2" s="8" t="s">
        <v>692</v>
      </c>
      <c r="GV2" s="8" t="s">
        <v>693</v>
      </c>
      <c r="GW2" s="8" t="s">
        <v>694</v>
      </c>
      <c r="GX2" s="8" t="s">
        <v>695</v>
      </c>
      <c r="GY2" s="8" t="s">
        <v>696</v>
      </c>
      <c r="GZ2" s="8" t="s">
        <v>697</v>
      </c>
      <c r="HA2" s="8" t="s">
        <v>698</v>
      </c>
      <c r="HB2" s="9" t="s">
        <v>699</v>
      </c>
      <c r="HC2" s="8" t="s">
        <v>700</v>
      </c>
      <c r="HD2" s="8" t="s">
        <v>701</v>
      </c>
      <c r="HE2" s="8" t="s">
        <v>702</v>
      </c>
      <c r="HF2" s="8" t="s">
        <v>703</v>
      </c>
      <c r="HG2" s="8" t="s">
        <v>704</v>
      </c>
      <c r="HH2" s="8" t="s">
        <v>705</v>
      </c>
      <c r="HI2" s="8" t="s">
        <v>706</v>
      </c>
      <c r="HJ2" s="8" t="s">
        <v>707</v>
      </c>
      <c r="HK2" s="8" t="s">
        <v>708</v>
      </c>
      <c r="HL2" s="8" t="s">
        <v>709</v>
      </c>
      <c r="HM2" s="8" t="s">
        <v>710</v>
      </c>
      <c r="HN2" s="8" t="s">
        <v>711</v>
      </c>
      <c r="HO2" s="8" t="s">
        <v>712</v>
      </c>
      <c r="HP2" s="8" t="s">
        <v>713</v>
      </c>
      <c r="HQ2" s="8" t="s">
        <v>714</v>
      </c>
      <c r="HR2" s="8" t="s">
        <v>715</v>
      </c>
      <c r="HS2" s="8" t="s">
        <v>716</v>
      </c>
      <c r="HT2" s="8" t="s">
        <v>717</v>
      </c>
      <c r="HU2" s="8" t="s">
        <v>718</v>
      </c>
      <c r="HV2" s="8" t="s">
        <v>719</v>
      </c>
      <c r="HW2" s="8" t="s">
        <v>720</v>
      </c>
      <c r="HX2" s="8" t="s">
        <v>721</v>
      </c>
      <c r="HY2" s="8" t="s">
        <v>722</v>
      </c>
      <c r="HZ2" s="8" t="s">
        <v>723</v>
      </c>
      <c r="IA2" s="8" t="s">
        <v>724</v>
      </c>
      <c r="IB2" s="8" t="s">
        <v>725</v>
      </c>
      <c r="IC2" s="8" t="s">
        <v>726</v>
      </c>
      <c r="ID2" s="8" t="s">
        <v>727</v>
      </c>
      <c r="IE2" s="8" t="s">
        <v>728</v>
      </c>
      <c r="IF2" s="8" t="s">
        <v>729</v>
      </c>
      <c r="IG2" s="8" t="s">
        <v>730</v>
      </c>
      <c r="IH2" s="8" t="s">
        <v>731</v>
      </c>
      <c r="II2" s="8" t="s">
        <v>732</v>
      </c>
      <c r="IJ2" s="8" t="s">
        <v>733</v>
      </c>
      <c r="IK2" s="8" t="s">
        <v>734</v>
      </c>
      <c r="IL2" s="8" t="s">
        <v>735</v>
      </c>
      <c r="IM2" s="8" t="s">
        <v>736</v>
      </c>
      <c r="IN2" s="8" t="s">
        <v>737</v>
      </c>
      <c r="IO2" s="8" t="s">
        <v>738</v>
      </c>
      <c r="IP2" s="8" t="s">
        <v>739</v>
      </c>
      <c r="IQ2" s="8" t="s">
        <v>740</v>
      </c>
      <c r="IR2" s="8" t="s">
        <v>618</v>
      </c>
      <c r="IS2" s="8" t="s">
        <v>741</v>
      </c>
      <c r="IT2" s="8" t="s">
        <v>742</v>
      </c>
      <c r="IU2" s="8" t="s">
        <v>687</v>
      </c>
      <c r="IV2" s="8" t="s">
        <v>743</v>
      </c>
      <c r="IW2" s="8" t="s">
        <v>744</v>
      </c>
      <c r="IX2" s="8" t="s">
        <v>745</v>
      </c>
      <c r="IY2" s="8" t="s">
        <v>746</v>
      </c>
      <c r="IZ2" s="8" t="s">
        <v>747</v>
      </c>
      <c r="JA2" s="8" t="s">
        <v>747</v>
      </c>
      <c r="JB2" s="8" t="s">
        <v>748</v>
      </c>
      <c r="JC2" s="8" t="s">
        <v>749</v>
      </c>
      <c r="JD2" s="8" t="s">
        <v>750</v>
      </c>
      <c r="JE2" s="8" t="s">
        <v>751</v>
      </c>
      <c r="JF2" s="8" t="s">
        <v>752</v>
      </c>
      <c r="JG2" s="8" t="s">
        <v>753</v>
      </c>
      <c r="JH2" s="8" t="s">
        <v>754</v>
      </c>
      <c r="JI2" s="8" t="s">
        <v>755</v>
      </c>
      <c r="JJ2" s="8" t="s">
        <v>756</v>
      </c>
      <c r="JK2" s="8" t="s">
        <v>757</v>
      </c>
      <c r="JL2" s="8" t="s">
        <v>758</v>
      </c>
      <c r="JM2" s="8" t="s">
        <v>759</v>
      </c>
      <c r="JN2" s="8" t="s">
        <v>760</v>
      </c>
      <c r="JO2" s="8" t="s">
        <v>761</v>
      </c>
      <c r="JP2" s="8" t="s">
        <v>762</v>
      </c>
      <c r="JQ2" s="8" t="s">
        <v>763</v>
      </c>
      <c r="JR2" s="10" t="s">
        <v>764</v>
      </c>
      <c r="JS2" s="8" t="s">
        <v>765</v>
      </c>
      <c r="JT2" s="8" t="s">
        <v>766</v>
      </c>
      <c r="JU2" s="10" t="s">
        <v>767</v>
      </c>
      <c r="JV2" s="10" t="s">
        <v>768</v>
      </c>
      <c r="JW2" s="10" t="s">
        <v>769</v>
      </c>
      <c r="JX2" s="10" t="s">
        <v>770</v>
      </c>
      <c r="JY2" s="10" t="s">
        <v>771</v>
      </c>
      <c r="JZ2" s="10" t="s">
        <v>772</v>
      </c>
      <c r="KA2" s="10" t="s">
        <v>773</v>
      </c>
      <c r="KB2" s="10" t="s">
        <v>687</v>
      </c>
      <c r="KC2" s="10" t="s">
        <v>766</v>
      </c>
      <c r="KD2" s="10" t="s">
        <v>774</v>
      </c>
      <c r="KE2" s="10" t="s">
        <v>775</v>
      </c>
      <c r="KF2" s="10" t="s">
        <v>776</v>
      </c>
      <c r="KG2" s="10" t="s">
        <v>653</v>
      </c>
      <c r="KH2" s="10" t="s">
        <v>777</v>
      </c>
      <c r="KI2" s="10" t="s">
        <v>778</v>
      </c>
      <c r="KJ2" s="10" t="s">
        <v>657</v>
      </c>
      <c r="KK2" s="10" t="s">
        <v>779</v>
      </c>
      <c r="KL2" s="10" t="s">
        <v>780</v>
      </c>
      <c r="KM2" s="10" t="s">
        <v>781</v>
      </c>
      <c r="KN2" s="10" t="s">
        <v>782</v>
      </c>
      <c r="KO2" s="10" t="s">
        <v>783</v>
      </c>
      <c r="KP2" s="10" t="s">
        <v>784</v>
      </c>
      <c r="KQ2" s="10" t="s">
        <v>785</v>
      </c>
      <c r="KR2" s="10" t="s">
        <v>786</v>
      </c>
      <c r="KS2" s="10" t="s">
        <v>787</v>
      </c>
      <c r="KT2" s="10" t="s">
        <v>788</v>
      </c>
      <c r="KU2" s="10" t="s">
        <v>789</v>
      </c>
      <c r="KV2" s="10" t="s">
        <v>790</v>
      </c>
      <c r="KW2" s="10" t="s">
        <v>791</v>
      </c>
      <c r="KX2" s="10" t="s">
        <v>792</v>
      </c>
      <c r="KY2" s="10" t="s">
        <v>793</v>
      </c>
      <c r="KZ2" s="10" t="s">
        <v>794</v>
      </c>
      <c r="LA2" s="10" t="s">
        <v>795</v>
      </c>
      <c r="LB2" s="10" t="s">
        <v>796</v>
      </c>
      <c r="LC2" s="10" t="s">
        <v>797</v>
      </c>
      <c r="LD2" s="10" t="s">
        <v>798</v>
      </c>
      <c r="LE2" s="10" t="s">
        <v>799</v>
      </c>
      <c r="LF2" s="10" t="s">
        <v>800</v>
      </c>
      <c r="LG2" s="10" t="s">
        <v>801</v>
      </c>
      <c r="LH2" s="10" t="s">
        <v>802</v>
      </c>
      <c r="LI2" s="10" t="s">
        <v>803</v>
      </c>
      <c r="LJ2" s="10" t="s">
        <v>804</v>
      </c>
      <c r="LK2" s="5" t="s">
        <v>805</v>
      </c>
      <c r="LL2" s="5" t="s">
        <v>806</v>
      </c>
      <c r="LM2" s="5" t="s">
        <v>803</v>
      </c>
      <c r="LN2" s="5" t="s">
        <v>807</v>
      </c>
      <c r="LO2" s="5" t="s">
        <v>737</v>
      </c>
      <c r="LP2" s="5" t="s">
        <v>808</v>
      </c>
      <c r="LQ2" s="5" t="s">
        <v>809</v>
      </c>
      <c r="LR2" s="5" t="s">
        <v>810</v>
      </c>
      <c r="LS2" s="5" t="s">
        <v>811</v>
      </c>
      <c r="LT2" s="5" t="s">
        <v>812</v>
      </c>
      <c r="LU2" s="5" t="s">
        <v>813</v>
      </c>
      <c r="LV2" s="5" t="s">
        <v>814</v>
      </c>
      <c r="LW2" s="5" t="s">
        <v>815</v>
      </c>
      <c r="LX2" s="5" t="s">
        <v>816</v>
      </c>
      <c r="LY2" s="5" t="s">
        <v>817</v>
      </c>
      <c r="LZ2" s="5" t="s">
        <v>818</v>
      </c>
      <c r="MA2" s="5" t="s">
        <v>819</v>
      </c>
      <c r="MB2" s="5" t="s">
        <v>820</v>
      </c>
      <c r="MC2" s="5" t="s">
        <v>821</v>
      </c>
      <c r="MD2" s="5" t="s">
        <v>822</v>
      </c>
      <c r="ME2" s="5" t="s">
        <v>823</v>
      </c>
      <c r="MF2" s="5" t="s">
        <v>699</v>
      </c>
      <c r="MG2" s="5" t="s">
        <v>824</v>
      </c>
      <c r="MH2" s="5" t="s">
        <v>825</v>
      </c>
      <c r="MI2" s="5" t="s">
        <v>826</v>
      </c>
      <c r="MJ2" s="5" t="s">
        <v>827</v>
      </c>
      <c r="MK2" s="5" t="s">
        <v>828</v>
      </c>
      <c r="ML2" s="5" t="s">
        <v>829</v>
      </c>
      <c r="MM2" s="5" t="s">
        <v>830</v>
      </c>
      <c r="MN2" s="5" t="s">
        <v>831</v>
      </c>
      <c r="MO2" s="5" t="s">
        <v>832</v>
      </c>
      <c r="MP2" s="5" t="s">
        <v>833</v>
      </c>
      <c r="MQ2" s="5" t="s">
        <v>834</v>
      </c>
      <c r="MR2" s="5" t="s">
        <v>835</v>
      </c>
      <c r="MS2" s="5" t="s">
        <v>836</v>
      </c>
      <c r="MT2" s="8" t="s">
        <v>837</v>
      </c>
      <c r="MU2" s="5" t="s">
        <v>838</v>
      </c>
      <c r="MV2" s="5" t="s">
        <v>839</v>
      </c>
      <c r="MW2" s="5" t="s">
        <v>840</v>
      </c>
      <c r="MX2" s="5" t="s">
        <v>841</v>
      </c>
      <c r="MY2" s="5" t="s">
        <v>842</v>
      </c>
      <c r="MZ2" s="5" t="s">
        <v>843</v>
      </c>
      <c r="NA2" s="8" t="s">
        <v>844</v>
      </c>
      <c r="NB2" s="5" t="s">
        <v>845</v>
      </c>
      <c r="NC2" s="5" t="s">
        <v>846</v>
      </c>
      <c r="ND2" s="8" t="s">
        <v>847</v>
      </c>
      <c r="NE2" s="8" t="s">
        <v>848</v>
      </c>
      <c r="NF2" s="8" t="s">
        <v>849</v>
      </c>
      <c r="NG2" s="8" t="s">
        <v>850</v>
      </c>
      <c r="NH2" s="8" t="s">
        <v>851</v>
      </c>
      <c r="NI2" s="8" t="s">
        <v>699</v>
      </c>
      <c r="NJ2" s="8" t="s">
        <v>852</v>
      </c>
      <c r="NK2" s="8" t="s">
        <v>823</v>
      </c>
      <c r="NL2" s="8" t="s">
        <v>822</v>
      </c>
      <c r="NM2" s="8" t="s">
        <v>821</v>
      </c>
      <c r="NN2" s="8" t="s">
        <v>820</v>
      </c>
      <c r="NO2" s="8" t="s">
        <v>853</v>
      </c>
      <c r="NP2" s="8" t="s">
        <v>854</v>
      </c>
      <c r="NQ2" s="8" t="s">
        <v>855</v>
      </c>
      <c r="NR2" s="8" t="s">
        <v>843</v>
      </c>
      <c r="NS2" s="8" t="s">
        <v>844</v>
      </c>
      <c r="NT2" s="5" t="s">
        <v>846</v>
      </c>
      <c r="NU2" s="8" t="s">
        <v>856</v>
      </c>
      <c r="NV2" s="8" t="s">
        <v>857</v>
      </c>
      <c r="NW2" s="8" t="s">
        <v>858</v>
      </c>
      <c r="NX2" s="8" t="s">
        <v>859</v>
      </c>
      <c r="NY2" s="8" t="s">
        <v>860</v>
      </c>
      <c r="NZ2" s="8" t="s">
        <v>843</v>
      </c>
      <c r="OA2" s="8" t="s">
        <v>861</v>
      </c>
      <c r="OB2" s="8" t="s">
        <v>862</v>
      </c>
      <c r="OC2" s="8" t="s">
        <v>863</v>
      </c>
      <c r="OD2" s="8" t="s">
        <v>864</v>
      </c>
      <c r="OE2" s="8" t="s">
        <v>865</v>
      </c>
      <c r="OF2" s="8" t="s">
        <v>866</v>
      </c>
      <c r="OG2" s="8" t="s">
        <v>867</v>
      </c>
      <c r="OH2" s="8" t="s">
        <v>868</v>
      </c>
      <c r="OI2" s="8" t="s">
        <v>869</v>
      </c>
      <c r="OJ2" s="8" t="s">
        <v>870</v>
      </c>
      <c r="OK2" s="8" t="s">
        <v>865</v>
      </c>
      <c r="OL2" s="8" t="s">
        <v>871</v>
      </c>
      <c r="OM2" s="8" t="s">
        <v>872</v>
      </c>
      <c r="ON2" s="8" t="s">
        <v>873</v>
      </c>
      <c r="OO2" s="8" t="s">
        <v>874</v>
      </c>
      <c r="OP2" s="8" t="s">
        <v>875</v>
      </c>
      <c r="OQ2" s="8" t="s">
        <v>865</v>
      </c>
      <c r="OR2" s="8" t="s">
        <v>876</v>
      </c>
      <c r="OS2" s="8" t="s">
        <v>876</v>
      </c>
      <c r="OT2" s="8" t="s">
        <v>876</v>
      </c>
      <c r="OU2" s="8" t="s">
        <v>877</v>
      </c>
      <c r="OV2" s="8" t="s">
        <v>878</v>
      </c>
      <c r="OW2" s="8" t="s">
        <v>879</v>
      </c>
      <c r="OX2" s="8" t="s">
        <v>880</v>
      </c>
      <c r="OY2" s="8" t="s">
        <v>877</v>
      </c>
      <c r="OZ2" s="8" t="s">
        <v>881</v>
      </c>
      <c r="PA2" s="8" t="s">
        <v>882</v>
      </c>
      <c r="PB2" s="8" t="s">
        <v>883</v>
      </c>
      <c r="PC2" s="8" t="s">
        <v>884</v>
      </c>
      <c r="PD2" s="8" t="s">
        <v>521</v>
      </c>
      <c r="PE2" s="8" t="s">
        <v>885</v>
      </c>
      <c r="PF2" s="8" t="s">
        <v>886</v>
      </c>
      <c r="PG2" s="8" t="s">
        <v>887</v>
      </c>
      <c r="PH2" s="8" t="s">
        <v>888</v>
      </c>
      <c r="PI2" s="8" t="s">
        <v>889</v>
      </c>
      <c r="PJ2" s="8" t="s">
        <v>890</v>
      </c>
      <c r="PK2" s="8" t="s">
        <v>891</v>
      </c>
      <c r="PL2" s="8" t="s">
        <v>892</v>
      </c>
      <c r="PM2" s="8" t="s">
        <v>893</v>
      </c>
      <c r="PN2" s="8" t="s">
        <v>873</v>
      </c>
      <c r="PO2" s="8" t="s">
        <v>631</v>
      </c>
      <c r="PP2" s="8" t="s">
        <v>894</v>
      </c>
      <c r="PQ2" s="8" t="s">
        <v>882</v>
      </c>
      <c r="PR2" s="8" t="s">
        <v>878</v>
      </c>
      <c r="PS2" s="8" t="s">
        <v>895</v>
      </c>
      <c r="PT2" s="8" t="s">
        <v>896</v>
      </c>
      <c r="PU2" s="8" t="s">
        <v>897</v>
      </c>
      <c r="PV2" s="8" t="s">
        <v>898</v>
      </c>
      <c r="PW2" s="8" t="s">
        <v>899</v>
      </c>
      <c r="PX2" s="8" t="s">
        <v>900</v>
      </c>
      <c r="PY2" s="8" t="s">
        <v>901</v>
      </c>
      <c r="PZ2" s="8" t="s">
        <v>902</v>
      </c>
      <c r="QA2" s="8" t="s">
        <v>903</v>
      </c>
      <c r="QB2" s="8" t="s">
        <v>904</v>
      </c>
      <c r="QC2" s="8" t="s">
        <v>905</v>
      </c>
      <c r="QD2" s="8" t="s">
        <v>906</v>
      </c>
      <c r="QE2" s="8" t="s">
        <v>907</v>
      </c>
      <c r="QF2" s="10" t="s">
        <v>908</v>
      </c>
      <c r="QG2" s="8" t="s">
        <v>909</v>
      </c>
      <c r="QH2" s="8" t="s">
        <v>910</v>
      </c>
      <c r="QI2" s="8" t="s">
        <v>911</v>
      </c>
      <c r="QJ2" s="8" t="s">
        <v>912</v>
      </c>
      <c r="QK2" s="8" t="s">
        <v>913</v>
      </c>
      <c r="QL2" s="8" t="s">
        <v>826</v>
      </c>
      <c r="QM2" s="8" t="s">
        <v>914</v>
      </c>
      <c r="QN2" s="8" t="s">
        <v>915</v>
      </c>
      <c r="QO2" s="8" t="s">
        <v>916</v>
      </c>
      <c r="QP2" s="8" t="s">
        <v>917</v>
      </c>
      <c r="QQ2" s="8" t="s">
        <v>918</v>
      </c>
      <c r="QR2" s="8" t="s">
        <v>919</v>
      </c>
      <c r="QS2" s="8" t="s">
        <v>920</v>
      </c>
      <c r="QT2" s="8" t="s">
        <v>921</v>
      </c>
      <c r="QU2" s="8" t="s">
        <v>922</v>
      </c>
      <c r="QV2" s="8" t="s">
        <v>923</v>
      </c>
      <c r="QW2" s="8" t="s">
        <v>924</v>
      </c>
      <c r="QX2" s="8" t="s">
        <v>925</v>
      </c>
      <c r="QY2" s="8" t="s">
        <v>926</v>
      </c>
      <c r="QZ2" s="8" t="s">
        <v>927</v>
      </c>
      <c r="RA2" s="8" t="s">
        <v>928</v>
      </c>
      <c r="RB2" s="8" t="s">
        <v>929</v>
      </c>
      <c r="RC2" s="8" t="s">
        <v>930</v>
      </c>
      <c r="RD2" s="8" t="s">
        <v>931</v>
      </c>
      <c r="RE2" s="8" t="s">
        <v>932</v>
      </c>
      <c r="RF2" s="8" t="s">
        <v>933</v>
      </c>
      <c r="RG2" s="8" t="s">
        <v>934</v>
      </c>
      <c r="RH2" s="8" t="s">
        <v>935</v>
      </c>
      <c r="RI2" s="8" t="s">
        <v>936</v>
      </c>
      <c r="RJ2" s="8" t="s">
        <v>937</v>
      </c>
      <c r="RK2" s="8" t="s">
        <v>938</v>
      </c>
      <c r="RL2" s="8" t="s">
        <v>939</v>
      </c>
      <c r="RM2" s="8" t="s">
        <v>940</v>
      </c>
      <c r="RN2" s="8" t="s">
        <v>941</v>
      </c>
      <c r="RO2" s="8" t="s">
        <v>942</v>
      </c>
      <c r="RP2" s="8" t="s">
        <v>943</v>
      </c>
      <c r="RQ2" s="8" t="s">
        <v>944</v>
      </c>
      <c r="RR2" s="8" t="s">
        <v>945</v>
      </c>
      <c r="RS2" s="8" t="s">
        <v>946</v>
      </c>
      <c r="RT2" s="8" t="s">
        <v>947</v>
      </c>
      <c r="RU2" s="8" t="s">
        <v>948</v>
      </c>
      <c r="RV2" s="8" t="s">
        <v>949</v>
      </c>
      <c r="RW2" s="8" t="s">
        <v>950</v>
      </c>
      <c r="RX2" s="8" t="s">
        <v>951</v>
      </c>
      <c r="RY2" s="8" t="s">
        <v>952</v>
      </c>
      <c r="RZ2" s="8" t="s">
        <v>953</v>
      </c>
      <c r="SA2" s="8" t="s">
        <v>954</v>
      </c>
      <c r="SB2" s="8" t="s">
        <v>955</v>
      </c>
      <c r="SC2" s="8" t="s">
        <v>956</v>
      </c>
      <c r="SD2" s="8" t="s">
        <v>957</v>
      </c>
      <c r="SE2" s="8" t="s">
        <v>958</v>
      </c>
      <c r="SF2" s="8" t="s">
        <v>959</v>
      </c>
    </row>
    <row r="3" ht="14.25" customHeight="1">
      <c r="A3" s="7" t="s">
        <v>960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IFERROR(__xludf.DUMMYFUNCTION("GOOGLETRANSLATE(CS2,""en"",""fr"")"),"Centre africain de recherche sur la population et la santé")</f>
        <v>Centre africain de recherche sur la population et la santé</v>
      </c>
      <c r="CT3" s="8" t="str">
        <f>IFERROR(__xludf.DUMMYFUNCTION("GOOGLETRANSLATE(CT2,""en"",""fr"")"),"Tous droits réservés")</f>
        <v>Tous droits réservés</v>
      </c>
      <c r="CU3" s="8" t="str">
        <f>IFERROR(__xludf.DUMMYFUNCTION("GOOGLETRANSLATE(CU2,""en"",""fr"")"),"droits d'auteur")</f>
        <v>droits d'auteur</v>
      </c>
      <c r="CV3" s="8" t="str">
        <f>IFERROR(__xludf.DUMMYFUNCTION("GOOGLETRANSLATE(CV2,""en"",""fr"")"),"Contactez-nous")</f>
        <v>Contactez-nous</v>
      </c>
      <c r="CW3" s="8" t="str">
        <f>IFERROR(__xludf.DUMMYFUNCTION("GOOGLETRANSLATE(CW2,""en"",""fr"")"),"Transformer")</f>
        <v>Transformer</v>
      </c>
      <c r="CX3" s="8" t="str">
        <f>IFERROR(__xludf.DUMMYFUNCTION("GOOGLETRANSLATE(CX2,""en"",""fr"")"),"PLATEFORME SANS CODE AUTOML APHRC")</f>
        <v>PLATEFORME SANS CODE AUTOML APHRC</v>
      </c>
      <c r="CY3" s="8" t="str">
        <f>IFERROR(__xludf.DUMMYFUNCTION("GOOGLETRANSLATE(CY2,""en"",""fr"")"),"Maison")</f>
        <v>Maison</v>
      </c>
      <c r="CZ3" s="8" t="str">
        <f>IFERROR(__xludf.DUMMYFUNCTION("GOOGLETRANSLATE(CZ2,""en"",""fr"")"),"Données sources")</f>
        <v>Données sources</v>
      </c>
      <c r="DA3" s="8" t="str">
        <f>IFERROR(__xludf.DUMMYFUNCTION("GOOGLETRANSLATE(DA2,""en"",""fr"")"),"Gérer les données")</f>
        <v>Gérer les données</v>
      </c>
      <c r="DB3" s="8" t="str">
        <f>IFERROR(__xludf.DUMMYFUNCTION("GOOGLETRANSLATE(DB2,""en"",""fr"")"),"Aperçu")</f>
        <v>Aperçu</v>
      </c>
      <c r="DC3" s="8" t="str">
        <f>IFERROR(__xludf.DUMMYFUNCTION("GOOGLETRANSLATE(DC2,""en"",""fr"")"),"Explorer")</f>
        <v>Explorer</v>
      </c>
      <c r="DD3" s="8" t="str">
        <f>IFERROR(__xludf.DUMMYFUNCTION("GOOGLETRANSLATE(DD2,""en"",""fr"")"),"Transformer")</f>
        <v>Transformer</v>
      </c>
      <c r="DE3" s="8" t="str">
        <f>IFERROR(__xludf.DUMMYFUNCTION("GOOGLETRANSLATE(DE2,""en"",""fr"")"),"Temporaire")</f>
        <v>Temporaire</v>
      </c>
      <c r="DF3" s="8" t="str">
        <f>IFERROR(__xludf.DUMMYFUNCTION("GOOGLETRANSLATE(DF2,""en"",""fr"")"),"Constructeur de cohorte")</f>
        <v>Constructeur de cohorte</v>
      </c>
      <c r="DG3" s="8" t="str">
        <f>IFERROR(__xludf.DUMMYFUNCTION("GOOGLETRANSLATE(DG2,""en"",""fr"")"),"Combiner les données")</f>
        <v>Combiner les données</v>
      </c>
      <c r="DH3" s="8" t="str">
        <f>IFERROR(__xludf.DUMMYFUNCTION("GOOGLETRANSLATE(DH2,""en"",""fr"")"),"Ajouter des lignes")</f>
        <v>Ajouter des lignes</v>
      </c>
      <c r="DI3" s="8" t="str">
        <f>IFERROR(__xludf.DUMMYFUNCTION("GOOGLETRANSLATE(DI2,""en"",""fr"")"),"Ajouter des colonnes")</f>
        <v>Ajouter des colonnes</v>
      </c>
      <c r="DJ3" s="8" t="str">
        <f>IFERROR(__xludf.DUMMYFUNCTION("GOOGLETRANSLATE(DJ2,""en"",""fr"")"),"Visualiser les données")</f>
        <v>Visualiser les données</v>
      </c>
      <c r="DK3" s="8" t="str">
        <f>IFERROR(__xludf.DUMMYFUNCTION("GOOGLETRANSLATE(DK2,""en"",""fr"")"),"Automatique")</f>
        <v>Automatique</v>
      </c>
      <c r="DL3" s="8" t="str">
        <f>IFERROR(__xludf.DUMMYFUNCTION("GOOGLETRANSLATE(DL2,""en"",""fr"")"),"Coutume")</f>
        <v>Coutume</v>
      </c>
      <c r="DM3" s="8" t="str">
        <f>IFERROR(__xludf.DUMMYFUNCTION("GOOGLETRANSLATE(DM2,""en"",""fr"")"),"Numérique")</f>
        <v>Numérique</v>
      </c>
      <c r="DN3" s="8" t="str">
        <f>IFERROR(__xludf.DUMMYFUNCTION("GOOGLETRANSLATE(DN2,""en"",""fr"")"),"Catégorique")</f>
        <v>Catégorique</v>
      </c>
      <c r="DO3" s="8" t="str">
        <f>IFERROR(__xludf.DUMMYFUNCTION("GOOGLETRANSLATE(DO2,""en"",""fr"")"),"apprentissage automatique")</f>
        <v>apprentissage automatique</v>
      </c>
      <c r="DP3" s="8" t="str">
        <f>IFERROR(__xludf.DUMMYFUNCTION("GOOGLETRANSLATE(DP2,""en"",""fr"")"),"Initialiser")</f>
        <v>Initialiser</v>
      </c>
      <c r="DQ3" s="8" t="str">
        <f>IFERROR(__xludf.DUMMYFUNCTION("GOOGLETRANSLATE(DQ2,""en"",""fr"")"),"Constructeur de cohorte")</f>
        <v>Constructeur de cohorte</v>
      </c>
      <c r="DR3" s="8" t="str">
        <f>IFERROR(__xludf.DUMMYFUNCTION("GOOGLETRANSLATE(DR2,""en"",""fr"")"),"Ingénierie des fonctionnalités")</f>
        <v>Ingénierie des fonctionnalités</v>
      </c>
      <c r="DS3" s="8" t="str">
        <f>IFERROR(__xludf.DUMMYFUNCTION("GOOGLETRANSLATE(DS2,""en"",""fr"")"),"Modèle de train")</f>
        <v>Modèle de train</v>
      </c>
      <c r="DT3" s="8" t="str">
        <f>IFERROR(__xludf.DUMMYFUNCTION("GOOGLETRANSLATE(DT2,""en"",""fr"")"),"Valider et déployer le modèle")</f>
        <v>Valider et déployer le modèle</v>
      </c>
      <c r="DU3" s="8" t="str">
        <f>IFERROR(__xludf.DUMMYFUNCTION("GOOGLETRANSLATE(DU2,""en"",""fr"")"),"Prédire/classer")</f>
        <v>Prédire/classer</v>
      </c>
      <c r="DV3" s="8" t="str">
        <f>IFERROR(__xludf.DUMMYFUNCTION("GOOGLETRANSLATE(DV2,""en"",""fr"")"),"Ressources supplémentaires")</f>
        <v>Ressources supplémentaires</v>
      </c>
      <c r="DW3" s="8" t="str">
        <f>IFERROR(__xludf.DUMMYFUNCTION("GOOGLETRANSLATE(DW2,""en"",""fr"")"),"Connexion à la base de données réussie")</f>
        <v>Connexion à la base de données réussie</v>
      </c>
      <c r="DX3" s="8" t="str">
        <f>IFERROR(__xludf.DUMMYFUNCTION("GOOGLETRANSLATE(DX2,""en"",""fr"")"),"Source des données")</f>
        <v>Source des données</v>
      </c>
      <c r="DY3" s="8" t="str">
        <f>IFERROR(__xludf.DUMMYFUNCTION("GOOGLETRANSLATE(DY2,""en"",""fr"")"),"Sélectionnez une option.")</f>
        <v>Sélectionnez une option.</v>
      </c>
      <c r="DZ3" s="8" t="str">
        <f>IFERROR(__xludf.DUMMYFUNCTION("GOOGLETRANSLATE(DZ2,""en"",""fr"")"),"Nouvelles données")</f>
        <v>Nouvelles données</v>
      </c>
      <c r="EA3" s="8" t="str">
        <f>IFERROR(__xludf.DUMMYFUNCTION("GOOGLETRANSLATE(EA2,""en"",""fr"")"),"Sélectionnez les données")</f>
        <v>Sélectionnez les données</v>
      </c>
      <c r="EB3" s="8" t="str">
        <f>IFERROR(__xludf.DUMMYFUNCTION("GOOGLETRANSLATE(EB2,""en"",""fr"")"),"Ajouter un deuxième ensemble de données à partir de")</f>
        <v>Ajouter un deuxième ensemble de données à partir de</v>
      </c>
      <c r="EC3" s="8" t="str">
        <f>IFERROR(__xludf.DUMMYFUNCTION("GOOGLETRANSLATE(EC2,""en"",""fr"")"),"Variables correspondantes")</f>
        <v>Variables correspondantes</v>
      </c>
      <c r="ED3" s="8" t="s">
        <v>961</v>
      </c>
      <c r="EE3" s="8" t="str">
        <f>IFERROR(__xludf.DUMMYFUNCTION("GOOGLETRANSLATE(EE2,""en"",""fr"")"),"Procédez à la combinaison des lignes/colonnes")</f>
        <v>Procédez à la combinaison des lignes/colonnes</v>
      </c>
      <c r="EF3" s="8" t="str">
        <f>IFERROR(__xludf.DUMMYFUNCTION("GOOGLETRANSLATE(EF2,""en"",""fr"")"),"Aucune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G3" s="8" t="str">
        <f>IFERROR(__xludf.DUMMYFUNCTION("GOOGLETRANSLATE(EG2,""en"",""fr"")"),"Correspondance des variables")</f>
        <v>Correspondance des variables</v>
      </c>
      <c r="EH3" s="8" t="str">
        <f>IFERROR(__xludf.DUMMYFUNCTION("GOOGLETRANSLATE(EH2,""en"",""fr"")"),"Comment combiner les nouvelles données avec celles déjà sélectionnées…")</f>
        <v>Comment combiner les nouvelles données avec celles déjà sélectionnées…</v>
      </c>
      <c r="EI3" s="8" t="str">
        <f>IFERROR(__xludf.DUMMYFUNCTION("GOOGLETRANSLATE(EI2,""en"",""fr"")"),"Variables de données de base")</f>
        <v>Variables de données de base</v>
      </c>
      <c r="EJ3" s="8" t="str">
        <f>IFERROR(__xludf.DUMMYFUNCTION("GOOGLETRANSLATE(EJ2,""en"",""fr"")"),"Nouvelles variables de données")</f>
        <v>Nouvelles variables de données</v>
      </c>
      <c r="EK3" s="8" t="str">
        <f>IFERROR(__xludf.DUMMYFUNCTION("GOOGLETRANSLATE(EK2,""en"",""fr"")"),"Structure")</f>
        <v>Structure</v>
      </c>
      <c r="EL3" s="8" t="str">
        <f>IFERROR(__xludf.DUMMYFUNCTION("GOOGLETRANSLATE(EL2,""en"",""fr"")"),"Résumé")</f>
        <v>Résumé</v>
      </c>
      <c r="EM3" s="8" t="str">
        <f>IFERROR(__xludf.DUMMYFUNCTION("GOOGLETRANSLATE(EM2,""en"",""fr"")"),"Parcourir")</f>
        <v>Parcourir</v>
      </c>
      <c r="EN3" s="8" t="str">
        <f>IFERROR(__xludf.DUMMYFUNCTION("GOOGLETRANSLATE(EN2,""en"",""fr"")"),"Cette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O3" s="8" t="str">
        <f>IFERROR(__xludf.DUMMYFUNCTION("GOOGLETRANSLATE(EO2,""en"",""fr"")"),"Type visuel")</f>
        <v>Type visuel</v>
      </c>
      <c r="EP3" s="8" t="str">
        <f>IFERROR(__xludf.DUMMYFUNCTION("GOOGLETRANSLATE(EP2,""en"",""fr"")"),"Options de table")</f>
        <v>Options de table</v>
      </c>
      <c r="EQ3" s="8" t="str">
        <f>IFERROR(__xludf.DUMMYFUNCTION("GOOGLETRANSLATE(EQ2,""en"",""fr"")"),"Sélectionner la variable de mesure/calcul")</f>
        <v>Sélectionner la variable de mesure/calcul</v>
      </c>
      <c r="ER3" s="8" t="str">
        <f>IFERROR(__xludf.DUMMYFUNCTION("GOOGLETRANSLATE(ER2,""en"",""fr"")"),"Sélectionner la variable Strata")</f>
        <v>Sélectionner la variable Strata</v>
      </c>
      <c r="ES3" s="8" t="str">
        <f>IFERROR(__xludf.DUMMYFUNCTION("GOOGLETRANSLATE(ES2,""en"",""fr"")"),"Sélectionner la variable de colonne")</f>
        <v>Sélectionner la variable de colonne</v>
      </c>
      <c r="ET3" s="8" t="str">
        <f>IFERROR(__xludf.DUMMYFUNCTION("GOOGLETRANSLATE(ET2,""en"",""fr"")"),"Créer un tableau croisé dynamique")</f>
        <v>Créer un tableau croisé dynamique</v>
      </c>
      <c r="EU3" s="8" t="str">
        <f>IFERROR(__xludf.DUMMYFUNCTION("GOOGLETRANSLATE(EU2,""en"",""fr"")"),"Télécharger le tableau")</f>
        <v>Télécharger le tableau</v>
      </c>
      <c r="EV3" s="8" t="str">
        <f>IFERROR(__xludf.DUMMYFUNCTION("GOOGLETRANSLATE(EV2,""en"",""fr"")"),"Plus d'options de table")</f>
        <v>Plus d'options de table</v>
      </c>
      <c r="EW3" s="8" t="str">
        <f>IFERROR(__xludf.DUMMYFUNCTION("GOOGLETRANSLATE(EW2,""en"",""fr"")"),"Rapport numérique")</f>
        <v>Rapport numérique</v>
      </c>
      <c r="EX3" s="8" t="str">
        <f>IFERROR(__xludf.DUMMYFUNCTION("GOOGLETRANSLATE(EX2,""en"",""fr"")"),"Résumé numérique")</f>
        <v>Résumé numérique</v>
      </c>
      <c r="EY3" s="8" t="str">
        <f>IFERROR(__xludf.DUMMYFUNCTION("GOOGLETRANSLATE(EY2,""en"",""fr"")"),"Ajouter la valeur p")</f>
        <v>Ajouter la valeur p</v>
      </c>
      <c r="EZ3" s="8" t="str">
        <f>IFERROR(__xludf.DUMMYFUNCTION("GOOGLETRANSLATE(EZ2,""en"",""fr"")"),"Ajouter un intervalle de confiance")</f>
        <v>Ajouter un intervalle de confiance</v>
      </c>
      <c r="FA3" s="8" t="str">
        <f>IFERROR(__xludf.DUMMYFUNCTION("GOOGLETRANSLATE(FA2,""en"",""fr"")"),"Supprimer les valeurs manquantes")</f>
        <v>Supprimer les valeurs manquantes</v>
      </c>
      <c r="FB3" s="8" t="str">
        <f>IFERROR(__xludf.DUMMYFUNCTION("GOOGLETRANSLATE(FB2,""en"",""fr"")"),"Légende du tableau")</f>
        <v>Légende du tableau</v>
      </c>
      <c r="FC3" s="8" t="str">
        <f>IFERROR(__xludf.DUMMYFUNCTION("GOOGLETRANSLATE(FC2,""en"",""fr"")"),"Options de données")</f>
        <v>Options de données</v>
      </c>
      <c r="FD3" s="8" t="str">
        <f>IFERROR(__xludf.DUMMYFUNCTION("GOOGLETRANSLATE(FD2,""en"",""fr"")"),"Sélectionner l'ensemble de données")</f>
        <v>Sélectionner l'ensemble de données</v>
      </c>
      <c r="FE3" s="8" t="str">
        <f>IFERROR(__xludf.DUMMYFUNCTION("GOOGLETRANSLATE(FE2,""en"",""fr"")"),"Options de l'intrigue")</f>
        <v>Options de l'intrigue</v>
      </c>
      <c r="FF3" s="8" t="str">
        <f>IFERROR(__xludf.DUMMYFUNCTION("GOOGLETRANSLATE(FF2,""en"",""fr"")"),"Sélectionnez la variable sur l'axe des x")</f>
        <v>Sélectionnez la variable sur l'axe des x</v>
      </c>
      <c r="FG3" s="8" t="str">
        <f>IFERROR(__xludf.DUMMYFUNCTION("GOOGLETRANSLATE(FG2,""en"",""fr"")"),"Sélectionnez la variable sur l'axe des y")</f>
        <v>Sélectionnez la variable sur l'axe des y</v>
      </c>
      <c r="FH3" s="8" t="str">
        <f>IFERROR(__xludf.DUMMYFUNCTION("GOOGLETRANSLATE(FH2,""en"",""fr"")"),"Titre de l'intrigue")</f>
        <v>Titre de l'intrigue</v>
      </c>
      <c r="FI3" s="8" t="str">
        <f>IFERROR(__xludf.DUMMYFUNCTION("GOOGLETRANSLATE(FI2,""en"",""fr"")"),"Étiquette de l'axe X")</f>
        <v>Étiquette de l'axe X</v>
      </c>
      <c r="FJ3" s="8" t="str">
        <f>IFERROR(__xludf.DUMMYFUNCTION("GOOGLETRANSLATE(FJ2,""en"",""fr"")"),"Étiquette de l'axe Y")</f>
        <v>Étiquette de l'axe Y</v>
      </c>
      <c r="FK3" s="8" t="str">
        <f>IFERROR(__xludf.DUMMYFUNCTION("GOOGLETRANSLATE(FK2,""en"",""fr"")"),"Créer un tracé")</f>
        <v>Créer un tracé</v>
      </c>
      <c r="FL3" s="8" t="str">
        <f>IFERROR(__xludf.DUMMYFUNCTION("GOOGLETRANSLATE(FL2,""en"",""fr"")"),"Télécharger")</f>
        <v>Télécharger</v>
      </c>
      <c r="FM3" s="8" t="str">
        <f>IFERROR(__xludf.DUMMYFUNCTION("GOOGLETRANSLATE(FM2,""en"",""fr"")"),"Plus d'options d'intrigue")</f>
        <v>Plus d'options d'intrigue</v>
      </c>
      <c r="FN3" s="8" t="str">
        <f>IFERROR(__xludf.DUMMYFUNCTION("GOOGLETRANSLATE(FN2,""en"",""fr"")"),"Transformer en beignet")</f>
        <v>Transformer en beignet</v>
      </c>
      <c r="FO3" s="8" t="str">
        <f>IFERROR(__xludf.DUMMYFUNCTION("GOOGLETRANSLATE(FO2,""en"",""fr"")"),"Sélectionner la variable de couleur")</f>
        <v>Sélectionner la variable de couleur</v>
      </c>
      <c r="FP3" s="8" t="str">
        <f>IFERROR(__xludf.DUMMYFUNCTION("GOOGLETRANSLATE(FP2,""en"",""fr"")"),"Sélectionner la variable de groupe")</f>
        <v>Sélectionner la variable de groupe</v>
      </c>
      <c r="FQ3" s="8" t="str">
        <f>IFERROR(__xludf.DUMMYFUNCTION("GOOGLETRANSLATE(FQ2,""en"",""fr"")"),"Orientation visuelle")</f>
        <v>Orientation visuelle</v>
      </c>
      <c r="FR3" s="8" t="str">
        <f>IFERROR(__xludf.DUMMYFUNCTION("GOOGLETRANSLATE(FR2,""en"",""fr"")"),"Afficher l'intervalle de confiance")</f>
        <v>Afficher l'intervalle de confiance</v>
      </c>
      <c r="FS3" s="8" t="str">
        <f>IFERROR(__xludf.DUMMYFUNCTION("GOOGLETRANSLATE(FS2,""en"",""fr"")"),"Niveau de l'intervalle de confiance")</f>
        <v>Niveau de l'intervalle de confiance</v>
      </c>
      <c r="FT3" s="8" t="str">
        <f>IFERROR(__xludf.DUMMYFUNCTION("GOOGLETRANSLATE(FT2,""en"",""fr"")"),"Sélectionner la jointure de ligne")</f>
        <v>Sélectionner la jointure de ligne</v>
      </c>
      <c r="FU3" s="8" t="str">
        <f>IFERROR(__xludf.DUMMYFUNCTION("GOOGLETRANSLATE(FU2,""en"",""fr"")"),"Ajouter un type de ligne")</f>
        <v>Ajouter un type de ligne</v>
      </c>
      <c r="FV3" s="8" t="str">
        <f>IFERROR(__xludf.DUMMYFUNCTION("GOOGLETRANSLATE(FV2,""en"",""fr"")"),"Ajouter des points")</f>
        <v>Ajouter des points</v>
      </c>
      <c r="FW3" s="8" t="str">
        <f>IFERROR(__xludf.DUMMYFUNCTION("GOOGLETRANSLATE(FW2,""en"",""fr"")"),"Type de résumé de la variable Y")</f>
        <v>Type de résumé de la variable Y</v>
      </c>
      <c r="FX3" s="8" t="str">
        <f>IFERROR(__xludf.DUMMYFUNCTION("GOOGLETRANSLATE(FX2,""en"",""fr"")"),"Poste titulaire")</f>
        <v>Poste titulaire</v>
      </c>
      <c r="FY3" s="8" t="str">
        <f>IFERROR(__xludf.DUMMYFUNCTION("GOOGLETRANSLATE(FY2,""en"",""fr"")"),"Taille du titre de l'axe")</f>
        <v>Taille du titre de l'axe</v>
      </c>
      <c r="FZ3" s="8" t="str">
        <f>IFERROR(__xludf.DUMMYFUNCTION("GOOGLETRANSLATE(FZ2,""en"",""fr"")"),"Taille du titre de facette")</f>
        <v>Taille du titre de facette</v>
      </c>
      <c r="GA3" s="8" t="str">
        <f>IFERROR(__xludf.DUMMYFUNCTION("GOOGLETRANSLATE(GA2,""en"",""fr"")"),"Taille du texte de l'axe")</f>
        <v>Taille du texte de l'axe</v>
      </c>
      <c r="GB3" s="8" t="str">
        <f>IFERROR(__xludf.DUMMYFUNCTION("GOOGLETRANSLATE(GB2,""en"",""fr"")"),"taille de l'étiquette de données")</f>
        <v>taille de l'étiquette de données</v>
      </c>
      <c r="GC3" s="8" t="str">
        <f>IFERROR(__xludf.DUMMYFUNCTION("GOOGLETRANSLATE(GC2,""en"",""fr"")"),"angle du texte sur l'axe X")</f>
        <v>angle du texte sur l'axe X</v>
      </c>
      <c r="GD3" s="8" t="str">
        <f>IFERROR(__xludf.DUMMYFUNCTION("GOOGLETRANSLATE(GD2,""en"",""fr"")"),"Titre légendaire")</f>
        <v>Titre légendaire</v>
      </c>
      <c r="GE3" s="8" t="str">
        <f>IFERROR(__xludf.DUMMYFUNCTION("GOOGLETRANSLATE(GE2,""en"",""fr"")"),"Empilé")</f>
        <v>Empilé</v>
      </c>
      <c r="GF3" s="8" t="str">
        <f>IFERROR(__xludf.DUMMYFUNCTION("GOOGLETRANSLATE(GF2,""en"",""fr"")"),"Ajouter de la densité")</f>
        <v>Ajouter de la densité</v>
      </c>
      <c r="GG3" s="8" t="str">
        <f>IFERROR(__xludf.DUMMYFUNCTION("GOOGLETRANSLATE(GG2,""en"",""fr"")"),"Taille du titre de l'intrigue")</f>
        <v>Taille du titre de l'intrigue</v>
      </c>
      <c r="GH3" s="8" t="str">
        <f>IFERROR(__xludf.DUMMYFUNCTION("GOOGLETRANSLATE(GH2,""en"",""fr"")"),"Largeur de la barre")</f>
        <v>Largeur de la barre</v>
      </c>
      <c r="GI3" s="8" t="str">
        <f>IFERROR(__xludf.DUMMYFUNCTION("GOOGLETRANSLATE(GI2,""en"",""fr"")"),"Largeur de la boîte")</f>
        <v>Largeur de la boîte</v>
      </c>
      <c r="GJ3" s="8" t="str">
        <f>IFERROR(__xludf.DUMMYFUNCTION("GOOGLETRANSLATE(GJ2,""en"",""fr"")"),"Taille de la ligne")</f>
        <v>Taille de la ligne</v>
      </c>
      <c r="GK3" s="8" t="str">
        <f>IFERROR(__xludf.DUMMYFUNCTION("GOOGLETRANSLATE(GK2,""en"",""fr"")"),"Sélectionnez le type de ligne")</f>
        <v>Sélectionnez le type de ligne</v>
      </c>
      <c r="GL3" s="8" t="str">
        <f>IFERROR(__xludf.DUMMYFUNCTION("GOOGLETRANSLATE(GL2,""en"",""fr"")"),"Ajouter des formes")</f>
        <v>Ajouter des formes</v>
      </c>
      <c r="GM3" s="8" t="str">
        <f>IFERROR(__xludf.DUMMYFUNCTION("GOOGLETRANSLATE(GM2,""en"",""fr"")"),"Sélectionnez la forme")</f>
        <v>Sélectionnez la forme</v>
      </c>
      <c r="GN3" s="8" t="str">
        <f>IFERROR(__xludf.DUMMYFUNCTION("GOOGLETRANSLATE(GN2,""en"",""fr"")"),"Ajoutez une texture lisse")</f>
        <v>Ajoutez une texture lisse</v>
      </c>
      <c r="GO3" s="8" t="str">
        <f>IFERROR(__xludf.DUMMYFUNCTION("GOOGLETRANSLATE(GO2,""en"",""fr"")"),"Supprimer l'histogramme")</f>
        <v>Supprimer l'histogramme</v>
      </c>
      <c r="GP3" s="8" t="str">
        <f>IFERROR(__xludf.DUMMYFUNCTION("GOOGLETRANSLATE(GP2,""en"",""fr"")"),"Sélectionnez une couleur")</f>
        <v>Sélectionnez une couleur</v>
      </c>
      <c r="GQ3" s="8" t="str">
        <f>IFERROR(__xludf.DUMMYFUNCTION("GOOGLETRANSLATE(GQ2,""en"",""fr"")"),"Sélectionnez la couleur parlet")</f>
        <v>Sélectionnez la couleur parlet</v>
      </c>
      <c r="GR3" s="8" t="str">
        <f>IFERROR(__xludf.DUMMYFUNCTION("GOOGLETRANSLATE(GR2,""en"",""fr"")"),"Diagramme à barres")</f>
        <v>Diagramme à barres</v>
      </c>
      <c r="GS3" s="8" t="str">
        <f>IFERROR(__xludf.DUMMYFUNCTION("GOOGLETRANSLATE(GS2,""en"",""fr"")"),"Résumé détaillé")</f>
        <v>Résumé détaillé</v>
      </c>
      <c r="GT3" s="8" t="str">
        <f>IFERROR(__xludf.DUMMYFUNCTION("GOOGLETRANSLATE(GT2,""en"",""fr"")"),"Ajouter des lignes")</f>
        <v>Ajouter des lignes</v>
      </c>
      <c r="GU3" s="8" t="str">
        <f>IFERROR(__xludf.DUMMYFUNCTION("GOOGLETRANSLATE(GU2,""en"",""fr"")"),"Créer une variable ID")</f>
        <v>Créer une variable ID</v>
      </c>
      <c r="GV3" s="8" t="str">
        <f>IFERROR(__xludf.DUMMYFUNCTION("GOOGLETRANSLATE(GV2,""en"",""fr"")"),"Visualisation de données personnalisée")</f>
        <v>Visualisation de données personnalisée</v>
      </c>
      <c r="GW3" s="8" t="str">
        <f>IFERROR(__xludf.DUMMYFUNCTION("GOOGLETRANSLATE(GW2,""en"",""fr"")"),"Ajout de lignes et de colonnes")</f>
        <v>Ajout de lignes et de colonnes</v>
      </c>
      <c r="GX3" s="8" t="str">
        <f>IFERROR(__xludf.DUMMYFUNCTION("GOOGLETRANSLATE(GX2,""en"",""fr"")"),"Sélectionner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Y3" s="8" t="str">
        <f>IFERROR(__xludf.DUMMYFUNCTION("GOOGLETRANSLATE(GY2,""en"",""fr"")"),"Sélectionnez pour correspondre")</f>
        <v>Sélectionnez pour correspondre</v>
      </c>
      <c r="GZ3" s="8" t="str">
        <f>IFERROR(__xludf.DUMMYFUNCTION("GOOGLETRANSLATE(GZ2,""en"",""fr"")"),"Correspondance des variables sélectionnées")</f>
        <v>Correspondance des variables sélectionnées</v>
      </c>
      <c r="HA3" s="8" t="str">
        <f>IFERROR(__xludf.DUMMYFUNCTION("GOOGLETRANSLATE(HA2,""en"",""fr"")"),"Combiner les ensembles de données")</f>
        <v>Combiner les ensembles de données</v>
      </c>
      <c r="HB3" s="11" t="s">
        <v>962</v>
      </c>
      <c r="HC3" s="11" t="s">
        <v>963</v>
      </c>
      <c r="HD3" s="8" t="s">
        <v>964</v>
      </c>
      <c r="HE3" s="8" t="s">
        <v>965</v>
      </c>
      <c r="HF3" s="8" t="s">
        <v>966</v>
      </c>
      <c r="HG3" s="8" t="s">
        <v>967</v>
      </c>
      <c r="HH3" s="8" t="s">
        <v>968</v>
      </c>
      <c r="HI3" s="8" t="s">
        <v>969</v>
      </c>
      <c r="HJ3" s="8" t="s">
        <v>970</v>
      </c>
      <c r="HK3" s="8" t="s">
        <v>971</v>
      </c>
      <c r="HL3" s="8" t="s">
        <v>972</v>
      </c>
      <c r="HM3" s="8" t="s">
        <v>973</v>
      </c>
      <c r="HN3" s="8" t="s">
        <v>974</v>
      </c>
      <c r="HO3" s="8" t="s">
        <v>975</v>
      </c>
      <c r="HP3" s="8" t="s">
        <v>976</v>
      </c>
      <c r="HQ3" s="8" t="s">
        <v>977</v>
      </c>
      <c r="HR3" s="8" t="s">
        <v>978</v>
      </c>
      <c r="HS3" s="8" t="s">
        <v>979</v>
      </c>
      <c r="HT3" s="8" t="s">
        <v>980</v>
      </c>
      <c r="HU3" s="8" t="s">
        <v>981</v>
      </c>
      <c r="HV3" s="8" t="s">
        <v>982</v>
      </c>
      <c r="HW3" s="8" t="s">
        <v>983</v>
      </c>
      <c r="HX3" s="8" t="s">
        <v>984</v>
      </c>
      <c r="HY3" s="8" t="s">
        <v>985</v>
      </c>
      <c r="HZ3" s="8" t="s">
        <v>986</v>
      </c>
      <c r="IA3" s="8" t="s">
        <v>987</v>
      </c>
      <c r="IB3" s="8" t="str">
        <f>IFERROR(__xludf.DUMMYFUNCTION("GOOGLETRANSLATE(IB2,""en"",""fr"")"),"Clé API enregistrée détectée. Passez à la génération de la question de recherche.")</f>
        <v>Clé API enregistrée détectée. Passez à la génération de la question de recherche.</v>
      </c>
      <c r="IC3" s="8" t="str">
        <f>IFERROR(__xludf.DUMMYFUNCTION("GOOGLETRANSLATE(IC2,""en"",""fr"")"),"Ajouter une clé API Gemini")</f>
        <v>Ajouter une clé API Gemini</v>
      </c>
      <c r="ID3" s="8" t="str">
        <f>IFERROR(__xludf.DUMMYFUNCTION("GOOGLETRANSLATE(ID2,""en"",""fr"")"),"Collez la clé API")</f>
        <v>Collez la clé API</v>
      </c>
      <c r="IE3" s="8" t="str">
        <f>IFERROR(__xludf.DUMMYFUNCTION("GOOGLETRANSLATE(IE2,""en"",""fr"")"),"Soumettre une API")</f>
        <v>Soumettre une API</v>
      </c>
      <c r="IF3" s="8" t="str">
        <f>IFERROR(__xludf.DUMMYFUNCTION("GOOGLETRANSLATE(IF2,""en"",""fr"")"),"Pas d'API ? Générez à partir de")</f>
        <v>Pas d'API ? Générez à partir de</v>
      </c>
      <c r="IG3" s="8" t="str">
        <f>IFERROR(__xludf.DUMMYFUNCTION("GOOGLETRANSLATE(IG2,""en"",""fr"")"),"Ici")</f>
        <v>Ici</v>
      </c>
      <c r="IH3" s="8" t="str">
        <f>IFERROR(__xludf.DUMMYFUNCTION("GOOGLETRANSLATE(IH2,""en"",""fr"")"),"API enregistrée avec succès")</f>
        <v>API enregistrée avec succès</v>
      </c>
      <c r="II3" s="8" t="str">
        <f>IFERROR(__xludf.DUMMYFUNCTION("GOOGLETRANSLATE(II2,""en"",""fr"")"),"Afficher/masquer les invites supplémentaires")</f>
        <v>Afficher/masquer les invites supplémentaires</v>
      </c>
      <c r="IJ3" s="8" t="str">
        <f>IFERROR(__xludf.DUMMYFUNCTION("GOOGLETRANSLATE(IJ2,""en"",""fr"")"),"Ajouter un titre")</f>
        <v>Ajouter un titre</v>
      </c>
      <c r="IK3" s="8" t="str">
        <f>IFERROR(__xludf.DUMMYFUNCTION("GOOGLETRANSLATE(IK2,""en"",""fr"")"),"Ajouter des informations générales")</f>
        <v>Ajouter des informations générales</v>
      </c>
      <c r="IL3" s="8" t="str">
        <f>IFERROR(__xludf.DUMMYFUNCTION("GOOGLETRANSLATE(IL2,""en"",""fr"")"),"Ajouter des objectifs")</f>
        <v>Ajouter des objectifs</v>
      </c>
      <c r="IM3" s="8" t="str">
        <f>IFERROR(__xludf.DUMMYFUNCTION("GOOGLETRANSLATE(IM2,""en"",""fr"")"),"Suggérer une analyse")</f>
        <v>Suggérer une analyse</v>
      </c>
      <c r="IN3" s="8" t="str">
        <f>IFERROR(__xludf.DUMMYFUNCTION("GOOGLETRANSLATE(IN2,""en"",""fr"")"),"Générer")</f>
        <v>Générer</v>
      </c>
      <c r="IO3" s="8" t="str">
        <f>IFERROR(__xludf.DUMMYFUNCTION("GOOGLETRANSLATE(IO2,""en"",""fr"")"),"Questions de recherche possibles")</f>
        <v>Questions de recherche possibles</v>
      </c>
      <c r="IP3" s="8" t="str">
        <f>IFERROR(__xludf.DUMMYFUNCTION("GOOGLETRANSLATE(IP2,""en"",""fr"")"),"Une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Q3" s="8" t="str">
        <f>IFERROR(__xludf.DUMMYFUNCTION("GOOGLETRANSLATE(IQ2,""en"",""fr"")"),"Les données ont-elles un résultat intéressant ?")</f>
        <v>Les données ont-elles un résultat intéressant ?</v>
      </c>
      <c r="IR3" s="8" t="str">
        <f>IFERROR(__xludf.DUMMYFUNCTION("GOOGLETRANSLATE(IR2,""en"",""fr"")"),"Sélectionnez une option.")</f>
        <v>Sélectionnez une option.</v>
      </c>
      <c r="IS3" s="8" t="str">
        <f>IFERROR(__xludf.DUMMYFUNCTION("GOOGLETRANSLATE(IS2,""en"",""fr"")"),"Sélectionnez le résultat qui vous intéresse")</f>
        <v>Sélectionnez le résultat qui vous intéresse</v>
      </c>
      <c r="IT3" s="8" t="str">
        <f>IFERROR(__xludf.DUMMYFUNCTION("GOOGLETRANSLATE(IT2,""en"",""fr"")"),"Méthodes d'analyse suggérées")</f>
        <v>Méthodes d'analyse suggérées</v>
      </c>
      <c r="IU3" s="8" t="str">
        <f>IFERROR(__xludf.DUMMYFUNCTION("GOOGLETRANSLATE(IU2,""en"",""fr"")"),"Sélectionnez une couleur")</f>
        <v>Sélectionnez une couleur</v>
      </c>
      <c r="IV3" s="8" t="str">
        <f>IFERROR(__xludf.DUMMYFUNCTION("GOOGLETRANSLATE(IV2,""en"",""fr"")"),"Sélectionnez une option")</f>
        <v>Sélectionnez une option</v>
      </c>
      <c r="IW3" s="8" t="str">
        <f>IFERROR(__xludf.DUMMYFUNCTION("GOOGLETRANSLATE(IW2,""en"",""fr"")"),"Type d'analyse")</f>
        <v>Type d'analyse</v>
      </c>
      <c r="IX3" s="8" t="str">
        <f>IFERROR(__xludf.DUMMYFUNCTION("GOOGLETRANSLATE(IX2,""en"",""fr"")"),"Tâche supervisée")</f>
        <v>Tâche supervisée</v>
      </c>
      <c r="IY3" s="8" t="str">
        <f>IFERROR(__xludf.DUMMYFUNCTION("GOOGLETRANSLATE(IY2,""en"",""fr"")"),"Sans surveillance")</f>
        <v>Sans surveillance</v>
      </c>
      <c r="IZ3" s="8" t="str">
        <f>IFERROR(__xludf.DUMMYFUNCTION("GOOGLETRANSLATE(IZ2,""en"",""fr"")"),"Travaux en cours")</f>
        <v>Travaux en cours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IFERROR(__xludf.DUMMYFUNCTION("GOOGLETRANSLATE(JB2,""en"",""fr"")"),"Aucune variable numérique dans les données. Changez de type ou sélectionnez une autre tâche.")</f>
        <v>Aucune variable numérique dans les données. Changez de type ou sélectionnez une autre tâche.</v>
      </c>
      <c r="JC3" s="8" t="str">
        <f>IFERROR(__xludf.DUMMYFUNCTION("GOOGLETRANSLATE(JC2,""en"",""fr"")"),"Sélectionner la variable cible")</f>
        <v>Sélectionner la variable cible</v>
      </c>
      <c r="JD3" s="8" t="str">
        <f>IFERROR(__xludf.DUMMYFUNCTION("GOOGLETRANSLATE(JD2,""en"",""fr"")"),"Objectif/Résultat")</f>
        <v>Objectif/Résultat</v>
      </c>
      <c r="JE3" s="8" t="str">
        <f>IFERROR(__xludf.DUMMYFUNCTION("GOOGLETRANSLATE(JE2,""en"",""fr"")"),"Rapport train/test")</f>
        <v>Rapport train/test</v>
      </c>
      <c r="JF3" s="8" t="str">
        <f>IFERROR(__xludf.DUMMYFUNCTION("GOOGLETRANSLATE(JF2,""en"",""fr"")"),"ID de session")</f>
        <v>ID de session</v>
      </c>
      <c r="JG3" s="8" t="str">
        <f>IFERROR(__xludf.DUMMYFUNCTION("GOOGLETRANSLATE(JG2,""en"",""fr"")"),"Saisissez l'identifiant de session")</f>
        <v>Saisissez l'identifiant de session</v>
      </c>
      <c r="JH3" s="8" t="str">
        <f>IFERROR(__xludf.DUMMYFUNCTION("GOOGLETRANSLATE(JH2,""en"",""fr"")"),"S'il vous plaît, attendez!!!")</f>
        <v>S'il vous plaît, attendez!!!</v>
      </c>
      <c r="JI3" s="8" t="str">
        <f>IFERROR(__xludf.DUMMYFUNCTION("GOOGLETRANSLATE(JI2,""en"",""fr"")"),"Un tableau croisé dynamique est en cours de préparation. Il sera affiché très prochainement.")</f>
        <v>Un tableau croisé dynamique est en cours de préparation. Il sera affiché très prochainement.</v>
      </c>
      <c r="JJ3" s="8" t="str">
        <f>IFERROR(__xludf.DUMMYFUNCTION("GOOGLETRANSLATE(JJ2,""en"",""fr"")"),"Initialiser")</f>
        <v>Initialiser</v>
      </c>
      <c r="JK3" s="8" t="str">
        <f>IFERROR(__xludf.DUMMYFUNCTION("GOOGLETRANSLATE(JK2,""en"",""fr"")"),"L'intrigue est en cours d'élaboration. Elle sera bientôt dévoilée.")</f>
        <v>L'intrigue est en cours d'élaboration. Elle sera bientôt dévoilée.</v>
      </c>
      <c r="JL3" s="8" t="str">
        <f>IFERROR(__xludf.DUMMYFUNCTION("GOOGLETRANSLATE(JL2,""en"",""fr"")"),"Variables exclues")</f>
        <v>Variables exclues</v>
      </c>
      <c r="JM3" s="8" t="str">
        <f>IFERROR(__xludf.DUMMYFUNCTION("GOOGLETRANSLATE(JM2,""en"",""fr"")"),"Sélectionnez les variables à exclure")</f>
        <v>Sélectionnez les variables à exclure</v>
      </c>
      <c r="JN3" s="8" t="str">
        <f>IFERROR(__xludf.DUMMYFUNCTION("GOOGLETRANSLATE(JN2,""en"",""fr"")"),"Mise à jour du tracé")</f>
        <v>Mise à jour du tracé</v>
      </c>
      <c r="JO3" s="8" t="str">
        <f>IFERROR(__xludf.DUMMYFUNCTION("GOOGLETRANSLATE(JO2,""en"",""fr"")"),"Mise à jour du tableau croisé")</f>
        <v>Mise à jour du tableau croisé</v>
      </c>
      <c r="JP3" s="8" t="str">
        <f>IFERROR(__xludf.DUMMYFUNCTION("GOOGLETRANSLATE(JP2,""en"",""fr"")"),"Définir les paramètres du graphique de corrélation")</f>
        <v>Définir les paramètres du graphique de corrélation</v>
      </c>
      <c r="JQ3" s="8" t="str">
        <f>IFERROR(__xludf.DUMMYFUNCTION("GOOGLETRANSLATE(JQ2,""en"",""fr"")"),"Définir les paramètres du graphique bivarié")</f>
        <v>Définir les paramètres du graphique bivarié</v>
      </c>
      <c r="JR3" s="8" t="str">
        <f>IFERROR(__xludf.DUMMYFUNCTION("GOOGLETRANSLATE(JR2,""en"",""fr"")"),"Sélectionner la variable de résultat")</f>
        <v>Sélectionner la variable de résultat</v>
      </c>
      <c r="JS3" s="8" t="str">
        <f>IFERROR(__xludf.DUMMYFUNCTION("GOOGLETRANSLATE(JS2,""en"",""fr"")"),"Sélectionner la variable explicative")</f>
        <v>Sélectionner la variable explicative</v>
      </c>
      <c r="JT3" s="8" t="str">
        <f>IFERROR(__xludf.DUMMYFUNCTION("GOOGLETRANSLATE(JT2,""en"",""fr"")"),"Sélectionnez les variables numériques")</f>
        <v>Sélectionnez les variables numériques</v>
      </c>
      <c r="JU3" s="8" t="str">
        <f>IFERROR(__xludf.DUMMYFUNCTION("GOOGLETRANSLATE(JU2,""en"",""fr"")"),"La colonne comporte des catégories en excès")</f>
        <v>La colonne comporte des catégories en excès</v>
      </c>
      <c r="JV3" s="8" t="str">
        <f>IFERROR(__xludf.DUMMYFUNCTION("GOOGLETRANSLATE(JV2,""en"",""fr"")"),"Sélectionnez une colonne comportant 20 catégories ou moins et réessayez !")</f>
        <v>Sélectionnez une colonne comportant 20 catégories ou moins et réessayez !</v>
      </c>
      <c r="JW3" s="8" t="str">
        <f>IFERROR(__xludf.DUMMYFUNCTION("GOOGLETRANSLATE(JW2,""en"",""fr"")"),"Limite maximale de variable dépassée !")</f>
        <v>Limite maximale de variable dépassée !</v>
      </c>
      <c r="JX3" s="8" t="str">
        <f>IFERROR(__xludf.DUMMYFUNCTION("GOOGLETRANSLATE(JX2,""en"",""fr"")"),"Sélectionnez 5 variables ou moins et réessayez.")</f>
        <v>Sélectionnez 5 variables ou moins et réessayez.</v>
      </c>
      <c r="JY3" s="8" t="str">
        <f>IFERROR(__xludf.DUMMYFUNCTION("GOOGLETRANSLATE(JY2,""en"",""fr"")"),"Méthode d'imputation des données manquantes")</f>
        <v>Méthode d'imputation des données manquantes</v>
      </c>
      <c r="JZ3" s="8" t="str">
        <f>IFERROR(__xludf.DUMMYFUNCTION("GOOGLETRANSLATE(JZ2,""en"",""fr"")"),"Sélectionnez une méthode")</f>
        <v>Sélectionnez une méthode</v>
      </c>
      <c r="KA3" s="8" t="str">
        <f>IFERROR(__xludf.DUMMYFUNCTION("GOOGLETRANSLATE(KA2,""en"",""fr"")"),"Sélectionnez la variable de sortie")</f>
        <v>Sélectionnez la variable de sortie</v>
      </c>
      <c r="KB3" s="8" t="str">
        <f>IFERROR(__xludf.DUMMYFUNCTION("GOOGLETRANSLATE(KB2,""en"",""fr"")"),"Sélectionnez une couleur")</f>
        <v>Sélectionnez une couleur</v>
      </c>
      <c r="KC3" s="8" t="str">
        <f>IFERROR(__xludf.DUMMYFUNCTION("GOOGLETRANSLATE(KC2,""en"",""fr"")"),"Sélectionnez les variables numériques")</f>
        <v>Sélectionnez les variables numériques</v>
      </c>
      <c r="KD3" s="8" t="str">
        <f>IFERROR(__xludf.DUMMYFUNCTION("GOOGLETRANSLATE(KD2,""en"",""fr"")"),"Le rapport est en cours de préparation et sera bientôt disponible au téléchargement.")</f>
        <v>Le rapport est en cours de préparation et sera bientôt disponible au téléchargement.</v>
      </c>
      <c r="KE3" s="8" t="str">
        <f>IFERROR(__xludf.DUMMYFUNCTION("GOOGLETRANSLATE(KE2,""en"",""fr"")"),"Personnalisation de Corrplot")</f>
        <v>Personnalisation de Corrplot</v>
      </c>
      <c r="KF3" s="8" t="str">
        <f>IFERROR(__xludf.DUMMYFUNCTION("GOOGLETRANSLATE(KF2,""en"",""fr"")"),"Personnalisation des graphiques bivariés")</f>
        <v>Personnalisation des graphiques bivariés</v>
      </c>
      <c r="KG3" s="8" t="str">
        <f>IFERROR(__xludf.DUMMYFUNCTION("GOOGLETRANSLATE(KG2,""en"",""fr"")"),"Titre de l'intrigue")</f>
        <v>Titre de l'intrigue</v>
      </c>
      <c r="KH3" s="8" t="str">
        <f>IFERROR(__xludf.DUMMYFUNCTION("GOOGLETRANSLATE(KH2,""en"",""fr"")"),"Sélectionner les variables explicatives")</f>
        <v>Sélectionner les variables explicatives</v>
      </c>
      <c r="KI3" s="8" t="str">
        <f>IFERROR(__xludf.DUMMYFUNCTION("GOOGLETRANSLATE(KI2,""en"",""fr"")"),"valeur des semences")</f>
        <v>valeur des semences</v>
      </c>
      <c r="KJ3" s="8" t="str">
        <f>IFERROR(__xludf.DUMMYFUNCTION("GOOGLETRANSLATE(KJ2,""en"",""fr"")"),"Télécharger")</f>
        <v>Télécharger</v>
      </c>
      <c r="KK3" s="8" t="str">
        <f>IFERROR(__xludf.DUMMYFUNCTION("GOOGLETRANSLATE(KK2,""en"",""fr"")"),"Variable de résultat/cible")</f>
        <v>Variable de résultat/cible</v>
      </c>
      <c r="KL3" s="8" t="str">
        <f>IFERROR(__xludf.DUMMYFUNCTION("GOOGLETRANSLATE(KL2,""en"",""fr"")"),"Sélectionner la catégorie du modèle")</f>
        <v>Sélectionner la catégorie du modèle</v>
      </c>
      <c r="KM3" s="8" t="str">
        <f>IFERROR(__xludf.DUMMYFUNCTION("GOOGLETRANSLATE(KM2,""en"",""fr"")"),"Régression")</f>
        <v>Régression</v>
      </c>
      <c r="KN3" s="8" t="str">
        <f>IFERROR(__xludf.DUMMYFUNCTION("GOOGLETRANSLATE(KN2,""en"",""fr"")"),"Classification")</f>
        <v>Classification</v>
      </c>
      <c r="KO3" s="8" t="str">
        <f>IFERROR(__xludf.DUMMYFUNCTION("GOOGLETRANSLATE(KO2,""en"",""fr"")"),"Sélectionner le cadre de modélisation")</f>
        <v>Sélectionner le cadre de modélisation</v>
      </c>
      <c r="KP3" s="8" t="str">
        <f>IFERROR(__xludf.DUMMYFUNCTION("GOOGLETRANSLATE(KP2,""en"",""fr"")"),"Qualité des preuves")</f>
        <v>Qualité des preuves</v>
      </c>
      <c r="KQ3" s="8" t="str">
        <f>IFERROR(__xludf.DUMMYFUNCTION("GOOGLETRANSLATE(KQ2,""en"",""fr"")"),"Télécharger le rapport")</f>
        <v>Télécharger le rapport</v>
      </c>
      <c r="KR3" s="8" t="str">
        <f>IFERROR(__xludf.DUMMYFUNCTION("GOOGLETRANSLATE(KR2,""en"",""fr"")"),"Analyse OMOP")</f>
        <v>Analyse OMOP</v>
      </c>
      <c r="KS3" s="8" t="str">
        <f>IFERROR(__xludf.DUMMYFUNCTION("GOOGLETRANSLATE(KS2,""en"",""fr"")"),"Prétraitement")</f>
        <v>Prétraitement</v>
      </c>
      <c r="KT3" s="8" t="str">
        <f>IFERROR(__xludf.DUMMYFUNCTION("GOOGLETRANSLATE(KT2,""en"",""fr"")"),"Ingénierie des fonctionnalités")</f>
        <v>Ingénierie des fonctionnalités</v>
      </c>
      <c r="KU3" s="8" t="str">
        <f>IFERROR(__xludf.DUMMYFUNCTION("GOOGLETRANSLATE(KU2,""en"",""fr"")"),"Imputer les valeurs manquantes")</f>
        <v>Imputer les valeurs manquantes</v>
      </c>
      <c r="KV3" s="8" t="str">
        <f>IFERROR(__xludf.DUMMYFUNCTION("GOOGLETRANSLATE(KV2,""en"",""fr"")"),"Effectuer les étapes FE")</f>
        <v>Effectuer les étapes FE</v>
      </c>
      <c r="KW3" s="8" t="str">
        <f>IFERROR(__xludf.DUMMYFUNCTION("GOOGLETRANSLATE(KW2,""en"",""fr"")"),"Performance PCA")</f>
        <v>Performance PCA</v>
      </c>
      <c r="KX3" s="8" t="str">
        <f>IFERROR(__xludf.DUMMYFUNCTION("GOOGLETRANSLATE(KX2,""en"",""fr"")"),"Analyse du tendon d'Achille")</f>
        <v>Analyse du tendon d'Achille</v>
      </c>
      <c r="KY3" s="8" t="str">
        <f>IFERROR(__xludf.DUMMYFUNCTION("GOOGLETRANSLATE(KY2,""en"",""fr"")"),"Classe d'exemple Up")</f>
        <v>Classe d'exemple Up</v>
      </c>
      <c r="KZ3" s="8" t="str">
        <f>IFERROR(__xludf.DUMMYFUNCTION("GOOGLETRANSLATE(KZ2,""en"",""fr"")"),"Créer les détails de la connexion")</f>
        <v>Créer les détails de la connexion</v>
      </c>
      <c r="LA3" s="8" t="str">
        <f>IFERROR(__xludf.DUMMYFUNCTION("GOOGLETRANSLATE(LA2,""en"",""fr"")"),"Sélection de cohortes")</f>
        <v>Sélection de cohortes</v>
      </c>
      <c r="LB3" s="8" t="str">
        <f>IFERROR(__xludf.DUMMYFUNCTION("GOOGLETRANSLATE(LB2,""en"",""fr"")"),"Appliquer la sélection")</f>
        <v>Appliquer la sélection</v>
      </c>
      <c r="LC3" s="8" t="str">
        <f>IFERROR(__xludf.DUMMYFUNCTION("GOOGLETRANSLATE(LC2,""en"",""fr"")"),"Filtre de corrélation")</f>
        <v>Filtre de corrélation</v>
      </c>
      <c r="LD3" s="8" t="str">
        <f>IFERROR(__xludf.DUMMYFUNCTION("GOOGLETRANSLATE(LD2,""en"",""fr"")"),"Méthode de partitionnement des données")</f>
        <v>Méthode de partitionnement des données</v>
      </c>
      <c r="LE3" s="8" t="str">
        <f>IFERROR(__xludf.DUMMYFUNCTION("GOOGLETRANSLATE(LE2,""en"",""fr"")"),"Utilisation des identifiants de concept")</f>
        <v>Utilisation des identifiants de concept</v>
      </c>
      <c r="LF3" s="8" t="str">
        <f>IFERROR(__xludf.DUMMYFUNCTION("GOOGLETRANSLATE(LF2,""en"",""fr"")"),"Phénotypage d'Aphrodite")</f>
        <v>Phénotypage d'Aphrodite</v>
      </c>
      <c r="LG3" s="8" t="str">
        <f>IFERROR(__xludf.DUMMYFUNCTION("GOOGLETRANSLATE(LG2,""en"",""fr"")"),"Nombre de plis de validation croisée")</f>
        <v>Nombre de plis de validation croisée</v>
      </c>
      <c r="LH3" s="8" t="str">
        <f>IFERROR(__xludf.DUMMYFUNCTION("GOOGLETRANSLATE(LH2,""en"",""fr"")"),"Sélectionner la métrique d'évaluation")</f>
        <v>Sélectionner la métrique d'évaluation</v>
      </c>
      <c r="LI3" s="8" t="str">
        <f>IFERROR(__xludf.DUMMYFUNCTION("GOOGLETRANSLATE(LI2,""en"",""fr"")"),"Méthode de validation croisée")</f>
        <v>Méthode de validation croisée</v>
      </c>
      <c r="LJ3" s="8" t="str">
        <f>IFERROR(__xludf.DUMMYFUNCTION("GOOGLETRANSLATE(LJ2,""en"",""fr"")"),"Nombre de répétitions")</f>
        <v>Nombre de répétitions</v>
      </c>
      <c r="LK3" s="8" t="str">
        <f>IFERROR(__xludf.DUMMYFUNCTION("GOOGLETRANSLATE(LK2,""en"",""fr"")"),"Nombre de plis ou d'itérations de rééchantillonnage")</f>
        <v>Nombre de plis ou d'itérations de rééchantillonnage</v>
      </c>
      <c r="LL3" s="8" t="str">
        <f>IFERROR(__xludf.DUMMYFUNCTION("GOOGLETRANSLATE(LL2,""en"",""fr"")"),"Résumé du prétraitement")</f>
        <v>Résumé du prétraitement</v>
      </c>
      <c r="LM3" s="8" t="str">
        <f>IFERROR(__xludf.DUMMYFUNCTION("GOOGLETRANSLATE(LM2,""en"",""fr"")"),"Méthode de validation croisée")</f>
        <v>Méthode de validation croisée</v>
      </c>
      <c r="LN3" s="8" t="str">
        <f>IFERROR(__xludf.DUMMYFUNCTION("GOOGLETRANSLATE(LN2,""en"",""fr"")"),"Méthode de recherche")</f>
        <v>Méthode de recherche</v>
      </c>
      <c r="LO3" s="8" t="str">
        <f>IFERROR(__xludf.DUMMYFUNCTION("GOOGLETRANSLATE(LO2,""en"",""fr"")"),"Générer")</f>
        <v>Générer</v>
      </c>
      <c r="LP3" s="8" t="str">
        <f>IFERROR(__xludf.DUMMYFUNCTION("GOOGLETRANSLATE(LP2,""en"",""fr"")"),"date de début de l'événement")</f>
        <v>date de début de l'événement</v>
      </c>
      <c r="LQ3" s="8" t="str">
        <f>IFERROR(__xludf.DUMMYFUNCTION("GOOGLETRANSLATE(LQ2,""en"",""fr"")"),"Nom de la cohorte")</f>
        <v>Nom de la cohorte</v>
      </c>
      <c r="LR3" s="8" t="str">
        <f>IFERROR(__xludf.DUMMYFUNCTION("GOOGLETRANSLATE(LR2,""en"",""fr"")"),"Mot-clé")</f>
        <v>Mot-clé</v>
      </c>
      <c r="LS3" s="8" t="str">
        <f>IFERROR(__xludf.DUMMYFUNCTION("GOOGLETRANSLATE(LS2,""en"",""fr"")"),"Entrée du MDP")</f>
        <v>Entrée du MDP</v>
      </c>
      <c r="LT3" s="8" t="str">
        <f>IFERROR(__xludf.DUMMYFUNCTION("GOOGLETRANSLATE(LT2,""en"",""fr"")"),"Créer un CDM")</f>
        <v>Créer un CDM</v>
      </c>
      <c r="LU3" s="8" t="str">
        <f>IFERROR(__xludf.DUMMYFUNCTION("GOOGLETRANSLATE(LU2,""en"",""fr"")"),"Nom du schéma d'Achille")</f>
        <v>Nom du schéma d'Achille</v>
      </c>
      <c r="LV3" s="8" t="str">
        <f>IFERROR(__xludf.DUMMYFUNCTION("GOOGLETRANSLATE(LV2,""en"",""fr"")"),"Nom du schéma de résultat")</f>
        <v>Nom du schéma de résultat</v>
      </c>
      <c r="LW3" s="8" t="str">
        <f>IFERROR(__xludf.DUMMYFUNCTION("GOOGLETRANSLATE(LW2,""en"",""fr"")"),"Nom du schéma CDM")</f>
        <v>Nom du schéma CDM</v>
      </c>
      <c r="LX3" s="8" t="str">
        <f>IFERROR(__xludf.DUMMYFUNCTION("GOOGLETRANSLATE(LX2,""en"",""fr"")"),"Nom de connexion CDM")</f>
        <v>Nom de connexion CDM</v>
      </c>
      <c r="LY3" s="8" t="str">
        <f>IFERROR(__xludf.DUMMYFUNCTION("GOOGLETRANSLATE(LY2,""en"",""fr"")"),"Connexion CDM")</f>
        <v>Connexion CDM</v>
      </c>
      <c r="LZ3" s="8" t="str">
        <f>IFERROR(__xludf.DUMMYFUNCTION("GOOGLETRANSLATE(LZ2,""en"",""fr"")"),"Connecter la base de données")</f>
        <v>Connecter la base de données</v>
      </c>
      <c r="MA3" s="8" t="str">
        <f>IFERROR(__xludf.DUMMYFUNCTION("GOOGLETRANSLATE(MA2,""en"",""fr"")"),"Port ")</f>
        <v>Port </v>
      </c>
      <c r="MB3" s="8" t="str">
        <f>IFERROR(__xludf.DUMMYFUNCTION("GOOGLETRANSLATE(MB2,""en"",""fr"")"),"Mot de passe")</f>
        <v>Mot de passe</v>
      </c>
      <c r="MC3" s="8" t="str">
        <f>IFERROR(__xludf.DUMMYFUNCTION("GOOGLETRANSLATE(MC2,""en"",""fr"")"),"Utilisateur")</f>
        <v>Utilisateur</v>
      </c>
      <c r="MD3" s="8" t="str">
        <f>IFERROR(__xludf.DUMMYFUNCTION("GOOGLETRANSLATE(MD2,""en"",""fr"")"),"Nom de la base de données")</f>
        <v>Nom de la base de données</v>
      </c>
      <c r="ME3" s="8" t="str">
        <f>IFERROR(__xludf.DUMMYFUNCTION("GOOGLETRANSLATE(ME2,""en"",""fr"")"),"Hôte")</f>
        <v>Hôte</v>
      </c>
      <c r="MF3" s="8" t="str">
        <f>IFERROR(__xludf.DUMMYFUNCTION("GOOGLETRANSLATE(MF2,""en"",""fr"")"),"Type de base de données")</f>
        <v>Type de base de données</v>
      </c>
      <c r="MG3" s="8" t="str">
        <f>IFERROR(__xludf.DUMMYFUNCTION("GOOGLETRANSLATE(MG2,""en"",""fr"")"),"Personnaliser les commandes d'entraînement")</f>
        <v>Personnaliser les commandes d'entraînement</v>
      </c>
      <c r="MH3" s="8" t="str">
        <f>IFERROR(__xludf.DUMMYFUNCTION("GOOGLETRANSLATE(MH2,""en"",""fr"")"),"Enregistrer les paramètres")</f>
        <v>Enregistrer les paramètres</v>
      </c>
      <c r="MI3" s="8" t="str">
        <f>IFERROR(__xludf.DUMMYFUNCTION("GOOGLETRANSLATE(MI2,""en"",""fr"")"),"Annuler")</f>
        <v>Annuler</v>
      </c>
      <c r="MJ3" s="8" t="str">
        <f>IFERROR(__xludf.DUMMYFUNCTION("GOOGLETRANSLATE(MJ2,""en"",""fr"")"),"Itération verbeuse")</f>
        <v>Itération verbeuse</v>
      </c>
      <c r="MK3" s="8" t="str">
        <f>IFERROR(__xludf.DUMMYFUNCTION("GOOGLETRANSLATE(MK2,""en"",""fr"")"),"Enregistrer les prédictions")</f>
        <v>Enregistrer les prédictions</v>
      </c>
      <c r="ML3" s="8" t="str">
        <f>IFERROR(__xludf.DUMMYFUNCTION("GOOGLETRANSLATE(ML2,""en"",""fr"")"),"Calculer les probabilités de classe")</f>
        <v>Calculer les probabilités de classe</v>
      </c>
      <c r="MM3" s="8" t="str">
        <f>IFERROR(__xludf.DUMMYFUNCTION("GOOGLETRANSLATE(MM2,""en"",""fr"")"),"Construction de cohortes")</f>
        <v>Construction de cohortes</v>
      </c>
      <c r="MN3" s="8" t="str">
        <f>IFERROR(__xludf.DUMMYFUNCTION("GOOGLETRANSLATE(MN2,""en"",""fr"")"),"Les graphiques sont en cours de génération. Ils seront affichés sous peu.")</f>
        <v>Les graphiques sont en cours de génération. Ils seront affichés sous peu.</v>
      </c>
      <c r="MO3" s="8" t="str">
        <f>IFERROR(__xludf.DUMMYFUNCTION("GOOGLETRANSLATE(MO2,""en"",""fr"")"),"Sélectionnez le(s) modèle(s) à entraîner")</f>
        <v>Sélectionnez le(s) modèle(s) à entraîner</v>
      </c>
      <c r="MP3" s="8" t="str">
        <f>IFERROR(__xludf.DUMMYFUNCTION("GOOGLETRANSLATE(MP2,""en"",""fr"")"),"Avance")</f>
        <v>Avance</v>
      </c>
      <c r="MQ3" s="8" t="str">
        <f>IFERROR(__xludf.DUMMYFUNCTION("GOOGLETRANSLATE(MQ2,""en"",""fr"")"),"Inclure l'interception")</f>
        <v>Inclure l'interception</v>
      </c>
      <c r="MR3" s="8" t="str">
        <f>IFERROR(__xludf.DUMMYFUNCTION("GOOGLETRANSLATE(MR2,""en"",""fr"")"),"Options avancées")</f>
        <v>Options avancées</v>
      </c>
      <c r="MS3" s="8" t="str">
        <f>IFERROR(__xludf.DUMMYFUNCTION("GOOGLETRANSLATE(MS2,""en"",""fr"")"),"Modèles de trains")</f>
        <v>Modèles de trains</v>
      </c>
      <c r="MT3" s="8" t="s">
        <v>837</v>
      </c>
      <c r="MU3" s="8" t="str">
        <f>IFERROR(__xludf.DUMMYFUNCTION("GOOGLETRANSLATE(MU2,""en"",""fr"")"),"Forêt aléatoire")</f>
        <v>Forêt aléatoire</v>
      </c>
      <c r="MV3" s="8" t="str">
        <f>IFERROR(__xludf.DUMMYFUNCTION("GOOGLETRANSLATE(MV2,""en"",""fr"")"),"# Prédicteurs à chaque division")</f>
        <v># Prédicteurs à chaque division</v>
      </c>
      <c r="MW3" s="8" t="str">
        <f>IFERROR(__xludf.DUMMYFUNCTION("GOOGLETRANSLATE(MW2,""en"",""fr"")"),"Traitement parallèle")</f>
        <v>Traitement parallèle</v>
      </c>
      <c r="MX3" s="8" t="str">
        <f>IFERROR(__xludf.DUMMYFUNCTION("GOOGLETRANSLATE(MX2,""en"",""fr"")"),"Inclure l'ensemble")</f>
        <v>Inclure l'ensemble</v>
      </c>
      <c r="MY3" s="8" t="str">
        <f>IFERROR(__xludf.DUMMYFUNCTION("GOOGLETRANSLATE(MY2,""en"",""fr"")"),"configuration d'entraînement du modèle")</f>
        <v>configuration d'entraînement du modèle</v>
      </c>
      <c r="MZ3" s="8" t="str">
        <f>IFERROR(__xludf.DUMMYFUNCTION("GOOGLETRANSLATE(MZ2,""en"",""fr"")"),"# Boosting Iterations")</f>
        <v># Boosting Iterations</v>
      </c>
      <c r="NA3" s="8" t="str">
        <f>IFERROR(__xludf.DUMMYFUNCTION("GOOGLETRANSLATE(NA2,""en"",""fr"")"),"Profondeur maximale de l'arbre")</f>
        <v>Profondeur maximale de l'arbre</v>
      </c>
      <c r="NB3" s="8" t="str">
        <f>IFERROR(__xludf.DUMMYFUNCTION("GOOGLETRANSLATE(NB2,""en"",""fr"")"),"taille du nœud terminal")</f>
        <v>taille du nœud terminal</v>
      </c>
      <c r="NC3" s="8" t="str">
        <f>IFERROR(__xludf.DUMMYFUNCTION("GOOGLETRANSLATE(NC2,""en"",""fr"")"),"Rétrécissement (taux d'apprentissage)")</f>
        <v>Rétrécissement (taux d'apprentissage)</v>
      </c>
      <c r="ND3" s="8" t="str">
        <f>IFERROR(__xludf.DUMMYFUNCTION("GOOGLETRANSLATE(ND2,""en"",""fr"")"),"AutoML")</f>
        <v>AutoML</v>
      </c>
      <c r="NE3" s="8" t="str">
        <f>IFERROR(__xludf.DUMMYFUNCTION("GOOGLETRANSLATE(NE2,""en"",""fr"")"),"Schéma CDM")</f>
        <v>Schéma CDM</v>
      </c>
      <c r="NF3" s="8" t="str">
        <f>IFERROR(__xludf.DUMMYFUNCTION("GOOGLETRANSLATE(NF2,""en"",""fr"")"),"Schéma de vocabulaire")</f>
        <v>Schéma de vocabulaire</v>
      </c>
      <c r="NG3" s="8" t="str">
        <f>IFERROR(__xludf.DUMMYFUNCTION("GOOGLETRANSLATE(NG2,""en"",""fr"")"),"Schéma des résultats")</f>
        <v>Schéma des résultats</v>
      </c>
      <c r="NH3" s="8" t="str">
        <f>IFERROR(__xludf.DUMMYFUNCTION("GOOGLETRANSLATE(NH2,""en"",""fr"")"),"Version CDM")</f>
        <v>Version CDM</v>
      </c>
      <c r="NI3" s="8" t="str">
        <f>IFERROR(__xludf.DUMMYFUNCTION("GOOGLETRANSLATE(NI2,""en"",""fr"")"),"Type de base de données")</f>
        <v>Type de base de données</v>
      </c>
      <c r="NJ3" s="8" t="str">
        <f>IFERROR(__xludf.DUMMYFUNCTION("GOOGLETRANSLATE(NJ2,""en"",""fr"")"),"Port")</f>
        <v>Port</v>
      </c>
      <c r="NK3" s="8" t="str">
        <f>IFERROR(__xludf.DUMMYFUNCTION("GOOGLETRANSLATE(NK2,""en"",""fr"")"),"Hôte")</f>
        <v>Hôte</v>
      </c>
      <c r="NL3" s="8" t="str">
        <f>IFERROR(__xludf.DUMMYFUNCTION("GOOGLETRANSLATE(NL2,""en"",""fr"")"),"Nom de la base de données")</f>
        <v>Nom de la base de données</v>
      </c>
      <c r="NM3" s="8" t="str">
        <f>IFERROR(__xludf.DUMMYFUNCTION("GOOGLETRANSLATE(NM2,""en"",""fr"")"),"Utilisateur")</f>
        <v>Utilisateur</v>
      </c>
      <c r="NN3" s="8" t="str">
        <f>IFERROR(__xludf.DUMMYFUNCTION("GOOGLETRANSLATE(NN2,""en"",""fr"")"),"Mot de passe")</f>
        <v>Mot de passe</v>
      </c>
      <c r="NO3" s="8" t="str">
        <f>IFERROR(__xludf.DUMMYFUNCTION("GOOGLETRANSLATE(NO2,""en"",""fr"")"),"Courir Achille")</f>
        <v>Courir Achille</v>
      </c>
      <c r="NP3" s="8" t="str">
        <f>IFERROR(__xludf.DUMMYFUNCTION("GOOGLETRANSLATE(NP2,""en"",""fr"")"),"Extraction de caractéristiques")</f>
        <v>Extraction de caractéristiques</v>
      </c>
      <c r="NQ3" s="8" t="str">
        <f>IFERROR(__xludf.DUMMYFUNCTION("GOOGLETRANSLATE(NQ2,""en"",""fr"")"),"Analyse OHDSI")</f>
        <v>Analyse OHDSI</v>
      </c>
      <c r="NR3" s="8" t="str">
        <f>IFERROR(__xludf.DUMMYFUNCTION("GOOGLETRANSLATE(NR2,""en"",""fr"")"),"# Boosting Iterations")</f>
        <v># Boosting Iterations</v>
      </c>
      <c r="NS3" s="8" t="str">
        <f>IFERROR(__xludf.DUMMYFUNCTION("GOOGLETRANSLATE(NS2,""en"",""fr"")"),"Profondeur maximale de l'arbre")</f>
        <v>Profondeur maximale de l'arbre</v>
      </c>
      <c r="NT3" s="8" t="str">
        <f>IFERROR(__xludf.DUMMYFUNCTION("GOOGLETRANSLATE(NT2,""en"",""fr"")"),"Rétrécissement (taux d'apprentissage)")</f>
        <v>Rétrécissement (taux d'apprentissage)</v>
      </c>
      <c r="NU3" s="8" t="str">
        <f>IFERROR(__xludf.DUMMYFUNCTION("GOOGLETRANSLATE(NU2,""en"",""fr"")"),"Réduction minimale des pertes")</f>
        <v>Réduction minimale des pertes</v>
      </c>
      <c r="NV3" s="8" t="str">
        <f>IFERROR(__xludf.DUMMYFUNCTION("GOOGLETRANSLATE(NV2,""en"",""fr"")"),"Rapport de sous-échantillonnage des colonnes")</f>
        <v>Rapport de sous-échantillonnage des colonnes</v>
      </c>
      <c r="NW3" s="8" t="str">
        <f>IFERROR(__xludf.DUMMYFUNCTION("GOOGLETRANSLATE(NW2,""en"",""fr"")"),"Somme minimale des poids des instances")</f>
        <v>Somme minimale des poids des instances</v>
      </c>
      <c r="NX3" s="8" t="str">
        <f>IFERROR(__xludf.DUMMYFUNCTION("GOOGLETRANSLATE(NX2,""en"",""fr"")"),"Pourcentage du sous-échantillon")</f>
        <v>Pourcentage du sous-échantillon</v>
      </c>
      <c r="NY3" s="8" t="str">
        <f>IFERROR(__xludf.DUMMYFUNCTION("GOOGLETRANSLATE(NY2,""en"",""fr"")"),"Indicateurs de performance")</f>
        <v>Indicateurs de performance</v>
      </c>
      <c r="NZ3" s="8" t="str">
        <f>IFERROR(__xludf.DUMMYFUNCTION("GOOGLETRANSLATE(NZ2,""en"",""fr"")"),"# Boosting Iterations")</f>
        <v># Boosting Iterations</v>
      </c>
      <c r="OA3" s="8" t="str">
        <f>IFERROR(__xludf.DUMMYFUNCTION("GOOGLETRANSLATE(OA2,""en"",""fr"")"),"Régularisation L2")</f>
        <v>Régularisation L2</v>
      </c>
      <c r="OB3" s="8" t="str">
        <f>IFERROR(__xludf.DUMMYFUNCTION("GOOGLETRANSLATE(OB2,""en"",""fr"")"),"Régularisation L1")</f>
        <v>Régularisation L1</v>
      </c>
      <c r="OC3" s="8" t="str">
        <f>IFERROR(__xludf.DUMMYFUNCTION("GOOGLETRANSLATE(OC2,""en"",""fr"")"),"taux d'apprentissage")</f>
        <v>taux d'apprentissage</v>
      </c>
      <c r="OD3" s="8" t="str">
        <f>IFERROR(__xludf.DUMMYFUNCTION("GOOGLETRANSLATE(OD2,""en"",""fr"")"),"Sigma")</f>
        <v>Sigma</v>
      </c>
      <c r="OE3" s="8" t="str">
        <f>IFERROR(__xludf.DUMMYFUNCTION("GOOGLETRANSLATE(OE2,""en"",""fr"")"),"Coût")</f>
        <v>Coût</v>
      </c>
      <c r="OF3" s="8" t="str">
        <f>IFERROR(__xludf.DUMMYFUNCTION("GOOGLETRANSLATE(OF2,""en"",""fr"")"),"Générer un tracé")</f>
        <v>Générer un tracé</v>
      </c>
      <c r="OG3" s="8" t="str">
        <f>IFERROR(__xludf.DUMMYFUNCTION("GOOGLETRANSLATE(OG2,""en"",""fr"")"),"se déconnecter")</f>
        <v>se déconnecter</v>
      </c>
      <c r="OH3" s="8" t="str">
        <f>IFERROR(__xludf.DUMMYFUNCTION("GOOGLETRANSLATE(OH2,""en"",""fr"")"),"Apprentissage profond")</f>
        <v>Apprentissage profond</v>
      </c>
      <c r="OI3" s="8" t="str">
        <f>IFERROR(__xludf.DUMMYFUNCTION("GOOGLETRANSLATE(OI2,""en"",""fr"")"),"Accueillir")</f>
        <v>Accueillir</v>
      </c>
      <c r="OJ3" s="8" t="str">
        <f>IFERROR(__xludf.DUMMYFUNCTION("GOOGLETRANSLATE(OJ2,""en"",""fr"")"),"Automatisation de l'ML avec Pycaret")</f>
        <v>Automatisation de l'ML avec Pycaret</v>
      </c>
      <c r="OK3" s="8" t="str">
        <f>IFERROR(__xludf.DUMMYFUNCTION("GOOGLETRANSLATE(OK2,""en"",""fr"")"),"Coût")</f>
        <v>Coût</v>
      </c>
      <c r="OL3" s="8" t="str">
        <f>IFERROR(__xludf.DUMMYFUNCTION("GOOGLETRANSLATE(OL2,""en"",""fr"")"),"Entraînement")</f>
        <v>Entraînement</v>
      </c>
      <c r="OM3" s="8" t="str">
        <f>IFERROR(__xludf.DUMMYFUNCTION("GOOGLETRANSLATE(OM2,""en"",""fr"")"),"Test")</f>
        <v>Test</v>
      </c>
      <c r="ON3" s="8" t="str">
        <f>IFERROR(__xludf.DUMMYFUNCTION("GOOGLETRANSLATE(ON2,""en"",""fr"")"),"Déploiement du modèle")</f>
        <v>Déploiement du modèle</v>
      </c>
      <c r="OO3" s="8" t="str">
        <f>IFERROR(__xludf.DUMMYFUNCTION("GOOGLETRANSLATE(OO2,""en"",""fr"")"),"Degré polynomial")</f>
        <v>Degré polynomial</v>
      </c>
      <c r="OP3" s="8" t="str">
        <f>IFERROR(__xludf.DUMMYFUNCTION("GOOGLETRANSLATE(OP2,""en"",""fr"")"),"Échelle")</f>
        <v>Échelle</v>
      </c>
      <c r="OQ3" s="8" t="str">
        <f>IFERROR(__xludf.DUMMYFUNCTION("GOOGLETRANSLATE(OQ2,""en"",""fr"")"),"Coût")</f>
        <v>Coût</v>
      </c>
      <c r="OR3" s="8" t="str">
        <f>IFERROR(__xludf.DUMMYFUNCTION("GOOGLETRANSLATE(OR2,""en"",""fr"")"),"Alpha")</f>
        <v>Alpha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IFERROR(__xludf.DUMMYFUNCTION("GOOGLETRANSLATE(OU2,""en"",""fr"")"),"Explorez les modèles entraînés")</f>
        <v>Explorez les modèles entraînés</v>
      </c>
      <c r="OV3" s="8" t="str">
        <f>IFERROR(__xludf.DUMMYFUNCTION("GOOGLETRANSLATE(OV2,""en"",""fr"")"),"Sélectionnez le(s) modèle(s)")</f>
        <v>Sélectionnez le(s) modèle(s)</v>
      </c>
      <c r="OW3" s="8" t="str">
        <f>IFERROR(__xludf.DUMMYFUNCTION("GOOGLETRANSLATE(OW2,""en"",""fr"")"),"Plus d'intrigues")</f>
        <v>Plus d'intrigues</v>
      </c>
      <c r="OX3" s="8" t="str">
        <f>IFERROR(__xludf.DUMMYFUNCTION("GOOGLETRANSLATE(OX2,""en"",""fr"")"),"Plus de métriques")</f>
        <v>Plus de métriques</v>
      </c>
      <c r="OY3" s="8" t="str">
        <f>IFERROR(__xludf.DUMMYFUNCTION("GOOGLETRANSLATE(OY2,""en"",""fr"")"),"Explorez les modèles entraînés")</f>
        <v>Explorez les modèles entraînés</v>
      </c>
      <c r="OZ3" s="8" t="str">
        <f>IFERROR(__xludf.DUMMYFUNCTION("GOOGLETRANSLATE(OZ2,""en"",""fr"")"),"Matrice de confusion")</f>
        <v>Matrice de confusion</v>
      </c>
      <c r="PA3" s="8" t="str">
        <f>IFERROR(__xludf.DUMMYFUNCTION("GOOGLETRANSLATE(PA2,""en"",""fr"")"),"Sélectionner la métrique")</f>
        <v>Sélectionner la métrique</v>
      </c>
      <c r="PB3" s="8" t="str">
        <f>IFERROR(__xludf.DUMMYFUNCTION("GOOGLETRANSLATE(PB2,""en"",""fr"")"),"Générer des valeurs SHAP")</f>
        <v>Générer des valeurs SHAP</v>
      </c>
      <c r="PC3" s="8" t="str">
        <f>IFERROR(__xludf.DUMMYFUNCTION("GOOGLETRANSLATE(PC2,""en"",""fr"")"),"Importance variable")</f>
        <v>Importance variable</v>
      </c>
      <c r="PD3" s="8" t="str">
        <f>IFERROR(__xludf.DUMMYFUNCTION("GOOGLETRANSLATE(PD2,""en"",""fr"")"),"Appliquer la sélection")</f>
        <v>Appliquer la sélection</v>
      </c>
      <c r="PE3" s="8" t="str">
        <f>IFERROR(__xludf.DUMMYFUNCTION("GOOGLETRANSLATE(PE2,""en"",""fr"")"),"Tableau des indicateurs")</f>
        <v>Tableau des indicateurs</v>
      </c>
      <c r="PF3" s="8" t="str">
        <f>IFERROR(__xludf.DUMMYFUNCTION("GOOGLETRANSLATE(PF2,""en"",""fr"")"),"Graphique des métriques")</f>
        <v>Graphique des métriques</v>
      </c>
      <c r="PG3" s="8" t="str">
        <f>IFERROR(__xludf.DUMMYFUNCTION("GOOGLETRANSLATE(PG2,""en"",""fr"")"),"Courbe ROC/de prédiction")</f>
        <v>Courbe ROC/de prédiction</v>
      </c>
      <c r="PH3" s="8" t="str">
        <f>IFERROR(__xludf.DUMMYFUNCTION("GOOGLETRANSLATE(PH2,""en"",""fr"")"),"Importance des variables basée sur la forme")</f>
        <v>Importance des variables basée sur la forme</v>
      </c>
      <c r="PI3" s="8" t="str">
        <f>IFERROR(__xludf.DUMMYFUNCTION("GOOGLETRANSLATE(PI2,""en"",""fr"")"),"Classement de l'importance des variables")</f>
        <v>Classement de l'importance des variables</v>
      </c>
      <c r="PJ3" s="8" t="str">
        <f>IFERROR(__xludf.DUMMYFUNCTION("GOOGLETRANSLATE(PJ2,""en"",""fr"")"),"Diagramme de dépendance")</f>
        <v>Diagramme de dépendance</v>
      </c>
      <c r="PK3" s="8" t="str">
        <f>IFERROR(__xludf.DUMMYFUNCTION("GOOGLETRANSLATE(PK2,""en"",""fr"")"),"parcelle d'essaim d'abeilles")</f>
        <v>parcelle d'essaim d'abeilles</v>
      </c>
      <c r="PL3" s="8" t="str">
        <f>IFERROR(__xludf.DUMMYFUNCTION("GOOGLETRANSLATE(PL2,""en"",""fr"")"),"Diagramme en cascade")</f>
        <v>Diagramme en cascade</v>
      </c>
      <c r="PM3" s="8" t="str">
        <f>IFERROR(__xludf.DUMMYFUNCTION("GOOGLETRANSLATE(PM2,""en"",""fr"")"),"Diagramme de force")</f>
        <v>Diagramme de force</v>
      </c>
      <c r="PN3" s="8" t="str">
        <f>IFERROR(__xludf.DUMMYFUNCTION("GOOGLETRANSLATE(PN2,""en"",""fr"")"),"Déploiement du modèle")</f>
        <v>Déploiement du modèle</v>
      </c>
      <c r="PO3" s="8" t="str">
        <f>IFERROR(__xludf.DUMMYFUNCTION("GOOGLETRANSLATE(PO2,""en"",""fr"")"),"Résumé")</f>
        <v>Résumé</v>
      </c>
      <c r="PP3" s="8" t="str">
        <f>IFERROR(__xludf.DUMMYFUNCTION("GOOGLETRANSLATE(PP2,""en"",""fr"")"),"Télécharger les tracés")</f>
        <v>Télécharger les tracés</v>
      </c>
      <c r="PQ3" s="8" t="str">
        <f>IFERROR(__xludf.DUMMYFUNCTION("GOOGLETRANSLATE(PQ2,""en"",""fr"")"),"Sélectionner la métrique")</f>
        <v>Sélectionner la métrique</v>
      </c>
      <c r="PR3" s="8" t="str">
        <f>IFERROR(__xludf.DUMMYFUNCTION("GOOGLETRANSLATE(PR2,""en"",""fr"")"),"Sélectionnez le(s) modèle(s)")</f>
        <v>Sélectionnez le(s) modèle(s)</v>
      </c>
      <c r="PS3" s="8" t="str">
        <f>IFERROR(__xludf.DUMMYFUNCTION("GOOGLETRANSLATE(PS2,""en"",""fr"")"),"Sélectionner une ou plusieurs sessions")</f>
        <v>Sélectionner une ou plusieurs sessions</v>
      </c>
      <c r="PT3" s="8" t="str">
        <f>IFERROR(__xludf.DUMMYFUNCTION("GOOGLETRANSLATE(PT2,""en"",""fr"")"),"Déployer le(s) modèle(s) sélectionné(s)")</f>
        <v>Déployer le(s) modèle(s) sélectionné(s)</v>
      </c>
      <c r="PU3" s="8" t="str">
        <f>IFERROR(__xludf.DUMMYFUNCTION("GOOGLETRANSLATE(PU2,""en"",""fr"")"),"Déployer")</f>
        <v>Déployer</v>
      </c>
      <c r="PV3" s="8" t="str">
        <f>IFERROR(__xludf.DUMMYFUNCTION("GOOGLETRANSLATE(PV2,""en"",""fr"")"),"Cliquez d'abord sur la page Source pour vous connecter à une base de données.")</f>
        <v>Cliquez d'abord sur la page Source pour vous connecter à une base de données.</v>
      </c>
      <c r="PW3" s="8" t="str">
        <f>IFERROR(__xludf.DUMMYFUNCTION("GOOGLETRANSLATE(PW2,""en"",""fr"")"),"Filtrer par genre")</f>
        <v>Filtrer par genre</v>
      </c>
      <c r="PX3" s="8" t="str">
        <f>IFERROR(__xludf.DUMMYFUNCTION("GOOGLETRANSLATE(PX2,""en"",""fr"")"),"Modèles de prédiction")</f>
        <v>Modèles de prédiction</v>
      </c>
      <c r="PY3" s="8" t="str">
        <f>IFERROR(__xludf.DUMMYFUNCTION("GOOGLETRANSLATE(PY2,""en"",""fr"")"),"Sélectionnez le(s) modèle(s) pour la prédiction")</f>
        <v>Sélectionnez le(s) modèle(s) pour la prédiction</v>
      </c>
      <c r="PZ3" s="8" t="str">
        <f>IFERROR(__xludf.DUMMYFUNCTION("GOOGLETRANSLATE(PZ2,""en"",""fr"")"),"Données de prédiction saisies")</f>
        <v>Données de prédiction saisies</v>
      </c>
      <c r="QA3" s="8" t="str">
        <f>IFERROR(__xludf.DUMMYFUNCTION("GOOGLETRANSLATE(QA2,""en"",""fr"")"),"Télécharger le modèle de prédiction")</f>
        <v>Télécharger le modèle de prédiction</v>
      </c>
      <c r="QB3" s="8" t="str">
        <f>IFERROR(__xludf.DUMMYFUNCTION("GOOGLETRANSLATE(QB2,""en"",""fr"")"),"Télécharger les données de prédiction")</f>
        <v>Télécharger les données de prédiction</v>
      </c>
      <c r="QC3" s="8" t="str">
        <f>IFERROR(__xludf.DUMMYFUNCTION("GOOGLETRANSLATE(QC2,""en"",""fr"")"),"Télécharger")</f>
        <v>Télécharger</v>
      </c>
      <c r="QD3" s="8" t="str">
        <f>IFERROR(__xludf.DUMMYFUNCTION("GOOGLETRANSLATE(QD2,""en"",""fr"")"),"Prédire")</f>
        <v>Prédire</v>
      </c>
      <c r="QE3" s="8" t="str">
        <f>IFERROR(__xludf.DUMMYFUNCTION("GOOGLETRANSLATE(QE2,""en"",""fr"")"),"Réseau neuronal convolutif")</f>
        <v>Réseau neuronal convolutif</v>
      </c>
      <c r="QF3" s="8" t="str">
        <f>IFERROR(__xludf.DUMMYFUNCTION("GOOGLETRANSLATE(QF2,""en"",""fr"")"),"Transformers")</f>
        <v>Transformers</v>
      </c>
      <c r="QG3" s="8" t="str">
        <f>IFERROR(__xludf.DUMMYFUNCTION("GOOGLETRANSLATE(QG2,""en"",""fr"")"),"Performance et évaluation des trains")</f>
        <v>Performance et évaluation des trains</v>
      </c>
      <c r="QH3" s="8" t="str">
        <f>IFERROR(__xludf.DUMMYFUNCTION("GOOGLETRANSLATE(QH2,""en"",""fr"")"),"Ouvrir le formulaire de saisie de données")</f>
        <v>Ouvrir le formulaire de saisie de données</v>
      </c>
      <c r="QI3" s="8" t="str">
        <f>IFERROR(__xludf.DUMMYFUNCTION("GOOGLETRANSLATE(QI2,""en"",""fr"")"),"Données d'entrée non appariées. Télécharger le modèle de prédiction.")</f>
        <v>Données d'entrée non appariées. Télécharger le modèle de prédiction.</v>
      </c>
      <c r="QJ3" s="8" t="str">
        <f>IFERROR(__xludf.DUMMYFUNCTION("GOOGLETRANSLATE(QJ2,""en"",""fr"")"),"Enregistrer l'entrée")</f>
        <v>Enregistrer l'entrée</v>
      </c>
      <c r="QK3" s="8" t="str">
        <f>IFERROR(__xludf.DUMMYFUNCTION("GOOGLETRANSLATE(QK2,""en"",""fr"")"),"Finition")</f>
        <v>Finition</v>
      </c>
      <c r="QL3" s="8" t="str">
        <f>IFERROR(__xludf.DUMMYFUNCTION("GOOGLETRANSLATE(QL2,""en"",""fr"")"),"Annuler")</f>
        <v>Annuler</v>
      </c>
      <c r="QM3" s="8" t="str">
        <f>IFERROR(__xludf.DUMMYFUNCTION("GOOGLETRANSLATE(QM2,""en"",""fr"")"),"Saisir les données pour la prédiction")</f>
        <v>Saisir les données pour la prédiction</v>
      </c>
      <c r="QN3" s="8" t="str">
        <f>IFERROR(__xludf.DUMMYFUNCTION("GOOGLETRANSLATE(QN2,""en"",""fr"")"),"Ajouter une autre entrée")</f>
        <v>Ajouter une autre entrée</v>
      </c>
      <c r="QO3" s="8" t="str">
        <f>IFERROR(__xludf.DUMMYFUNCTION("GOOGLETRANSLATE(QO2,""en"",""fr"")"),"Erreur de l'API de prédiction. Veuillez réessayer.")</f>
        <v>Erreur de l'API de prédiction. Veuillez réessayer.</v>
      </c>
      <c r="QP3" s="8" t="str">
        <f>IFERROR(__xludf.DUMMYFUNCTION("GOOGLETRANSLATE(QP2,""en"",""fr"")"),"Formation du modèle…")</f>
        <v>Formation du modèle…</v>
      </c>
      <c r="QQ3" s="8" t="str">
        <f>IFERROR(__xludf.DUMMYFUNCTION("GOOGLETRANSLATE(QQ2,""en"",""fr"")"),"Erreur dans l'entraînement du modèle")</f>
        <v>Erreur dans l'entraînement du modèle</v>
      </c>
      <c r="QR3" s="8" t="str">
        <f>IFERROR(__xludf.DUMMYFUNCTION("GOOGLETRANSLATE(QR2,""en"",""fr"")"),"Erreur des métriques du modèle")</f>
        <v>Erreur des métriques du modèle</v>
      </c>
      <c r="QS3" s="8" t="str">
        <f>IFERROR(__xludf.DUMMYFUNCTION("GOOGLETRANSLATE(QS2,""en"",""fr"")"),"Métriques d'entraînement")</f>
        <v>Métriques d'entraînement</v>
      </c>
      <c r="QT3" s="8" t="str">
        <f>IFERROR(__xludf.DUMMYFUNCTION("GOOGLETRANSLATE(QT2,""en"",""fr"")"),"Métriques de test")</f>
        <v>Métriques de test</v>
      </c>
      <c r="QU3" s="8" t="str">
        <f>IFERROR(__xludf.DUMMYFUNCTION("GOOGLETRANSLATE(QU2,""en"",""fr"")"),"Statistiques de publication")</f>
        <v>Statistiques de publication</v>
      </c>
      <c r="QV3" s="8" t="str">
        <f>IFERROR(__xludf.DUMMYFUNCTION("GOOGLETRANSLATE(QV2,""en"",""fr"")"),"Valeurs de forme")</f>
        <v>Valeurs de forme</v>
      </c>
      <c r="QW3" s="8" t="str">
        <f>IFERROR(__xludf.DUMMYFUNCTION("GOOGLETRANSLATE(QW2,""en"",""fr"")"),"Générer des valeurs SHAP")</f>
        <v>Générer des valeurs SHAP</v>
      </c>
      <c r="QX3" s="8" t="str">
        <f>IFERROR(__xludf.DUMMYFUNCTION("GOOGLETRANSLATE(QX2,""en"",""fr"")"),"Téléchargement de données sur la plateforme Nocode")</f>
        <v>Téléchargement de données sur la plateforme Nocode</v>
      </c>
      <c r="QY3" s="8" t="str">
        <f>IFERROR(__xludf.DUMMYFUNCTION("GOOGLETRANSLATE(QY2,""en"",""fr"")"),"Déploiement de modèles")</f>
        <v>Déploiement de modèles</v>
      </c>
      <c r="QZ3" s="8" t="str">
        <f>IFERROR(__xludf.DUMMYFUNCTION("GOOGLETRANSLATE(QZ2,""en"",""fr"")"),"Les modèles n'ont pas pu être déployés, veuillez réessayer :")</f>
        <v>Les modèles n'ont pas pu être déployés, veuillez réessayer :</v>
      </c>
      <c r="RA3" s="8" t="str">
        <f>IFERROR(__xludf.DUMMYFUNCTION("GOOGLETRANSLATE(RA2,""en"",""fr"")"),"Modèles déployés")</f>
        <v>Modèles déployés</v>
      </c>
      <c r="RB3" s="8" t="str">
        <f>IFERROR(__xludf.DUMMYFUNCTION("GOOGLETRANSLATE(RB2,""en"",""fr"")"),"Délai d'accès au point de terminaison expiré. Veuillez réessayer.")</f>
        <v>Délai d'accès au point de terminaison expiré. Veuillez réessayer.</v>
      </c>
      <c r="RC3" s="8" t="str">
        <f>IFERROR(__xludf.DUMMYFUNCTION("GOOGLETRANSLATE(RC2,""en"",""fr"")"),"Tableau de bord")</f>
        <v>Tableau de bord</v>
      </c>
      <c r="RD3" s="8" t="str">
        <f>IFERROR(__xludf.DUMMYFUNCTION("GOOGLETRANSLATE(RD2,""en"",""fr"")"),"Créer un pipeline")</f>
        <v>Créer un pipeline</v>
      </c>
      <c r="RE3" s="8" t="str">
        <f>IFERROR(__xludf.DUMMYFUNCTION("GOOGLETRANSLATE(RE2,""en"",""fr"")"),"Modèle de train")</f>
        <v>Modèle de train</v>
      </c>
      <c r="RF3" s="8" t="str">
        <f>IFERROR(__xludf.DUMMYFUNCTION("GOOGLETRANSLATE(RF2,""en"",""fr"")"),"Faire des prédictions")</f>
        <v>Faire des prédictions</v>
      </c>
      <c r="RG3" s="8" t="str">
        <f>IFERROR(__xludf.DUMMYFUNCTION("GOOGLETRANSLATE(RG2,""en"",""fr"")"),"Voir les offres d'emploi")</f>
        <v>Voir les offres d'emploi</v>
      </c>
      <c r="RH3" s="8" t="str">
        <f>IFERROR(__xludf.DUMMYFUNCTION("GOOGLETRANSLATE(RH2,""en"",""fr"")"),"Afficher les ensembles de données")</f>
        <v>Afficher les ensembles de données</v>
      </c>
      <c r="RI3" s="8" t="str">
        <f>IFERROR(__xludf.DUMMYFUNCTION("GOOGLETRANSLATE(RI2,""en"",""fr"")"),"Supprimer la tâche")</f>
        <v>Supprimer la tâche</v>
      </c>
      <c r="RJ3" s="8" t="str">
        <f>IFERROR(__xludf.DUMMYFUNCTION("GOOGLETRANSLATE(RJ2,""en"",""fr"")"),"Le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K3" s="8" t="str">
        <f>IFERROR(__xludf.DUMMYFUNCTION("GOOGLETRANSLATE(RK2,""en"",""fr"")"),"Le résultat binaire a été transformé en problème de classification")</f>
        <v>Le résultat binaire a été transformé en problème de classification</v>
      </c>
      <c r="RL3" s="8" t="str">
        <f>IFERROR(__xludf.DUMMYFUNCTION("GOOGLETRANSLATE(RL2,""en"",""fr"")"),"Erreur de renommage de variable")</f>
        <v>Erreur de renommage de variable</v>
      </c>
      <c r="RM3" s="8" t="str">
        <f>IFERROR(__xludf.DUMMYFUNCTION("GOOGLETRANSLATE(RM2,""en"",""fr"")"),"Erreur de la variable de recodage")</f>
        <v>Erreur de la variable de recodage</v>
      </c>
      <c r="RN3" s="8" t="str">
        <f>IFERROR(__xludf.DUMMYFUNCTION("GOOGLETRANSLATE(RN2,""en"",""fr"")"),"Vérifiez et réessayez :")</f>
        <v>Vérifiez et réessayez :</v>
      </c>
      <c r="RO3" s="8" t="str">
        <f>IFERROR(__xludf.DUMMYFUNCTION("GOOGLETRANSLATE(RO2,""en"",""fr"")"),"Génération des réponses…")</f>
        <v>Génération des réponses…</v>
      </c>
      <c r="RP3" s="8" t="str">
        <f>IFERROR(__xludf.DUMMYFUNCTION("GOOGLETRANSLATE(RP2,""en"",""fr"")"),"Générer des réponses…")</f>
        <v>Générer des réponses…</v>
      </c>
      <c r="RQ3" s="8" t="str">
        <f>IFERROR(__xludf.DUMMYFUNCTION("GOOGLETRANSLATE(RQ2,""en"",""fr"")"),"Erreur de fractionnement des données :")</f>
        <v>Erreur de fractionnement des données :</v>
      </c>
      <c r="RR3" s="8" t="str">
        <f>IFERROR(__xludf.DUMMYFUNCTION("GOOGLETRANSLATE(RR2,""en"",""fr"")"),"Erreur de traitement :")</f>
        <v>Erreur de traitement :</v>
      </c>
      <c r="RS3" s="8" t="str">
        <f>IFERROR(__xludf.DUMMYFUNCTION("GOOGLETRANSLATE(RS2,""en"",""fr"")"),"k")</f>
        <v>k</v>
      </c>
      <c r="RT3" s="8" t="str">
        <f>IFERROR(__xludf.DUMMYFUNCTION("GOOGLETRANSLATE(RT2,""en"",""fr"")"),"taille")</f>
        <v>taille</v>
      </c>
      <c r="RU3" s="8" t="str">
        <f>IFERROR(__xludf.DUMMYFUNCTION("GOOGLETRANSLATE(RU2,""en"",""fr"")"),"pourriture")</f>
        <v>pourriture</v>
      </c>
      <c r="RV3" s="8" t="str">
        <f>IFERROR(__xludf.DUMMYFUNCTION("GOOGLETRANSLATE(RV2,""en"",""fr"")"),"Dégradation du poids")</f>
        <v>Dégradation du poids</v>
      </c>
      <c r="RW3" s="8" t="str">
        <f>IFERROR(__xludf.DUMMYFUNCTION("GOOGLETRANSLATE(RW2,""en"",""fr"")"),"Configuration du modèle terminée")</f>
        <v>Configuration du modèle terminée</v>
      </c>
      <c r="RX3" s="8" t="str">
        <f>IFERROR(__xludf.DUMMYFUNCTION("GOOGLETRANSLATE(RX2,""en"",""fr"")"),"Ingénierie des fonctionnalités terminée")</f>
        <v>Ingénierie des fonctionnalités terminée</v>
      </c>
      <c r="RY3" s="8" t="str">
        <f>IFERROR(__xludf.DUMMYFUNCTION("GOOGLETRANSLATE(RY2,""en"",""fr"")"),"Prétraitement…")</f>
        <v>Prétraitement…</v>
      </c>
      <c r="RZ3" s="8" t="str">
        <f>IFERROR(__xludf.DUMMYFUNCTION("GOOGLETRANSLATE(RZ2,""en"",""fr"")"),"Sac")</f>
        <v>Sac</v>
      </c>
      <c r="SA3" s="8" t="str">
        <f>IFERROR(__xludf.DUMMYFUNCTION("GOOGLETRANSLATE(SA2,""en"",""fr"")"),"Taille")</f>
        <v>Taille</v>
      </c>
      <c r="SB3" s="8" t="str">
        <f>IFERROR(__xludf.DUMMYFUNCTION("GOOGLETRANSLATE(SB2,""en"",""fr"")"),"Pourriture")</f>
        <v>Pourriture</v>
      </c>
      <c r="SC3" s="8" t="str">
        <f>IFERROR(__xludf.DUMMYFUNCTION("GOOGLETRANSLATE(SC2,""en"",""fr"")"),"#Composants")</f>
        <v>#Composants</v>
      </c>
      <c r="SD3" s="8" t="str">
        <f>IFERROR(__xludf.DUMMYFUNCTION("GOOGLETRANSLATE(SD2,""en"",""fr"")"),"Paramètres de contrôle")</f>
        <v>Paramètres de contrôle</v>
      </c>
      <c r="SE3" s="8" t="str">
        <f>IFERROR(__xludf.DUMMYFUNCTION("GOOGLETRANSLATE(SE2,""en"",""fr"")"),"Paramètres ajustés")</f>
        <v>Paramètres ajustés</v>
      </c>
      <c r="SF3" s="8" t="str">
        <f>IFERROR(__xludf.DUMMYFUNCTION("GOOGLETRANSLATE(SF2,""en"",""fr"")"),"Paramètres")</f>
        <v>Paramètres</v>
      </c>
    </row>
    <row r="4" ht="14.25" customHeight="1">
      <c r="A4" s="8" t="s">
        <v>988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""sw"")"),"Teua kisanduku ili kuona muhtasari wa seti za data zilizopakiwa")</f>
        <v>Teua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""sw"")"),"Dondosha faili")</f>
        <v>Dondosha faili</v>
      </c>
      <c r="K4" s="7" t="str">
        <f>IFERROR(__xludf.DUMMYFUNCTION("GOOGLETRANSLATE(K2, ""en"", ""sw"")"),"Tafadhali pakia faili inayotumika")</f>
        <v>Tafadhali pakia faili inayotumika</v>
      </c>
      <c r="L4" s="7" t="str">
        <f>IFERROR(__xludf.DUMMYFUNCTION("GOOGLETRANSLATE(L2, ""en"", ""sw"")"),"Bandika viungo kwa faili za aina")</f>
        <v>Bandika viungo kwa faili za aina</v>
      </c>
      <c r="M4" s="7" t="str">
        <f>IFERROR(__xludf.DUMMYFUNCTION("GOOGLETRANSLATE(M2, ""en"", ""sw"")"),"Jina la masomo")</f>
        <v>Jina la masomo</v>
      </c>
      <c r="N4" s="7" t="str">
        <f>IFERROR(__xludf.DUMMYFUNCTION("GOOGLETRANSLATE(N2, ""en"", ""sw"")"),"Nchi ya kusoma")</f>
        <v>Nchi ya kusoma</v>
      </c>
      <c r="O4" s="7" t="str">
        <f>IFERROR(__xludf.DUMMYFUNCTION("GOOGLETRANSLATE(O2, ""en"", ""sw"")"),"Maelezo ya ziada")</f>
        <v>Maelezo ya ziada</v>
      </c>
      <c r="P4" s="7" t="str">
        <f>IFERROR(__xludf.DUMMYFUNCTION("GOOGLETRANSLATE(P2, ""en"", ""sw"")"),"Toa muktadha wa masomo, muundo, n.k, ili kutoa muktadha kwa AI")</f>
        <v>Toa muktadha wa masomo, muundo, n.k,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""sw"")"),"Bado haijatekelezwa. Kazi inaendelea!!! Chagua Karibu Nawe au URL ...")</f>
        <v>Bado haijatekelezwa. Kazi inaendelea!!! Chagua Karibu Nawe au URL ...</v>
      </c>
      <c r="S4" s="7" t="str">
        <f>IFERROR(__xludf.DUMMYFUNCTION("GOOGLETRANSLATE(S2, ""en"", ""sw"")"),"Kutumia URL kwa faili za .xls hazitumiki kwa sasa. Tafadhali pakua na upakie kwa kutumia chaguo la ndani")</f>
        <v>Kutumia URL kwa faili za .xls hazitumiki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imewasilishwa!")</f>
        <v>Data imewasilishwa!</v>
      </c>
      <c r="V4" s="7" t="str">
        <f>IFERROR(__xludf.DUMMYFUNCTION("GOOGLETRANSLATE(V2, ""en"", ""sw"")"),"Bado hakuna seti ya data iliyopakiwa! Tafadhali pakia data kwanza!!!")</f>
        <v>Bado hakuna seti ya data iliyopakiwa!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""sw"")"),"Bado hakuna seti ya data iliyopakiwa! Pakia data kutoka")</f>
        <v>Bado hakuna seti ya data iliyopakiwa!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""sw"")"),"Inazalisha takwimu za muhtasari")</f>
        <v>Inazalisha takwimu za muhtasari</v>
      </c>
      <c r="AC4" s="7" t="str">
        <f>IFERROR(__xludf.DUMMYFUNCTION("GOOGLETRANSLATE(AC2, ""en"", ""sw"")"),"Umechagua")</f>
        <v>Umechagua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""sw"")"),"Geuza vitendo vya kufanya")</f>
        <v>Geuza vitendo vya kufanya</v>
      </c>
      <c r="AF4" s="7" t="str">
        <f>IFERROR(__xludf.DUMMYFUNCTION("GOOGLETRANSLATE(AF2, ""en"", ""sw"")"),"Kutokuwepo")</f>
        <v>Kutokuwepo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kichungi cha R kama vile")</f>
        <v>Tumia amri za kichungi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kigeu cha kuonyesha")</f>
        <v>Chagua kigeu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imetolewa. Angalia ikiwa umetaja kwa usahihi jina la kutofautisha au hali. Umetoa:")</f>
        <v>Hitilafu katika sheria ya kichujio imetolewa. Angalia ikiwa umetaja kwa usahihi jina la kutofautisha au hali. Umetoa: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""sw"")"),"Chunguza haraka")</f>
        <v>Chunguza haraka</v>
      </c>
      <c r="AV4" s="7" t="str">
        <f>IFERROR(__xludf.DUMMYFUNCTION("GOOGLETRANSLATE(AV2, ""en"", ""sw"")"),"Utafutaji wa data wa haraka")</f>
        <v>Utafutaji wa data wa haraka</v>
      </c>
      <c r="AW4" s="7" t="str">
        <f>IFERROR(__xludf.DUMMYFUNCTION("GOOGLETRANSLATE(AW2, ""en"", ""sw"")"),"Sasisha na Batilisha data")</f>
        <v>Sasisha na Batilisha data</v>
      </c>
      <c r="AX4" s="7" t="str">
        <f>IFERROR(__xludf.DUMMYFUNCTION("GOOGLETRANSLATE(AX2, ""en"", ""sw"")"),"Inabatilisha data iliyopakiwa kulingana na vichujio na chaguo, ndani na chini!")</f>
        <v>Inabatilisha data iliyopakiwa kulingana na vichujio na chaguo, ndani na chini!</v>
      </c>
      <c r="AY4" s="7" t="str">
        <f>IFERROR(__xludf.DUMMYFUNCTION("GOOGLETRANSLATE(AY2, ""en"", ""sw"")"),"Data imesasishwa na kuandikwa upya")</f>
        <v>Data imesasishwa na kuandikwa upya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inayobadilika")</f>
        <v>Aina inayobadilika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kutofautisha")</f>
        <v>Badilisha jina la kutofautisha</v>
      </c>
      <c r="BF4" s="7" t="str">
        <f>IFERROR(__xludf.DUMMYFUNCTION("GOOGLETRANSLATE(BF2, ""en"", ""sw"")"),"URL ya Seva Database")</f>
        <v>URL ya Seva Database</v>
      </c>
      <c r="BG4" s="7" t="str">
        <f>IFERROR(__xludf.DUMMYFUNCTION("GOOGLETRANSLATE(BG2, ""en"", ""sw"")"),"Bandika URL ya Hifadhidata, Jina la Mpangishi au anwani ya IP")</f>
        <v>Bandika URL ya Hifadhidata, Jina la Mpangishi au anwani ya IP</v>
      </c>
      <c r="BH4" s="7" t="str">
        <f>IFERROR(__xludf.DUMMYFUNCTION("GOOGLETRANSLATE(BH2, ""en"", ""sw"")"),"Kumbukumbu za kubadilisha jina")</f>
        <v>Kumbukumbu za kubadilisha jina</v>
      </c>
      <c r="BI4" s="7" t="str">
        <f>IFERROR(__xludf.DUMMYFUNCTION("GOOGLETRANSLATE(BI2, ""en"", ""sw"")"),"Rekodi maadili")</f>
        <v>Rekodi maadili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kutofautisha zilizowekwa upya")</f>
        <v>Lebo za kutofautisha zilizowekwa upya</v>
      </c>
      <c r="BN4" s="7" t="str">
        <f>IFERROR(__xludf.DUMMYFUNCTION("GOOGLETRANSLATE(BN2, ""en"", ""sw"")"),"Hushughulikia maadili yanayokosekana")</f>
        <v>Hushughulikia maadili yanayokosekana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""sw"")"),"Rekodi maadili ili kukosa")</f>
        <v>Rekodi maadili ili kukosa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maadili yaliyokosekana")</f>
        <v>Jinsi ya kugawa maadili yaliyokosekana</v>
      </c>
      <c r="BS4" s="7" t="str">
        <f>IFERROR(__xludf.DUMMYFUNCTION("GOOGLETRANSLATE(BS2, ""en"", ""sw"")"),"Ingizo R kulingana na ruwaza (chaguo-msingi """") k.m ^\\ | Wengine | lebo$")</f>
        <v>Ingizo R kulingana na ruwaza (chaguo-msingi "") k.m ^\\ | Wengine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""sw"")"),"Maadili ya kategoria")</f>
        <v>Maadili ya kategoria</v>
      </c>
      <c r="BV4" s="7" t="str">
        <f>IFERROR(__xludf.DUMMYFUNCTION("GOOGLETRANSLATE(BV2, ""en"", ""sw"")"),"Maadili ya nambari")</f>
        <v>Maadili ya nambari</v>
      </c>
      <c r="BW4" s="7" t="str">
        <f>IFERROR(__xludf.DUMMYFUNCTION("GOOGLETRANSLATE(BW2, ""en"", ""sw"")"),"Tenganisha thamani nyingi kwa kutumia , au ;. Kwa masafa, ingiza thamani mbili, zilizotenganishwa, au ;")</f>
        <v>Tenganisha thamani nyingi kwa kutumia , au ;. Kwa masafa, ingiza thamani mbili, zilizotenganishwa,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zinazokosekana zimerekebishwa")</f>
        <v>Thamani zinazokosekana zimerekebishwa</v>
      </c>
      <c r="BZ4" s="7" t="str">
        <f>IFERROR(__xludf.DUMMYFUNCTION("GOOGLETRANSLATE(BZ2, ""en"", ""sw"")"),"Je, data inayokosekana inatambuliwaje?")</f>
        <v>Je, data inayokosekana inatambuliwaje?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""sw"")"),"-99999999")</f>
        <v>-99999999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kitengo")</f>
        <v>Thamani ya kitengo</v>
      </c>
      <c r="CE4" s="7" t="str">
        <f>IFERROR(__xludf.DUMMYFUNCTION("GOOGLETRANSLATE(CE2, ""en"", ""sw"")"),"Angalia ikiwa masafa (kiwango cha juu, chini)")</f>
        <v>Angalia ikiwa masafa (kiwango cha juu, chini)</v>
      </c>
      <c r="CF4" s="7" t="str">
        <f>IFERROR(__xludf.DUMMYFUNCTION("GOOGLETRANSLATE(CF2, ""en"", ""sw"")"),"Tenganisha kategoria nyingi na ; au,. Kategoria zilizobainishwa lazima ziwe kwenye data")</f>
        <v>Tenganisha kategoria nyingi na ; au,.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""sw"")"),"Nje")</f>
        <v>Nje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kusahihisha")</f>
        <v>Mbinu ya kusahihisha</v>
      </c>
      <c r="CL4" s="7" t="str">
        <f>IFERROR(__xludf.DUMMYFUNCTION("GOOGLETRANSLATE(CL2, ""en"", ""sw"")"),"Weka nambari")</f>
        <v>Weka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""sw"")"),"Vifaa vya nje vilivyosahihishwa")</f>
        <v>Vifaa vya nje vilivyosahihishwa</v>
      </c>
      <c r="CO4" s="7" t="str">
        <f>IFERROR(__xludf.DUMMYFUNCTION("GOOGLETRANSLATE(CO2, ""en"", ""sw"")"),"Plot kwa kukosa data")</f>
        <v>Plot kwa kukosa data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""sw"")"),"Chunguza")</f>
        <v>Chunguza</v>
      </c>
      <c r="CS4" s="7" t="str">
        <f>IFERROR(__xludf.DUMMYFUNCTION("GOOGLETRANSLATE(CS2, ""en"", ""sw"")"),"Kituo cha Utafiti wa Idadi ya Watu na Afya barani Afrika")</f>
        <v>Kituo cha Utafiti wa Idadi ya Watu na Afya barani Afrika</v>
      </c>
      <c r="CT4" s="7" t="str">
        <f>IFERROR(__xludf.DUMMYFUNCTION("GOOGLETRANSLATE(CT2, ""en"", ""sw"")"),"Haki zote zimehifadhiwa")</f>
        <v>Haki zote zimehifadhiwa</v>
      </c>
      <c r="CU4" s="7" t="str">
        <f>IFERROR(__xludf.DUMMYFUNCTION("GOOGLETRANSLATE(CU2, ""en"", ""sw"")"),"hakimiliki")</f>
        <v>hakimiliki</v>
      </c>
      <c r="CV4" s="7" t="str">
        <f>IFERROR(__xludf.DUMMYFUNCTION("GOOGLETRANSLATE(CV2, ""en"", ""sw"")"),"Wasiliana Nasi")</f>
        <v>Wasiliana Nasi</v>
      </c>
      <c r="CW4" s="7" t="str">
        <f>IFERROR(__xludf.DUMMYFUNCTION("GOOGLETRANSLATE(CW2, ""en"", ""sw"")"),"Badilisha")</f>
        <v>Badilisha</v>
      </c>
      <c r="CX4" s="7" t="str">
        <f>IFERROR(__xludf.DUMMYFUNCTION("GOOGLETRANSLATE(CX2, ""en"", ""sw"")"),"APHRC AUTOML HAKUNA JUKWAA LA MSIMBO")</f>
        <v>APHRC AUTOML HAKUNA JUKWAA LA MSIMBO</v>
      </c>
      <c r="CY4" s="7" t="str">
        <f>IFERROR(__xludf.DUMMYFUNCTION("GOOGLETRANSLATE(CY2, ""en"", ""sw"")"),"Nyumbani")</f>
        <v>Nyumbani</v>
      </c>
      <c r="CZ4" s="7" t="str">
        <f>IFERROR(__xludf.DUMMYFUNCTION("GOOGLETRANSLATE(CZ2, ""en"", ""sw"")"),"Data chanzo")</f>
        <v>Data chanzo</v>
      </c>
      <c r="DA4" s="7" t="str">
        <f>IFERROR(__xludf.DUMMYFUNCTION("GOOGLETRANSLATE(DA2, ""en"", ""sw"")"),"Dhibiti data")</f>
        <v>Dhibiti data</v>
      </c>
      <c r="DB4" s="7" t="str">
        <f>IFERROR(__xludf.DUMMYFUNCTION("GOOGLETRANSLATE(DB2, ""en"", ""sw"")"),"Muhtasari")</f>
        <v>Muhtasari</v>
      </c>
      <c r="DC4" s="7" t="str">
        <f>IFERROR(__xludf.DUMMYFUNCTION("GOOGLETRANSLATE(DC2, ""en"", ""sw"")"),"Chunguza")</f>
        <v>Chunguza</v>
      </c>
      <c r="DD4" s="7" t="str">
        <f>IFERROR(__xludf.DUMMYFUNCTION("GOOGLETRANSLATE(DD2, ""en"", ""sw"")"),"Badilisha")</f>
        <v>Badilisha</v>
      </c>
      <c r="DE4" s="7" t="str">
        <f>IFERROR(__xludf.DUMMYFUNCTION("GOOGLETRANSLATE(DE2, ""en"", ""sw"")"),"Muda")</f>
        <v>Muda</v>
      </c>
      <c r="DF4" s="7" t="str">
        <f>IFERROR(__xludf.DUMMYFUNCTION("GOOGLETRANSLATE(DF2, ""en"", ""sw"")"),"Mjenzi wa Kundi")</f>
        <v>Mjenzi wa Kundi</v>
      </c>
      <c r="DG4" s="7" t="str">
        <f>IFERROR(__xludf.DUMMYFUNCTION("GOOGLETRANSLATE(DG2, ""en"", ""sw"")"),"Kuchanganya data")</f>
        <v>Kuchanganya data</v>
      </c>
      <c r="DH4" s="7" t="str">
        <f>IFERROR(__xludf.DUMMYFUNCTION("GOOGLETRANSLATE(DH2, ""en"", ""sw"")"),"Ongeza safu")</f>
        <v>Ongeza safu</v>
      </c>
      <c r="DI4" s="7" t="str">
        <f>IFERROR(__xludf.DUMMYFUNCTION("GOOGLETRANSLATE(DI2, ""en"", ""sw"")"),"Ongeza safuwima")</f>
        <v>Ongeza safuwima</v>
      </c>
      <c r="DJ4" s="7" t="str">
        <f>IFERROR(__xludf.DUMMYFUNCTION("GOOGLETRANSLATE(DJ2, ""en"", ""sw"")"),"Taswira ya data")</f>
        <v>Taswira ya data</v>
      </c>
      <c r="DK4" s="7" t="str">
        <f>IFERROR(__xludf.DUMMYFUNCTION("GOOGLETRANSLATE(DK2, ""en"", ""sw"")"),"Otomatiki")</f>
        <v>Otomatiki</v>
      </c>
      <c r="DL4" s="7" t="str">
        <f>IFERROR(__xludf.DUMMYFUNCTION("GOOGLETRANSLATE(DL2, ""en"", ""sw"")"),"Desturi")</f>
        <v>Desturi</v>
      </c>
      <c r="DM4" s="7" t="str">
        <f>IFERROR(__xludf.DUMMYFUNCTION("GOOGLETRANSLATE(DM2, ""en"", ""sw"")"),"Nambari")</f>
        <v>Nambari</v>
      </c>
      <c r="DN4" s="7" t="str">
        <f>IFERROR(__xludf.DUMMYFUNCTION("GOOGLETRANSLATE(DN2, ""en"", ""sw"")"),"Kategoria")</f>
        <v>Kategoria</v>
      </c>
      <c r="DO4" s="7" t="str">
        <f>IFERROR(__xludf.DUMMYFUNCTION("GOOGLETRANSLATE(DO2, ""en"", ""sw"")"),"Kujifunza kwa mashine")</f>
        <v>Kujifunza kwa mashine</v>
      </c>
      <c r="DP4" s="7" t="str">
        <f>IFERROR(__xludf.DUMMYFUNCTION("GOOGLETRANSLATE(DP2, ""en"", ""sw"")"),"Anzisha")</f>
        <v>Anzisha</v>
      </c>
      <c r="DQ4" s="7" t="str">
        <f>IFERROR(__xludf.DUMMYFUNCTION("GOOGLETRANSLATE(DQ2, ""en"", ""sw"")"),"Mjenzi wa Kundi")</f>
        <v>Mjenzi wa Kundi</v>
      </c>
      <c r="DR4" s="7" t="str">
        <f>IFERROR(__xludf.DUMMYFUNCTION("GOOGLETRANSLATE(DR2, ""en"", ""sw"")"),"Vipengele vya uhandisi")</f>
        <v>Vipengele vya uhandisi</v>
      </c>
      <c r="DS4" s="7" t="str">
        <f>IFERROR(__xludf.DUMMYFUNCTION("GOOGLETRANSLATE(DS2, ""en"", ""sw"")"),"Mfano wa treni")</f>
        <v>Mfano wa treni</v>
      </c>
      <c r="DT4" s="7" t="str">
        <f>IFERROR(__xludf.DUMMYFUNCTION("GOOGLETRANSLATE(DT2, ""en"", ""sw"")"),"Thibitisha na upeleke muundo")</f>
        <v>Thibitisha na upeleke muundo</v>
      </c>
      <c r="DU4" s="7" t="str">
        <f>IFERROR(__xludf.DUMMYFUNCTION("GOOGLETRANSLATE(DU2, ""en"", ""sw"")"),"Bashiri/ainisha")</f>
        <v>Bashiri/ainisha</v>
      </c>
      <c r="DV4" s="7" t="str">
        <f>IFERROR(__xludf.DUMMYFUNCTION("GOOGLETRANSLATE(DV2, ""en"", ""sw"")"),"Rasilimali za ziada")</f>
        <v>Rasilimali za ziada</v>
      </c>
      <c r="DW4" s="7" t="str">
        <f>IFERROR(__xludf.DUMMYFUNCTION("GOOGLETRANSLATE(DW2, ""en"", ""sw"")"),"Muunganisho wa hifadhidata umefaulu")</f>
        <v>Muunganisho wa hifadhidata umefaulu</v>
      </c>
      <c r="DX4" s="7" t="str">
        <f>IFERROR(__xludf.DUMMYFUNCTION("GOOGLETRANSLATE(DX2, ""en"", ""sw"")"),"Chanzo cha data")</f>
        <v>Chanzo cha data</v>
      </c>
      <c r="DY4" s="7" t="str">
        <f>IFERROR(__xludf.DUMMYFUNCTION("GOOGLETRANSLATE(DY2, ""en"", ""sw"")"),"Chagua moja")</f>
        <v>Chagua moja</v>
      </c>
      <c r="DZ4" s="7" t="str">
        <f>IFERROR(__xludf.DUMMYFUNCTION("GOOGLETRANSLATE(DZ2, ""en"", ""sw"")"),"Data mpya")</f>
        <v>Data mpya</v>
      </c>
      <c r="EA4" s="7" t="str">
        <f>IFERROR(__xludf.DUMMYFUNCTION("GOOGLETRANSLATE(EA2, ""en"", ""sw"")"),"Chagua data")</f>
        <v>Chagua data</v>
      </c>
      <c r="EB4" s="7" t="str">
        <f>IFERROR(__xludf.DUMMYFUNCTION("GOOGLETRANSLATE(EB2, ""en"", ""sw"")"),"Ongeza seti ya pili ya data kutoka ")</f>
        <v>Ongeza seti ya pili ya data kutoka </v>
      </c>
      <c r="EC4" s="7" t="str">
        <f>IFERROR(__xludf.DUMMYFUNCTION("GOOGLETRANSLATE(EC2, ""en"", ""sw"")"),"Vigezo vinavyolingana")</f>
        <v>Vigezo vinavyolingana</v>
      </c>
      <c r="ED4" s="7" t="str">
        <f>IFERROR(__xludf.DUMMYFUNCTION("GOOGLETRANSLATE(ED2, ""en"", ""sw"")"),"Vigezo vinavyolingana (ID).")</f>
        <v>Vigezo vinavyolingana (ID).</v>
      </c>
      <c r="EE4" s="7" t="str">
        <f>IFERROR(__xludf.DUMMYFUNCTION("GOOGLETRANSLATE(EE2, ""en"", ""sw"")"),"Endelea kuchanganya safu/safu")</f>
        <v>Endelea kuchanganya safu/safu</v>
      </c>
      <c r="EF4" s="7" t="str">
        <f>IFERROR(__xludf.DUMMYFUNCTION("GOOGLETRANSLATE(EF2, ""en"", ""sw"")"),"Hakuna vigeu vilivyolingana. NA itatumika kujaza isiyolingana. Unaweza kulinganisha vigeu wewe mwenyewe")</f>
        <v>Hakuna vigeu vilivyolingana. NA itatumika kujaza isiyolingana. Unaweza kulinganisha vigeu wewe mwenyewe</v>
      </c>
      <c r="EG4" s="7" t="str">
        <f>IFERROR(__xludf.DUMMYFUNCTION("GOOGLETRANSLATE(EG2, ""en"", ""sw"")"),"Ulinganishaji unaobadilika")</f>
        <v>Ulinganishaji unaobadilika</v>
      </c>
      <c r="EH4" s="7" t="str">
        <f>IFERROR(__xludf.DUMMYFUNCTION("GOOGLETRANSLATE(EH2, ""en"", ""sw"")"),"Jinsi ya kuchanganya data mpya kwa ile iliyochaguliwa tayari ...")</f>
        <v>Jinsi ya kuchanganya data mpya kwa ile iliyochaguliwa tayari ...</v>
      </c>
      <c r="EI4" s="7" t="str">
        <f>IFERROR(__xludf.DUMMYFUNCTION("GOOGLETRANSLATE(EI2, ""en"", ""sw"")"),"Vigezo vya data ya msingi")</f>
        <v>Vigezo vya data ya msingi</v>
      </c>
      <c r="EJ4" s="7" t="str">
        <f>IFERROR(__xludf.DUMMYFUNCTION("GOOGLETRANSLATE(EJ2, ""en"", ""sw"")"),"Vigezo vipya vya data")</f>
        <v>Vigezo vipya vya data</v>
      </c>
      <c r="EK4" s="7" t="str">
        <f>IFERROR(__xludf.DUMMYFUNCTION("GOOGLETRANSLATE(EK2, ""en"", ""sw"")"),"Muundo")</f>
        <v>Muundo</v>
      </c>
      <c r="EL4" s="7" t="str">
        <f>IFERROR(__xludf.DUMMYFUNCTION("GOOGLETRANSLATE(EL2, ""en"", ""sw"")"),"Muhtasari")</f>
        <v>Muhtasari</v>
      </c>
      <c r="EM4" s="7" t="str">
        <f>IFERROR(__xludf.DUMMYFUNCTION("GOOGLETRANSLATE(EM2, ""en"", ""sw"")"),"Skim")</f>
        <v>Skim</v>
      </c>
      <c r="EN4" s="7" t="str">
        <f>IFERROR(__xludf.DUMMYFUNCTION("GOOGLETRANSLATE(EN2, ""en"", ""sw"")"),"Sehemu Hii Huruhusu Mtumiaji Kuzalisha Toleo Linayohitajika kutoka kwa Vigeu Vilivyochaguliwa")</f>
        <v>Sehemu Hii Huruhusu Mtumiaji Kuzalisha Toleo Linayohitajika kutoka kwa Vigeu Vilivyochaguliwa</v>
      </c>
      <c r="EO4" s="7" t="str">
        <f>IFERROR(__xludf.DUMMYFUNCTION("GOOGLETRANSLATE(EO2, ""en"", ""sw"")"),"Aina ya Visual")</f>
        <v>Aina ya Visual</v>
      </c>
      <c r="EP4" s="7" t="str">
        <f>IFERROR(__xludf.DUMMYFUNCTION("GOOGLETRANSLATE(EP2, ""en"", ""sw"")"),"Chaguzi za meza")</f>
        <v>Chaguzi za meza</v>
      </c>
      <c r="EQ4" s="7" t="str">
        <f>IFERROR(__xludf.DUMMYFUNCTION("GOOGLETRANSLATE(EQ2, ""en"", ""sw"")"),"Chagua kipimo/kigeu cha hesabu")</f>
        <v>Chagua kipimo/kigeu cha hesabu</v>
      </c>
      <c r="ER4" s="7" t="str">
        <f>IFERROR(__xludf.DUMMYFUNCTION("GOOGLETRANSLATE(ER2, ""en"", ""sw"")"),"Chagua muundo wa Strata")</f>
        <v>Chagua muundo wa Strata</v>
      </c>
      <c r="ES4" s="7" t="str">
        <f>IFERROR(__xludf.DUMMYFUNCTION("GOOGLETRANSLATE(ES2, ""en"", ""sw"")"),"Chagua mabadiliko ya safu")</f>
        <v>Chagua mabadiliko ya safu</v>
      </c>
      <c r="ET4" s="7" t="str">
        <f>IFERROR(__xludf.DUMMYFUNCTION("GOOGLETRANSLATE(ET2, ""en"", ""sw"")"),"Unda kichupo cha msalaba")</f>
        <v>Unda kichupo cha msalaba</v>
      </c>
      <c r="EU4" s="7" t="str">
        <f>IFERROR(__xludf.DUMMYFUNCTION("GOOGLETRANSLATE(EU2, ""en"", ""sw"")"),"Pakua meza")</f>
        <v>Pakua meza</v>
      </c>
      <c r="EV4" s="7" t="str">
        <f>IFERROR(__xludf.DUMMYFUNCTION("GOOGLETRANSLATE(EV2, ""en"", ""sw"")"),"Chaguzi zaidi za meza")</f>
        <v>Chaguzi zaidi za meza</v>
      </c>
      <c r="EW4" s="7" t="str">
        <f>IFERROR(__xludf.DUMMYFUNCTION("GOOGLETRANSLATE(EW2, ""en"", ""sw"")"),"Ripoti nambari")</f>
        <v>Ripoti nambari</v>
      </c>
      <c r="EX4" s="7" t="str">
        <f>IFERROR(__xludf.DUMMYFUNCTION("GOOGLETRANSLATE(EX2, ""en"", ""sw"")"),"Muhtasari wa nambari")</f>
        <v>Muhtasari wa nambari</v>
      </c>
      <c r="EY4" s="7" t="str">
        <f>IFERROR(__xludf.DUMMYFUNCTION("GOOGLETRANSLATE(EY2, ""en"", ""sw"")"),"Ongeza thamani ya p")</f>
        <v>Ongeza thamani ya p</v>
      </c>
      <c r="EZ4" s="7" t="str">
        <f>IFERROR(__xludf.DUMMYFUNCTION("GOOGLETRANSLATE(EZ2, ""en"", ""sw"")"),"Ongeza muda wa kujiamini")</f>
        <v>Ongeza muda wa kujiamini</v>
      </c>
      <c r="FA4" s="7" t="str">
        <f>IFERROR(__xludf.DUMMYFUNCTION("GOOGLETRANSLATE(FA2, ""en"", ""sw"")"),"Ondoa thamani zinazokosekana")</f>
        <v>Ondoa thamani zinazokosekana</v>
      </c>
      <c r="FB4" s="7" t="str">
        <f>IFERROR(__xludf.DUMMYFUNCTION("GOOGLETRANSLATE(FB2, ""en"", ""sw"")"),"Maelezo ya jedwali")</f>
        <v>Maelezo ya jedwali</v>
      </c>
      <c r="FC4" s="7" t="str">
        <f>IFERROR(__xludf.DUMMYFUNCTION("GOOGLETRANSLATE(FC2, ""en"", ""sw"")"),"Chaguzi za data")</f>
        <v>Chaguzi za data</v>
      </c>
      <c r="FD4" s="7" t="str">
        <f>IFERROR(__xludf.DUMMYFUNCTION("GOOGLETRANSLATE(FD2, ""en"", ""sw"")"),"Chagua mkusanyiko wa data")</f>
        <v>Chagua mkusanyiko wa data</v>
      </c>
      <c r="FE4" s="7" t="str">
        <f>IFERROR(__xludf.DUMMYFUNCTION("GOOGLETRANSLATE(FE2, ""en"", ""sw"")"),"Chaguzi za njama")</f>
        <v>Chaguzi za njama</v>
      </c>
      <c r="FF4" s="7" t="str">
        <f>IFERROR(__xludf.DUMMYFUNCTION("GOOGLETRANSLATE(FF2, ""en"", ""sw"")"),"Chagua kutofautisha kwenye mhimili wa x")</f>
        <v>Chagua kutofautisha kwenye mhimili wa x</v>
      </c>
      <c r="FG4" s="7" t="str">
        <f>IFERROR(__xludf.DUMMYFUNCTION("GOOGLETRANSLATE(FG2, ""en"", ""sw"")"),"Chagua tofauti kwenye mhimili y")</f>
        <v>Chagua tofauti kwenye mhimili y</v>
      </c>
      <c r="FH4" s="7" t="str">
        <f>IFERROR(__xludf.DUMMYFUNCTION("GOOGLETRANSLATE(FH2, ""en"", ""sw"")"),"Kichwa cha njama")</f>
        <v>Kichwa cha njama</v>
      </c>
      <c r="FI4" s="7" t="str">
        <f>IFERROR(__xludf.DUMMYFUNCTION("GOOGLETRANSLATE(FI2, ""en"", ""sw"")"),"Lebo ya mhimili wa X")</f>
        <v>Lebo ya mhimili wa X</v>
      </c>
      <c r="FJ4" s="7" t="str">
        <f>IFERROR(__xludf.DUMMYFUNCTION("GOOGLETRANSLATE(FJ2, ""en"", ""sw"")"),"Lebo ya mhimili wa Y")</f>
        <v>Lebo ya mhimili wa Y</v>
      </c>
      <c r="FK4" s="7" t="str">
        <f>IFERROR(__xludf.DUMMYFUNCTION("GOOGLETRANSLATE(FK2, ""en"", ""sw"")"),"Unda njama")</f>
        <v>Unda njama</v>
      </c>
      <c r="FL4" s="7" t="str">
        <f>IFERROR(__xludf.DUMMYFUNCTION("GOOGLETRANSLATE(FL2, ""en"", ""sw"")"),"Pakua")</f>
        <v>Pakua</v>
      </c>
      <c r="FM4" s="7" t="str">
        <f>IFERROR(__xludf.DUMMYFUNCTION("GOOGLETRANSLATE(FM2, ""en"", ""sw"")"),"Chaguzi zaidi za njama")</f>
        <v>Chaguzi zaidi za njama</v>
      </c>
      <c r="FN4" s="7" t="str">
        <f>IFERROR(__xludf.DUMMYFUNCTION("GOOGLETRANSLATE(FN2, ""en"", ""sw"")"),"Badilisha kuwa donut")</f>
        <v>Badilisha kuwa donut</v>
      </c>
      <c r="FO4" s="7" t="str">
        <f>IFERROR(__xludf.DUMMYFUNCTION("GOOGLETRANSLATE(FO2, ""en"", ""sw"")"),"Chagua tofauti ya rangi")</f>
        <v>Chagua tofauti ya rangi</v>
      </c>
      <c r="FP4" s="7" t="str">
        <f>IFERROR(__xludf.DUMMYFUNCTION("GOOGLETRANSLATE(FP2, ""en"", ""sw"")"),"Chagua mabadiliko ya kikundi")</f>
        <v>Chagua mabadiliko ya kikundi</v>
      </c>
      <c r="FQ4" s="7" t="str">
        <f>IFERROR(__xludf.DUMMYFUNCTION("GOOGLETRANSLATE(FQ2, ""en"", ""sw"")"),"Mwelekeo wa kuona")</f>
        <v>Mwelekeo wa kuona</v>
      </c>
      <c r="FR4" s="7" t="str">
        <f>IFERROR(__xludf.DUMMYFUNCTION("GOOGLETRANSLATE(FR2, ""en"", ""sw"")"),"Onyesha muda wa kujiamini")</f>
        <v>Onyesha muda wa kujiamini</v>
      </c>
      <c r="FS4" s="7" t="str">
        <f>IFERROR(__xludf.DUMMYFUNCTION("GOOGLETRANSLATE(FS2, ""en"", ""sw"")"),"Kiwango cha muda wa kujiamini")</f>
        <v>Kiwango cha muda wa kujiamini</v>
      </c>
      <c r="FT4" s="7" t="str">
        <f>IFERROR(__xludf.DUMMYFUNCTION("GOOGLETRANSLATE(FT2, ""en"", ""sw"")"),"Chagua uunganisho wa mstari")</f>
        <v>Chagua uunganisho wa mstari</v>
      </c>
      <c r="FU4" s="7" t="str">
        <f>IFERROR(__xludf.DUMMYFUNCTION("GOOGLETRANSLATE(FU2, ""en"", ""sw"")"),"Ongeza aina ya mstari")</f>
        <v>Ongeza aina ya mstari</v>
      </c>
      <c r="FV4" s="7" t="str">
        <f>IFERROR(__xludf.DUMMYFUNCTION("GOOGLETRANSLATE(FV2, ""en"", ""sw"")"),"Ongeza pointi")</f>
        <v>Ongeza pointi</v>
      </c>
      <c r="FW4" s="7" t="str">
        <f>IFERROR(__xludf.DUMMYFUNCTION("GOOGLETRANSLATE(FW2, ""en"", ""sw"")"),"Y aina ya muhtasari wa kutofautiana")</f>
        <v>Y aina ya muhtasari wa kutofautiana</v>
      </c>
      <c r="FX4" s="7" t="str">
        <f>IFERROR(__xludf.DUMMYFUNCTION("GOOGLETRANSLATE(FX2, ""en"", ""sw"")"),"Nafasi ya kichwa")</f>
        <v>Nafasi ya kichwa</v>
      </c>
      <c r="FY4" s="7" t="str">
        <f>IFERROR(__xludf.DUMMYFUNCTION("GOOGLETRANSLATE(FY2, ""en"", ""sw"")"),"Ukubwa wa kichwa cha mhimili")</f>
        <v>Ukubwa wa kichwa cha mhimili</v>
      </c>
      <c r="FZ4" s="7" t="str">
        <f>IFERROR(__xludf.DUMMYFUNCTION("GOOGLETRANSLATE(FZ2, ""en"", ""sw"")"),"Ukubwa wa kichwa cha sura")</f>
        <v>Ukubwa wa kichwa cha sura</v>
      </c>
      <c r="GA4" s="7" t="str">
        <f>IFERROR(__xludf.DUMMYFUNCTION("GOOGLETRANSLATE(GA2, ""en"", ""sw"")"),"Ukubwa wa maandishi wa mhimili")</f>
        <v>Ukubwa wa maandishi wa mhimili</v>
      </c>
      <c r="GB4" s="7" t="str">
        <f>IFERROR(__xludf.DUMMYFUNCTION("GOOGLETRANSLATE(GB2, ""en"", ""sw"")"),"Ukubwa wa lebo ya data")</f>
        <v>Ukubwa wa lebo ya data</v>
      </c>
      <c r="GC4" s="7" t="str">
        <f>IFERROR(__xludf.DUMMYFUNCTION("GOOGLETRANSLATE(GC2, ""en"", ""sw"")"),"Pembe ya maandishi ya mhimili wa X")</f>
        <v>Pembe ya maandishi ya mhimili wa X</v>
      </c>
      <c r="GD4" s="7" t="str">
        <f>IFERROR(__xludf.DUMMYFUNCTION("GOOGLETRANSLATE(GD2, ""en"", ""sw"")"),"Jina la hadithi")</f>
        <v>Jina la hadithi</v>
      </c>
      <c r="GE4" s="7" t="str">
        <f>IFERROR(__xludf.DUMMYFUNCTION("GOOGLETRANSLATE(GE2, ""en"", ""sw"")"),"Imepangwa kwa rafu")</f>
        <v>Imepangwa kwa rafu</v>
      </c>
      <c r="GF4" s="7" t="str">
        <f>IFERROR(__xludf.DUMMYFUNCTION("GOOGLETRANSLATE(GF2, ""en"", ""sw"")"),"Ongeza msongamano")</f>
        <v>Ongeza msongamano</v>
      </c>
      <c r="GG4" s="7" t="str">
        <f>IFERROR(__xludf.DUMMYFUNCTION("GOOGLETRANSLATE(GG2, ""en"", ""sw"")"),"Ukubwa wa kichwa cha njama")</f>
        <v>Ukubwa wa kichwa cha njama</v>
      </c>
      <c r="GH4" s="7" t="str">
        <f>IFERROR(__xludf.DUMMYFUNCTION("GOOGLETRANSLATE(GH2, ""en"", ""sw"")"),"Upana wa bar")</f>
        <v>Upana wa bar</v>
      </c>
      <c r="GI4" s="7" t="str">
        <f>IFERROR(__xludf.DUMMYFUNCTION("GOOGLETRANSLATE(GI2, ""en"", ""sw"")"),"Upana wa pipa")</f>
        <v>Upana wa pipa</v>
      </c>
      <c r="GJ4" s="7" t="str">
        <f>IFERROR(__xludf.DUMMYFUNCTION("GOOGLETRANSLATE(GJ2, ""en"", ""sw"")"),"Ukubwa wa mstari")</f>
        <v>Ukubwa wa mstari</v>
      </c>
      <c r="GK4" s="7" t="str">
        <f>IFERROR(__xludf.DUMMYFUNCTION("GOOGLETRANSLATE(GK2, ""en"", ""sw"")"),"Chagua aina ya mstari")</f>
        <v>Chagua aina ya mstari</v>
      </c>
      <c r="GL4" s="7" t="str">
        <f>IFERROR(__xludf.DUMMYFUNCTION("GOOGLETRANSLATE(GL2, ""en"", ""sw"")"),"Ongeza maumbo")</f>
        <v>Ongeza maumbo</v>
      </c>
      <c r="GM4" s="7" t="str">
        <f>IFERROR(__xludf.DUMMYFUNCTION("GOOGLETRANSLATE(GM2, ""en"", ""sw"")"),"Chagua sura")</f>
        <v>Chagua sura</v>
      </c>
      <c r="GN4" s="7" t="str">
        <f>IFERROR(__xludf.DUMMYFUNCTION("GOOGLETRANSLATE(GN2, ""en"", ""sw"")"),"Ongeza laini")</f>
        <v>Ongeza laini</v>
      </c>
      <c r="GO4" s="7" t="str">
        <f>IFERROR(__xludf.DUMMYFUNCTION("GOOGLETRANSLATE(GO2, ""en"", ""sw"")"),"Ondoa histogram")</f>
        <v>Ondoa histogram</v>
      </c>
      <c r="GP4" s="7" t="str">
        <f>IFERROR(__xludf.DUMMYFUNCTION("GOOGLETRANSLATE(GP2, ""en"", ""sw"")"),"Chagua rangi")</f>
        <v>Chagua rangi</v>
      </c>
      <c r="GQ4" s="7" t="str">
        <f>IFERROR(__xludf.DUMMYFUNCTION("GOOGLETRANSLATE(GQ2, ""en"", ""sw"")"),"Chagua pale ya rangi")</f>
        <v>Chagua pale ya rangi</v>
      </c>
      <c r="GR4" s="7" t="str">
        <f>IFERROR(__xludf.DUMMYFUNCTION("GOOGLETRANSLATE(GR2, ""en"", ""sw"")"),"Mpango wa bar")</f>
        <v>Mpango wa bar</v>
      </c>
      <c r="GS4" s="7" t="str">
        <f>IFERROR(__xludf.DUMMYFUNCTION("GOOGLETRANSLATE(GS2, ""en"", ""sw"")"),"Muhtasari wa Kina")</f>
        <v>Muhtasari wa Kina</v>
      </c>
      <c r="GT4" s="7" t="str">
        <f>IFERROR(__xludf.DUMMYFUNCTION("GOOGLETRANSLATE(GT2, ""en"", ""sw"")"),"Ongeza safu")</f>
        <v>Ongeza safu</v>
      </c>
      <c r="GU4" s="7" t="str">
        <f>IFERROR(__xludf.DUMMYFUNCTION("GOOGLETRANSLATE(GU2, ""en"", ""sw"")"),"Unda tofauti ya kitambulisho")</f>
        <v>Unda tofauti ya kitambulisho</v>
      </c>
      <c r="GV4" s="7" t="str">
        <f>IFERROR(__xludf.DUMMYFUNCTION("GOOGLETRANSLATE(GV2, ""en"", ""sw"")"),"Taswira maalum ya data")</f>
        <v>Taswira maalum ya data</v>
      </c>
      <c r="GW4" s="7" t="str">
        <f>IFERROR(__xludf.DUMMYFUNCTION("GOOGLETRANSLATE(GW2, ""en"", ""sw"")"),"Safu na safu wima zilizoongezwa")</f>
        <v>Safu na safu wima zilizoongezwa</v>
      </c>
      <c r="GX4" s="7" t="str">
        <f>IFERROR(__xludf.DUMMYFUNCTION("GOOGLETRANSLATE(GX2, ""en"", ""sw"")"),"Chagua kutofautisha kutoka kwa msingi na hifadhidata mpya")</f>
        <v>Chagua kutofautisha kutoka kwa msingi na hifadhidata mpya</v>
      </c>
      <c r="GY4" s="7" t="str">
        <f>IFERROR(__xludf.DUMMYFUNCTION("GOOGLETRANSLATE(GY2, ""en"", ""sw"")"),"Chagua ili kuendana")</f>
        <v>Chagua ili kuendana</v>
      </c>
      <c r="GZ4" s="7" t="str">
        <f>IFERROR(__xludf.DUMMYFUNCTION("GOOGLETRANSLATE(GZ2, ""en"", ""sw"")"),"Linganisha vigeu vilivyochaguliwa")</f>
        <v>Linganisha vigeu vilivyochaguliwa</v>
      </c>
      <c r="HA4" s="7" t="str">
        <f>IFERROR(__xludf.DUMMYFUNCTION("GOOGLETRANSLATE(HA2, ""en"", ""sw"")"),"Unganisha seti za data")</f>
        <v>Unganisha seti za data</v>
      </c>
      <c r="HB4" s="7" t="str">
        <f>IFERROR(__xludf.DUMMYFUNCTION("GOOGLETRANSLATE(HB2, ""en"", ""sw"")"),"Aina ya Hifadhidata")</f>
        <v>Aina ya Hifadhidata</v>
      </c>
      <c r="HC4" s="7" t="str">
        <f>IFERROR(__xludf.DUMMYFUNCTION("GOOGLETRANSLATE(HC2, ""en"", ""sw"")"),"Mpangishi wa Hifadhidata")</f>
        <v>Mpangishi wa Hifadhidata</v>
      </c>
      <c r="HD4" s="7" t="str">
        <f>IFERROR(__xludf.DUMMYFUNCTION("GOOGLETRANSLATE(HD2, ""en"", ""sw"")"),"Jina la hifadhidata")</f>
        <v>Jina la hifadhidata</v>
      </c>
      <c r="HE4" s="7" t="str">
        <f>IFERROR(__xludf.DUMMYFUNCTION("GOOGLETRANSLATE(HE2, ""en"", ""sw"")"),"Mtumiaji wa Hifadhidata")</f>
        <v>Mtumiaji wa Hifadhidata</v>
      </c>
      <c r="HF4" s="7" t="str">
        <f>IFERROR(__xludf.DUMMYFUNCTION("GOOGLETRANSLATE(HF2, ""en"", ""sw"")"),"Nenosiri la hifadhidata")</f>
        <v>Nenosiri la hifadhidata</v>
      </c>
      <c r="HG4" s="7" t="str">
        <f>IFERROR(__xludf.DUMMYFUNCTION("GOOGLETRANSLATE(HG2, ""en"", ""sw"")"),"Hifadhidata ya bandari")</f>
        <v>Hifadhidata ya bandari</v>
      </c>
      <c r="HH4" s="7" t="str">
        <f>IFERROR(__xludf.DUMMYFUNCTION("GOOGLETRANSLATE(HH2, ""en"", ""sw"")"),"Weka hifadhidata yako mwenyeji/anwani ya IP")</f>
        <v>Weka hifadhidata yako mwenyeji/anwani ya IP</v>
      </c>
      <c r="HI4" s="7" t="str">
        <f>IFERROR(__xludf.DUMMYFUNCTION("GOOGLETRANSLATE(HI2, ""en"", ""sw"")"),"Ingiza jina lako la hifadhidata")</f>
        <v>Ingiza jina lako la hifadhidata</v>
      </c>
      <c r="HJ4" s="7" t="str">
        <f>IFERROR(__xludf.DUMMYFUNCTION("GOOGLETRANSLATE(HJ2, ""en"", ""sw"")"),"Ingiza Mtumiaji wako wa hifadhidata")</f>
        <v>Ingiza Mtumiaji wako wa hifadhidata</v>
      </c>
      <c r="HK4" s="7" t="str">
        <f>IFERROR(__xludf.DUMMYFUNCTION("GOOGLETRANSLATE(HK2, ""en"", ""sw"")"),"Ingiza nenosiri lako la hifadhidata")</f>
        <v>Ingiza nenosiri lako la hifadhidata</v>
      </c>
      <c r="HL4" s="7" t="str">
        <f>IFERROR(__xludf.DUMMYFUNCTION("GOOGLETRANSLATE(HL2, ""en"", ""sw"")"),"Ingiza bandari yako ya hifadhidata")</f>
        <v>Ingiza bandari yako ya hifadhidata</v>
      </c>
      <c r="HM4" s="7" t="str">
        <f>IFERROR(__xludf.DUMMYFUNCTION("GOOGLETRANSLATE(HM2, ""en"", ""sw"")"),"Andika Swali Hapa")</f>
        <v>Andika Swali Hapa</v>
      </c>
      <c r="HN4" s="7" t="str">
        <f>IFERROR(__xludf.DUMMYFUNCTION("GOOGLETRANSLATE(HN2, ""en"", ""sw"")"),"Hoja Maalum")</f>
        <v>Hoja Maalum</v>
      </c>
      <c r="HO4" s="7" t="str">
        <f>IFERROR(__xludf.DUMMYFUNCTION("GOOGLETRANSLATE(HO2, ""en"", ""sw"")"),"Endesha Swala")</f>
        <v>Endesha Swala</v>
      </c>
      <c r="HP4" s="7" t="str">
        <f>IFERROR(__xludf.DUMMYFUNCTION("GOOGLETRANSLATE(HP2, ""en"", ""sw"")"),"Orodha ya Schemas")</f>
        <v>Orodha ya Schemas</v>
      </c>
      <c r="HQ4" s="7" t="str">
        <f>IFERROR(__xludf.DUMMYFUNCTION("GOOGLETRANSLATE(HQ2, ""en"", ""sw"")"),"Orodha ya Majedwali")</f>
        <v>Orodha ya Majedwali</v>
      </c>
      <c r="HR4" s="7" t="str">
        <f>IFERROR(__xludf.DUMMYFUNCTION("GOOGLETRANSLATE(HR2, ""en"", ""sw"")"),"Unganisha")</f>
        <v>Unganisha</v>
      </c>
      <c r="HS4" s="7" t="str">
        <f>IFERROR(__xludf.DUMMYFUNCTION("GOOGLETRANSLATE(HS2, ""en"", ""sw"")"),"Tenganisha")</f>
        <v>Tenganisha</v>
      </c>
      <c r="HT4" s="7" t="str">
        <f>IFERROR(__xludf.DUMMYFUNCTION("GOOGLETRANSLATE(HT2, ""en"", ""sw"")"),"Pakia rekodi za hifadhidata")</f>
        <v>Pakia rekodi za hifadhidata</v>
      </c>
      <c r="HU4" s="7" t="str">
        <f>IFERROR(__xludf.DUMMYFUNCTION("GOOGLETRANSLATE(HU2, ""en"", ""sw"")"),"Chapa utambulisho wa kutofautiana")</f>
        <v>Chapa utambulisho wa kutofautiana</v>
      </c>
      <c r="HV4" s="7" t="str">
        <f>IFERROR(__xludf.DUMMYFUNCTION("GOOGLETRANSLATE(HV2, ""en"", ""sw"")"),"muunganisho wa hifadhidata haukufaulu, Thibitisha Mpangishi, Jina la mtumiaji na Nenosiri ni sahihi")</f>
        <v>muunganisho wa hifadhidata haukufaulu, Thibitisha Mpangishi, Jina la mtumiaji na Nenosiri ni sahihi</v>
      </c>
      <c r="HW4" s="7" t="str">
        <f>IFERROR(__xludf.DUMMYFUNCTION("GOOGLETRANSLATE(HW2, ""en"", ""sw"")"),"Ujumuishaji wa hifadhidata ya MySQL bado haujatekelezwa")</f>
        <v>Ujumuishaji wa hifadhidata ya MySQL bado haujatekelezwa</v>
      </c>
      <c r="HX4" s="7" t="str">
        <f>IFERROR(__xludf.DUMMYFUNCTION("GOOGLETRANSLATE(HX2, ""en"", ""sw"")"),"Tafadhali anzisha muunganisho wa hifadhidata kabla ya kutekeleza hoja")</f>
        <v>Tafadhali anzisha muunganisho wa hifadhidata kabla ya kutekeleza hoja</v>
      </c>
      <c r="HY4" s="7" t="str">
        <f>IFERROR(__xludf.DUMMYFUNCTION("GOOGLETRANSLATE(HY2, ""en"", ""sw"")"),"Angalia Syntax yako ya SQL")</f>
        <v>Angalia Syntax yako ya SQL</v>
      </c>
      <c r="HZ4" s="7" t="str">
        <f>IFERROR(__xludf.DUMMYFUNCTION("GOOGLETRANSLATE(HZ2, ""en"", ""sw"")"),"Maswali ya Utafiti")</f>
        <v>Maswali ya Utafiti</v>
      </c>
      <c r="IA4" s="7" t="str">
        <f>IFERROR(__xludf.DUMMYFUNCTION("GOOGLETRANSLATE(IA2, ""en"", ""sw"")"),"Tengeneza maswali ya utafiti yanayowezekana")</f>
        <v>Tengeneza maswali ya utafiti yanayowezekana</v>
      </c>
      <c r="IB4" s="7" t="str">
        <f>IFERROR(__xludf.DUMMYFUNCTION("GOOGLETRANSLATE(IB2, ""en"", ""sw"")"),"Ufunguo wa API uliohifadhiwa umegunduliwa. Endelea na uundaji wa maswali ya utafiti")</f>
        <v>Ufunguo wa API uliohifadhiwa umegunduliwa. Endelea na uundaji wa maswali ya utafiti</v>
      </c>
      <c r="IC4" s="7" t="str">
        <f>IFERROR(__xludf.DUMMYFUNCTION("GOOGLETRANSLATE(IC2, ""en"", ""sw"")"),"Ongeza Kitufe cha API cha Gemini")</f>
        <v>Ongeza Kitufe cha API cha Gemini</v>
      </c>
      <c r="ID4" s="7" t="str">
        <f>IFERROR(__xludf.DUMMYFUNCTION("GOOGLETRANSLATE(ID2, ""en"", ""sw"")"),"Bandika ufunguo wa API")</f>
        <v>Bandika ufunguo wa API</v>
      </c>
      <c r="IE4" s="7" t="str">
        <f>IFERROR(__xludf.DUMMYFUNCTION("GOOGLETRANSLATE(IE2, ""en"", ""sw"")"),"Wasilisha API")</f>
        <v>Wasilisha API</v>
      </c>
      <c r="IF4" s="7" t="str">
        <f>IFERROR(__xludf.DUMMYFUNCTION("GOOGLETRANSLATE(IF2, ""en"", ""sw"")"),"Je, hakuna API? Tengeneza kutoka")</f>
        <v>Je, hakuna API? Tengeneza kutoka</v>
      </c>
      <c r="IG4" s="7" t="str">
        <f>IFERROR(__xludf.DUMMYFUNCTION("GOOGLETRANSLATE(IG2, ""en"", ""sw"")"),"Hapa")</f>
        <v>Hapa</v>
      </c>
      <c r="IH4" s="7" t="str">
        <f>IFERROR(__xludf.DUMMYFUNCTION("GOOGLETRANSLATE(IH2, ""en"", ""sw"")"),"API imehifadhiwa kwa ufanisi")</f>
        <v>API imehifadhiwa kwa ufanisi</v>
      </c>
      <c r="II4" s="7" t="str">
        <f>IFERROR(__xludf.DUMMYFUNCTION("GOOGLETRANSLATE(II2, ""en"", ""sw"")"),"Geuza vidokezo vya nyongeza")</f>
        <v>Geuza vidokezo vya nyongeza</v>
      </c>
      <c r="IJ4" s="7" t="str">
        <f>IFERROR(__xludf.DUMMYFUNCTION("GOOGLETRANSLATE(IJ2, ""en"", ""sw"")"),"Ongeza kichwa")</f>
        <v>Ongeza kichwa</v>
      </c>
      <c r="IK4" s="7" t="str">
        <f>IFERROR(__xludf.DUMMYFUNCTION("GOOGLETRANSLATE(IK2, ""en"", ""sw"")"),"Ongeza maelezo ya usuli")</f>
        <v>Ongeza maelezo ya usuli</v>
      </c>
      <c r="IL4" s="7" t="str">
        <f>IFERROR(__xludf.DUMMYFUNCTION("GOOGLETRANSLATE(IL2, ""en"", ""sw"")"),"Ongeza malengo")</f>
        <v>Ongeza malengo</v>
      </c>
      <c r="IM4" s="7" t="str">
        <f>IFERROR(__xludf.DUMMYFUNCTION("GOOGLETRANSLATE(IM2, ""en"", ""sw"")"),"Pendekeza uchanganuzi")</f>
        <v>Pendekeza uchanganuzi</v>
      </c>
      <c r="IN4" s="7" t="str">
        <f>IFERROR(__xludf.DUMMYFUNCTION("GOOGLETRANSLATE(IN2, ""en"", ""sw"")"),"Tengeneza")</f>
        <v>Tengeneza</v>
      </c>
      <c r="IO4" s="7" t="str">
        <f>IFERROR(__xludf.DUMMYFUNCTION("GOOGLETRANSLATE(IO2, ""en"", ""sw"")"),"Maswali ya utafiti yanayowezekana")</f>
        <v>Maswali ya utafiti yanayowezekana</v>
      </c>
      <c r="IP4" s="7" t="str">
        <f>IFERROR(__xludf.DUMMYFUNCTION("GOOGLETRANSLATE(IP2, ""en"", ""sw"")"),"Hitilafu ilitokea wakati wa kuunda maswali ya utafiti. Angalia muunganisho wako wa intaneti au ujaribu baadaye")</f>
        <v>Hitilafu ilitokea wakati wa kuunda maswali ya utafiti. Angalia muunganisho wako wa intaneti au ujaribu baadaye</v>
      </c>
      <c r="IQ4" s="7" t="str">
        <f>IFERROR(__xludf.DUMMYFUNCTION("GOOGLETRANSLATE(IQ2, ""en"", ""sw"")"),"Je, data ina matokeo ya manufaa?")</f>
        <v>Je, data ina matokeo ya manufaa?</v>
      </c>
      <c r="IR4" s="7" t="str">
        <f>IFERROR(__xludf.DUMMYFUNCTION("GOOGLETRANSLATE(IR2, ""en"", ""sw"")"),"Chagua moja")</f>
        <v>Chagua moja</v>
      </c>
      <c r="IS4" s="7" t="str">
        <f>IFERROR(__xludf.DUMMYFUNCTION("GOOGLETRANSLATE(IS2, ""en"", ""sw"")"),"Chagua matokeo ya maslahi")</f>
        <v>Chagua matokeo ya maslahi</v>
      </c>
      <c r="IT4" s="7" t="str">
        <f>IFERROR(__xludf.DUMMYFUNCTION("GOOGLETRANSLATE(IT2, ""en"", ""sw"")"),"Njia za uchambuzi zilizopendekezwa")</f>
        <v>Njia za uchambuzi zilizopendekezwa</v>
      </c>
      <c r="IU4" s="7" t="str">
        <f>IFERROR(__xludf.DUMMYFUNCTION("GOOGLETRANSLATE(IU2, ""en"", ""sw"")"),"Chagua rangi")</f>
        <v>Chagua rangi</v>
      </c>
      <c r="IV4" s="7" t="str">
        <f>IFERROR(__xludf.DUMMYFUNCTION("GOOGLETRANSLATE(IV2, ""en"", ""sw"")"),"Chagua chaguo moja")</f>
        <v>Chagua chaguo moja</v>
      </c>
      <c r="IW4" s="7" t="str">
        <f>IFERROR(__xludf.DUMMYFUNCTION("GOOGLETRANSLATE(IW2, ""en"", ""sw"")"),"Aina ya uchambuzi")</f>
        <v>Aina ya uchambuzi</v>
      </c>
      <c r="IX4" s="7" t="str">
        <f>IFERROR(__xludf.DUMMYFUNCTION("GOOGLETRANSLATE(IX2, ""en"", ""sw"")"),"Kazi Inayosimamiwa")</f>
        <v>Kazi Inayosimamiwa</v>
      </c>
      <c r="IY4" s="7" t="str">
        <f>IFERROR(__xludf.DUMMYFUNCTION("GOOGLETRANSLATE(IY2, ""en"", ""sw"")"),"Bila kusimamiwa")</f>
        <v>Bila kusimamiwa</v>
      </c>
      <c r="IZ4" s="7" t="str">
        <f>IFERROR(__xludf.DUMMYFUNCTION("GOOGLETRANSLATE(IZ2, ""en"", ""sw"")"),"Kazi inaendelea")</f>
        <v>Kazi inaendelea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""sw"")"),"Hakuna utofauti wa nambari katika data. Badilisha aina au chagua kazi nyingine")</f>
        <v>Hakuna utofauti wa nambari katika data. Badilisha aina au chagua kazi nyingine</v>
      </c>
      <c r="JC4" s="7" t="str">
        <f>IFERROR(__xludf.DUMMYFUNCTION("GOOGLETRANSLATE(JC2, ""en"", ""sw"")"),"Chagua tofauti inayolengwa")</f>
        <v>Chagua tofauti inayolengwa</v>
      </c>
      <c r="JD4" s="7" t="str">
        <f>IFERROR(__xludf.DUMMYFUNCTION("GOOGLETRANSLATE(JD2, ""en"", ""sw"")"),"Lengo/Matokeo")</f>
        <v>Lengo/Matokeo</v>
      </c>
      <c r="JE4" s="7" t="str">
        <f>IFERROR(__xludf.DUMMYFUNCTION("GOOGLETRANSLATE(JE2, ""en"", ""sw"")"),"Uwiano wa Treni/Jaribio")</f>
        <v>Uwiano wa Treni/Jaribio</v>
      </c>
      <c r="JF4" s="7" t="str">
        <f>IFERROR(__xludf.DUMMYFUNCTION("GOOGLETRANSLATE(JF2, ""en"", ""sw"")"),"Kitambulisho cha Kipindi")</f>
        <v>Kitambulisho cha Kipindi</v>
      </c>
      <c r="JG4" s="7" t="str">
        <f>IFERROR(__xludf.DUMMYFUNCTION("GOOGLETRANSLATE(JG2, ""en"", ""sw"")"),"Weka kitambulisho cha kipindi")</f>
        <v>Weka kitambulisho cha kipindi</v>
      </c>
      <c r="JH4" s="7" t="str">
        <f>IFERROR(__xludf.DUMMYFUNCTION("GOOGLETRANSLATE(JH2, ""en"", ""sw"")"),"Tafadhali Subiri!!!")</f>
        <v>Tafadhali Subiri!!!</v>
      </c>
      <c r="JI4" s="7" t="str">
        <f>IFERROR(__xludf.DUMMYFUNCTION("GOOGLETRANSLATE(JI2, ""en"", ""sw"")"),"Kichupo cha Cross kinatayarishwa. Itaonyeshwa hivi karibuni.")</f>
        <v>Kichupo cha Cross kinatayarishwa. Itaonyeshwa hivi karibuni.</v>
      </c>
      <c r="JJ4" s="7" t="str">
        <f>IFERROR(__xludf.DUMMYFUNCTION("GOOGLETRANSLATE(JJ2, ""en"", ""sw"")"),"Anzisha")</f>
        <v>Anzisha</v>
      </c>
      <c r="JK4" s="7" t="str">
        <f>IFERROR(__xludf.DUMMYFUNCTION("GOOGLETRANSLATE(JK2, ""en"", ""sw"")"),"njama inaandaliwa. Itaonyeshwa hivi karibuni.")</f>
        <v>njama inaandaliwa. Itaonyeshwa hivi karibuni.</v>
      </c>
      <c r="JL4" s="7" t="str">
        <f>IFERROR(__xludf.DUMMYFUNCTION("GOOGLETRANSLATE(JL2, ""en"", ""sw"")"),"Vigezo vilivyotengwa")</f>
        <v>Vigezo vilivyotengwa</v>
      </c>
      <c r="JM4" s="7" t="str">
        <f>IFERROR(__xludf.DUMMYFUNCTION("GOOGLETRANSLATE(JM2, ""en"", ""sw"")"),"Chagua vigeu ili kuwatenga")</f>
        <v>Chagua vigeu ili kuwatenga</v>
      </c>
      <c r="JN4" s="7" t="str">
        <f>IFERROR(__xludf.DUMMYFUNCTION("GOOGLETRANSLATE(JN2, ""en"", ""sw"")"),"Sasisha njama")</f>
        <v>Sasisha njama</v>
      </c>
      <c r="JO4" s="7" t="str">
        <f>IFERROR(__xludf.DUMMYFUNCTION("GOOGLETRANSLATE(JO2, ""en"", ""sw"")"),"Sasisha jedwali la msalaba")</f>
        <v>Sasisha jedwali la msalaba</v>
      </c>
      <c r="JP4" s="7" t="str">
        <f>IFERROR(__xludf.DUMMYFUNCTION("GOOGLETRANSLATE(JP2, ""en"", ""sw"")"),"Weka vigezo vya njama ya msingi")</f>
        <v>Weka vigezo vya njama ya msingi</v>
      </c>
      <c r="JQ4" s="7" t="str">
        <f>IFERROR(__xludf.DUMMYFUNCTION("GOOGLETRANSLATE(JQ2, ""en"", ""sw"")"),"Weka vigezo vya njama mbili")</f>
        <v>Weka vigezo vya njama mbili</v>
      </c>
      <c r="JR4" s="7" t="str">
        <f>IFERROR(__xludf.DUMMYFUNCTION("GOOGLETRANSLATE(JR2, ""en"", ""sw"")"),"Chagua mabadiliko ya matokeo")</f>
        <v>Chagua mabadiliko ya matokeo</v>
      </c>
      <c r="JS4" s="7" t="str">
        <f>IFERROR(__xludf.DUMMYFUNCTION("GOOGLETRANSLATE(JS2, ""en"", ""sw"")"),"Chagua kutofautiana kwa maelezo")</f>
        <v>Chagua kutofautiana kwa maelezo</v>
      </c>
      <c r="JT4" s="7" t="str">
        <f>IFERROR(__xludf.DUMMYFUNCTION("GOOGLETRANSLATE(JT2, ""en"", ""sw"")"),"Chagua vigezo vya nambari")</f>
        <v>Chagua vigezo vya nambari</v>
      </c>
      <c r="JU4" s="7" t="str">
        <f>IFERROR(__xludf.DUMMYFUNCTION("GOOGLETRANSLATE(JU2, ""en"", ""sw"")"),"Safu wima ina kategoria za ziada")</f>
        <v>Safu wima ina kategoria za ziada</v>
      </c>
      <c r="JV4" s="7" t="str">
        <f>IFERROR(__xludf.DUMMYFUNCTION("GOOGLETRANSLATE(JV2, ""en"", ""sw"")"),"Chagua safu iliyo na kategoria 20 au chini ya hapo na ujaribu tena!!!")</f>
        <v>Chagua safu iliyo na kategoria 20 au chini ya hapo na ujaribu tena!!!</v>
      </c>
      <c r="JW4" s="7" t="str">
        <f>IFERROR(__xludf.DUMMYFUNCTION("GOOGLETRANSLATE(JW2, ""en"", ""sw"")"),"Upeo wa upeo wa kutofautisha umepitwa!!!")</f>
        <v>Upeo wa upeo wa kutofautisha umepitwa!!!</v>
      </c>
      <c r="JX4" s="7" t="str">
        <f>IFERROR(__xludf.DUMMYFUNCTION("GOOGLETRANSLATE(JX2, ""en"", ""sw"")"),"Chagua vigeu 5 au chache na ujaribu tena")</f>
        <v>Chagua vigeu 5 au chache na ujaribu tena</v>
      </c>
      <c r="JY4" s="7" t="str">
        <f>IFERROR(__xludf.DUMMYFUNCTION("GOOGLETRANSLATE(JY2, ""en"", ""sw"")"),"Mbinu ya uingizaji data haipo")</f>
        <v>Mbinu ya uingizaji data haipo</v>
      </c>
      <c r="JZ4" s="7" t="str">
        <f>IFERROR(__xludf.DUMMYFUNCTION("GOOGLETRANSLATE(JZ2, ""en"", ""sw"")"),"Chagua mbinu")</f>
        <v>Chagua mbinu</v>
      </c>
      <c r="KA4" s="7" t="str">
        <f>IFERROR(__xludf.DUMMYFUNCTION("GOOGLETRANSLATE(KA2, ""en"", ""sw"")"),"Chagua tofauti ya octome")</f>
        <v>Chagua tofauti ya octome</v>
      </c>
      <c r="KB4" s="7" t="str">
        <f>IFERROR(__xludf.DUMMYFUNCTION("GOOGLETRANSLATE(KB2, ""en"", ""sw"")"),"Chagua rangi")</f>
        <v>Chagua rangi</v>
      </c>
      <c r="KC4" s="7" t="str">
        <f>IFERROR(__xludf.DUMMYFUNCTION("GOOGLETRANSLATE(KC2, ""en"", ""sw"")"),"Chagua vigezo vya nambari")</f>
        <v>Chagua vigezo vya nambari</v>
      </c>
      <c r="KD4" s="7" t="str">
        <f>IFERROR(__xludf.DUMMYFUNCTION("GOOGLETRANSLATE(KD2, ""en"", ""sw"")"),"Ripoti hiyo inatayarishwa kwa ajili ya kushushwa. Itashushwa hivi punde")</f>
        <v>Ripoti hiyo inatayarishwa kwa ajili ya kushushwa. Itashushwa hivi punde</v>
      </c>
      <c r="KE4" s="7" t="str">
        <f>IFERROR(__xludf.DUMMYFUNCTION("GOOGLETRANSLATE(KE2, ""en"", ""sw"")"),"Ubinafsishaji wa ufisadi")</f>
        <v>Ubinafsishaji wa ufisadi</v>
      </c>
      <c r="KF4" s="7" t="str">
        <f>IFERROR(__xludf.DUMMYFUNCTION("GOOGLETRANSLATE(KF2, ""en"", ""sw"")"),"Ubinafsishaji wa njama ya Bivariate")</f>
        <v>Ubinafsishaji wa njama ya Bivariate</v>
      </c>
      <c r="KG4" s="7" t="str">
        <f>IFERROR(__xludf.DUMMYFUNCTION("GOOGLETRANSLATE(KG2, ""en"", ""sw"")"),"Kichwa cha njama")</f>
        <v>Kichwa cha njama</v>
      </c>
      <c r="KH4" s="7" t="str">
        <f>IFERROR(__xludf.DUMMYFUNCTION("GOOGLETRANSLATE(KH2, ""en"", ""sw"")"),"Chagua vigezo vya maelezo")</f>
        <v>Chagua vigezo vya maelezo</v>
      </c>
      <c r="KI4" s="7" t="str">
        <f>IFERROR(__xludf.DUMMYFUNCTION("GOOGLETRANSLATE(KI2, ""en"", ""sw"")"),"Thamani ya mbegu")</f>
        <v>Thamani ya mbegu</v>
      </c>
      <c r="KJ4" s="7" t="str">
        <f>IFERROR(__xludf.DUMMYFUNCTION("GOOGLETRANSLATE(KJ2, ""en"", ""sw"")"),"Pakua")</f>
        <v>Pakua</v>
      </c>
      <c r="KK4" s="7" t="str">
        <f>IFERROR(__xludf.DUMMYFUNCTION("GOOGLETRANSLATE(KK2, ""en"", ""sw"")"),"Ina mabadiliko ya matokeo/legi")</f>
        <v>Ina mabadiliko ya matokeo/legi</v>
      </c>
      <c r="KL4" s="7" t="str">
        <f>IFERROR(__xludf.DUMMYFUNCTION("GOOGLETRANSLATE(KL2, ""en"", ""sw"")"),"Chagua kategoria ya mfano")</f>
        <v>Chagua kategoria ya mfano</v>
      </c>
      <c r="KM4" s="7" t="str">
        <f>IFERROR(__xludf.DUMMYFUNCTION("GOOGLETRANSLATE(KM2, ""en"", ""sw"")"),"Kurudi nyuma")</f>
        <v>Kurudi nyuma</v>
      </c>
      <c r="KN4" s="7" t="str">
        <f>IFERROR(__xludf.DUMMYFUNCTION("GOOGLETRANSLATE(KN2, ""en"", ""sw"")"),"Uainishaji")</f>
        <v>Uainishaji</v>
      </c>
      <c r="KO4" s="7" t="str">
        <f>IFERROR(__xludf.DUMMYFUNCTION("GOOGLETRANSLATE(KO2, ""en"", ""sw"")"),"Chagua mfumo wa modeli")</f>
        <v>Chagua mfumo wa modeli</v>
      </c>
      <c r="KP4" s="7" t="str">
        <f>IFERROR(__xludf.DUMMYFUNCTION("GOOGLETRANSLATE(KP2, ""en"", ""sw"")"),"Ubora wa Ushahidi")</f>
        <v>Ubora wa Ushahidi</v>
      </c>
      <c r="KQ4" s="7" t="str">
        <f>IFERROR(__xludf.DUMMYFUNCTION("GOOGLETRANSLATE(KQ2, ""en"", ""sw"")"),"Pakua ripoti")</f>
        <v>Pakua ripoti</v>
      </c>
      <c r="KR4" s="7" t="str">
        <f>IFERROR(__xludf.DUMMYFUNCTION("GOOGLETRANSLATE(KR2, ""en"", ""sw"")"),"Uchambuzi wa OMOP")</f>
        <v>Uchambuzi wa OMOP</v>
      </c>
      <c r="KS4" s="7" t="str">
        <f>IFERROR(__xludf.DUMMYFUNCTION("GOOGLETRANSLATE(KS2, ""en"", ""sw"")"),"Usindikaji wa awali")</f>
        <v>Usindikaji wa awali</v>
      </c>
      <c r="KT4" s="7" t="str">
        <f>IFERROR(__xludf.DUMMYFUNCTION("GOOGLETRANSLATE(KT2, ""en"", ""sw"")"),"Uhandisi wa kipengele")</f>
        <v>Uhandisi wa kipengele</v>
      </c>
      <c r="KU4" s="7" t="str">
        <f>IFERROR(__xludf.DUMMYFUNCTION("GOOGLETRANSLATE(KU2, ""en"", ""sw"")"),"Ingiza thamani zinazokosekana")</f>
        <v>Ingiza thamani zinazokosekana</v>
      </c>
      <c r="KV4" s="7" t="str">
        <f>IFERROR(__xludf.DUMMYFUNCTION("GOOGLETRANSLATE(KV2, ""en"", ""sw"")"),"Fanya Hatua za FE")</f>
        <v>Fanya Hatua za FE</v>
      </c>
      <c r="KW4" s="7" t="str">
        <f>IFERROR(__xludf.DUMMYFUNCTION("GOOGLETRANSLATE(KW2, ""en"", ""sw"")"),"Kutoka kwa PCA")</f>
        <v>Kutoka kwa PCA</v>
      </c>
      <c r="KX4" s="7" t="str">
        <f>IFERROR(__xludf.DUMMYFUNCTION("GOOGLETRANSLATE(KX2, ""en"", ""sw"")"),"Uchambuzi wa Achilles")</f>
        <v>Uchambuzi wa Achilles</v>
      </c>
      <c r="KY4" s="7" t="str">
        <f>IFERROR(__xludf.DUMMYFUNCTION("GOOGLETRANSLATE(KY2, ""en"", ""sw"")"),"Sampuli ya darasa")</f>
        <v>Sampuli ya darasa</v>
      </c>
      <c r="KZ4" s="7" t="str">
        <f>IFERROR(__xludf.DUMMYFUNCTION("GOOGLETRANSLATE(KZ2, ""en"", ""sw"")"),"Unda maelezo ya Muunganisho")</f>
        <v>Unda maelezo ya Muunganisho</v>
      </c>
      <c r="LA4" s="7" t="str">
        <f>IFERROR(__xludf.DUMMYFUNCTION("GOOGLETRANSLATE(LA2, ""en"", ""sw"")"),"Chagua kundi")</f>
        <v>Chagua kundi</v>
      </c>
      <c r="LB4" s="7" t="str">
        <f>IFERROR(__xludf.DUMMYFUNCTION("GOOGLETRANSLATE(LB2, ""en"", ""sw"")"),"Tekeleza Uteuzi")</f>
        <v>Tekeleza Uteuzi</v>
      </c>
      <c r="LC4" s="7" t="str">
        <f>IFERROR(__xludf.DUMMYFUNCTION("GOOGLETRANSLATE(LC2, ""en"", ""sw"")"),"Kichujio cha uwiano")</f>
        <v>Kichujio cha uwiano</v>
      </c>
      <c r="LD4" s="7" t="str">
        <f>IFERROR(__xludf.DUMMYFUNCTION("GOOGLETRANSLATE(LD2, ""en"", ""sw"")"),"Mbinu ya kugawa data")</f>
        <v>Mbinu ya kugawa data</v>
      </c>
      <c r="LE4" s="7" t="str">
        <f>IFERROR(__xludf.DUMMYFUNCTION("GOOGLETRANSLATE(LE2, ""en"", ""sw"")"),"Kutumia Vitambulisho vya Dhana")</f>
        <v>Kutumia Vitambulisho vya Dhana</v>
      </c>
      <c r="LF4" s="7" t="str">
        <f>IFERROR(__xludf.DUMMYFUNCTION("GOOGLETRANSLATE(LF2, ""en"", ""sw"")"),"Aphrodite Phenotyping")</f>
        <v>Aphrodite Phenotyping</v>
      </c>
      <c r="LG4" s="7" t="str">
        <f>IFERROR(__xludf.DUMMYFUNCTION("GOOGLETRANSLATE(LG2, ""en"", ""sw"")"),"Idadi ya mikunjo ya uthibitishaji mtambuka")</f>
        <v>Idadi ya mikunjo ya uthibitishaji mtambuka</v>
      </c>
      <c r="LH4" s="7" t="str">
        <f>IFERROR(__xludf.DUMMYFUNCTION("GOOGLETRANSLATE(LH2, ""en"", ""sw"")"),"Chagua kipimo cha tathmini")</f>
        <v>Chagua kipimo cha tathmini</v>
      </c>
      <c r="LI4" s="7" t="str">
        <f>IFERROR(__xludf.DUMMYFUNCTION("GOOGLETRANSLATE(LI2, ""en"", ""sw"")"),"Mbinu ya uthibitishaji mtambuka")</f>
        <v>Mbinu ya uthibitishaji mtambuka</v>
      </c>
      <c r="LJ4" s="7" t="str">
        <f>IFERROR(__xludf.DUMMYFUNCTION("GOOGLETRANSLATE(LJ2, ""en"", ""sw"")"),"Idadi ya marudio")</f>
        <v>Idadi ya marudio</v>
      </c>
      <c r="LK4" s="7" t="str">
        <f>IFERROR(__xludf.DUMMYFUNCTION("GOOGLETRANSLATE(LK2, ""en"", ""sw"")"),"Idadi ya mikunjo au sampuli za marudio")</f>
        <v>Idadi ya mikunjo au sampuli za marudio</v>
      </c>
      <c r="LL4" s="7" t="str">
        <f>IFERROR(__xludf.DUMMYFUNCTION("GOOGLETRANSLATE(LL2, ""en"", ""sw"")"),"Inachakata muhtasari")</f>
        <v>Inachakata muhtasari</v>
      </c>
      <c r="LM4" s="7" t="str">
        <f>IFERROR(__xludf.DUMMYFUNCTION("GOOGLETRANSLATE(LM2, ""en"", ""sw"")"),"Mbinu ya uthibitishaji mtambuka")</f>
        <v>Mbinu ya uthibitishaji mtambuka</v>
      </c>
      <c r="LN4" s="7" t="str">
        <f>IFERROR(__xludf.DUMMYFUNCTION("GOOGLETRANSLATE(LN2, ""en"", ""sw"")"),"Mbinu ya utafutaji")</f>
        <v>Mbinu ya utafutaji</v>
      </c>
      <c r="LO4" s="7" t="str">
        <f>IFERROR(__xludf.DUMMYFUNCTION("GOOGLETRANSLATE(LO2, ""en"", ""sw"")"),"Tengeneza")</f>
        <v>Tengeneza</v>
      </c>
      <c r="LP4" s="7" t="str">
        <f>IFERROR(__xludf.DUMMYFUNCTION("GOOGLETRANSLATE(LP2, ""en"", ""sw"")"),"Tarehe ya kuanza kwa tukio")</f>
        <v>Tarehe ya kuanza kwa tukio</v>
      </c>
      <c r="LQ4" s="7" t="str">
        <f>IFERROR(__xludf.DUMMYFUNCTION("GOOGLETRANSLATE(LQ2, ""en"", ""sw"")"),"Jina la Kundi")</f>
        <v>Jina la Kundi</v>
      </c>
      <c r="LR4" s="7" t="str">
        <f>IFERROR(__xludf.DUMMYFUNCTION("GOOGLETRANSLATE(LR2, ""en"", ""sw"")"),"Neno muhimu")</f>
        <v>Neno muhimu</v>
      </c>
      <c r="LS4" s="7" t="str">
        <f>IFERROR(__xludf.DUMMYFUNCTION("GOOGLETRANSLATE(LS2, ""en"", ""sw"")"),"Ingizo la CDM")</f>
        <v>Ingizo la CDM</v>
      </c>
      <c r="LT4" s="7" t="str">
        <f>IFERROR(__xludf.DUMMYFUNCTION("GOOGLETRANSLATE(LT2, ""en"", ""sw"")"),"Unda CDM")</f>
        <v>Unda CDM</v>
      </c>
      <c r="LU4" s="7" t="str">
        <f>IFERROR(__xludf.DUMMYFUNCTION("GOOGLETRANSLATE(LU2, ""en"", ""sw"")"),"Achilles Schema jina")</f>
        <v>Achilles Schema jina</v>
      </c>
      <c r="LV4" s="7" t="str">
        <f>IFERROR(__xludf.DUMMYFUNCTION("GOOGLETRANSLATE(LV2, ""en"", ""sw"")"),"Jina la Schema ya Matokeo")</f>
        <v>Jina la Schema ya Matokeo</v>
      </c>
      <c r="LW4" s="7" t="str">
        <f>IFERROR(__xludf.DUMMYFUNCTION("GOOGLETRANSLATE(LW2, ""en"", ""sw"")"),"Jina la Mpango wa CDM")</f>
        <v>Jina la Mpango wa CDM</v>
      </c>
      <c r="LX4" s="7" t="str">
        <f>IFERROR(__xludf.DUMMYFUNCTION("GOOGLETRANSLATE(LX2, ""en"", ""sw"")"),"Jina la muunganisho wa CDM")</f>
        <v>Jina la muunganisho wa CDM</v>
      </c>
      <c r="LY4" s="7" t="str">
        <f>IFERROR(__xludf.DUMMYFUNCTION("GOOGLETRANSLATE(LY2, ""en"", ""sw"")"),"Muunganisho wa CDM")</f>
        <v>Muunganisho wa CDM</v>
      </c>
      <c r="LZ4" s="7" t="str">
        <f>IFERROR(__xludf.DUMMYFUNCTION("GOOGLETRANSLATE(LZ2, ""en"", ""sw"")"),"Unganisha DB")</f>
        <v>Unganisha DB</v>
      </c>
      <c r="MA4" s="7" t="str">
        <f>IFERROR(__xludf.DUMMYFUNCTION("GOOGLETRANSLATE(MA2, ""en"", ""sw"")"),"Bandari ")</f>
        <v>Bandari </v>
      </c>
      <c r="MB4" s="7" t="str">
        <f>IFERROR(__xludf.DUMMYFUNCTION("GOOGLETRANSLATE(MB2, ""en"", ""sw"")"),"Nenosiri")</f>
        <v>Nenosiri</v>
      </c>
      <c r="MC4" s="7" t="str">
        <f>IFERROR(__xludf.DUMMYFUNCTION("GOOGLETRANSLATE(MC2, ""en"", ""sw"")"),"Mtumiaji")</f>
        <v>Mtumiaji</v>
      </c>
      <c r="MD4" s="7" t="str">
        <f>IFERROR(__xludf.DUMMYFUNCTION("GOOGLETRANSLATE(MD2, ""en"", ""sw"")"),"Jina la Hifadhidata")</f>
        <v>Jina la Hifadhidata</v>
      </c>
      <c r="ME4" s="7" t="str">
        <f>IFERROR(__xludf.DUMMYFUNCTION("GOOGLETRANSLATE(ME2, ""en"", ""sw"")"),"Mwenyeji")</f>
        <v>Mwenyeji</v>
      </c>
      <c r="MF4" s="7" t="str">
        <f>IFERROR(__xludf.DUMMYFUNCTION("GOOGLETRANSLATE(MF2, ""en"", ""sw"")"),"Aina ya Hifadhidata")</f>
        <v>Aina ya Hifadhidata</v>
      </c>
      <c r="MG4" s="7" t="str">
        <f>IFERROR(__xludf.DUMMYFUNCTION("GOOGLETRANSLATE(MG2, ""en"", ""sw"")"),"Geuza vidhibiti vya mafunzo kukufaa")</f>
        <v>Geuza vidhibiti vya mafunzo kukufaa</v>
      </c>
      <c r="MH4" s="7" t="str">
        <f>IFERROR(__xludf.DUMMYFUNCTION("GOOGLETRANSLATE(MH2, ""en"", ""sw"")"),"Hifadhi mipangilio")</f>
        <v>Hifadhi mipangilio</v>
      </c>
      <c r="MI4" s="7" t="str">
        <f>IFERROR(__xludf.DUMMYFUNCTION("GOOGLETRANSLATE(MI2, ""en"", ""sw"")"),"Ghairi")</f>
        <v>Ghairi</v>
      </c>
      <c r="MJ4" s="7" t="str">
        <f>IFERROR(__xludf.DUMMYFUNCTION("GOOGLETRANSLATE(MJ2, ""en"", ""sw"")"),"Marudio ya kitenzi")</f>
        <v>Marudio ya kitenzi</v>
      </c>
      <c r="MK4" s="7" t="str">
        <f>IFERROR(__xludf.DUMMYFUNCTION("GOOGLETRANSLATE(MK2, ""en"", ""sw"")"),"Hifadhi utabiri")</f>
        <v>Hifadhi utabiri</v>
      </c>
      <c r="ML4" s="7" t="str">
        <f>IFERROR(__xludf.DUMMYFUNCTION("GOOGLETRANSLATE(ML2, ""en"", ""sw"")"),"Kuhesabu uwezekano wa darasa")</f>
        <v>Kuhesabu uwezekano wa darasa</v>
      </c>
      <c r="MM4" s="7" t="str">
        <f>IFERROR(__xludf.DUMMYFUNCTION("GOOGLETRANSLATE(MM2, ""en"", ""sw"")"),"Ujenzi wa Kikundi")</f>
        <v>Ujenzi wa Kikundi</v>
      </c>
      <c r="MN4" s="7" t="str">
        <f>IFERROR(__xludf.DUMMYFUNCTION("GOOGLETRANSLATE(MN2, ""en"", ""sw"")"),"Viwanja vinatengenezwa. Wataonyeshwa hivi karibuni")</f>
        <v>Viwanja vinatengenezwa. Wataonyeshwa hivi karibuni</v>
      </c>
      <c r="MO4" s="7" t="str">
        <f>IFERROR(__xludf.DUMMYFUNCTION("GOOGLETRANSLATE(MO2, ""en"", ""sw"")"),"Chagua miundo ya kutoa mafunzo")</f>
        <v>Chagua miundo ya kutoa mafunzo</v>
      </c>
      <c r="MP4" s="7" t="str">
        <f>IFERROR(__xludf.DUMMYFUNCTION("GOOGLETRANSLATE(MP2, ""en"", ""sw"")"),"Mapema")</f>
        <v>Mapema</v>
      </c>
      <c r="MQ4" s="7" t="str">
        <f>IFERROR(__xludf.DUMMYFUNCTION("GOOGLETRANSLATE(MQ2, ""en"", ""sw"")"),"Jumuisha kukatiza")</f>
        <v>Jumuisha kukatiza</v>
      </c>
      <c r="MR4" s="7" t="str">
        <f>IFERROR(__xludf.DUMMYFUNCTION("GOOGLETRANSLATE(MR2, ""en"", ""sw"")"),"Chaguzi za mapema")</f>
        <v>Chaguzi za mapema</v>
      </c>
      <c r="MS4" s="7" t="str">
        <f>IFERROR(__xludf.DUMMYFUNCTION("GOOGLETRANSLATE(MS2, ""en"", ""sw"")"),"Mifano ya treni")</f>
        <v>Mifano ya treni</v>
      </c>
      <c r="MT4" s="7" t="str">
        <f>IFERROR(__xludf.DUMMYFUNCTION("GOOGLETRANSLATE(MT2, ""en"", ""sw"")"),"Taswira ya OMOP")</f>
        <v>Taswira ya OMOP</v>
      </c>
      <c r="MU4" s="7" t="str">
        <f>IFERROR(__xludf.DUMMYFUNCTION("GOOGLETRANSLATE(MU2, ""en"", ""sw"")"),"Msitu wa nasibu")</f>
        <v>Msitu wa nasibu</v>
      </c>
      <c r="MV4" s="7" t="str">
        <f>IFERROR(__xludf.DUMMYFUNCTION("GOOGLETRANSLATE(MV2, ""en"", ""sw"")"),"# Watabiri katika kila mgawanyiko")</f>
        <v># Watabiri katika kila mgawanyiko</v>
      </c>
      <c r="MW4" s="7" t="str">
        <f>IFERROR(__xludf.DUMMYFUNCTION("GOOGLETRANSLATE(MW2, ""en"", ""sw"")"),"Usindikaji sambamba")</f>
        <v>Usindikaji sambamba</v>
      </c>
      <c r="MX4" s="7" t="str">
        <f>IFERROR(__xludf.DUMMYFUNCTION("GOOGLETRANSLATE(MX2, ""en"", ""sw"")"),"Jumuisha mkusanyiko")</f>
        <v>Jumuisha mkusanyiko</v>
      </c>
      <c r="MY4" s="7" t="str">
        <f>IFERROR(__xludf.DUMMYFUNCTION("GOOGLETRANSLATE(MY2, ""en"", ""sw"")"),"Mpangilio wa mafunzo ya mfano")</f>
        <v>Mpangilio wa mafunzo ya mfano</v>
      </c>
      <c r="MZ4" s="7" t="str">
        <f>IFERROR(__xludf.DUMMYFUNCTION("GOOGLETRANSLATE(MZ2, ""en"", ""sw"")"),"# Kuongeza Marudio")</f>
        <v># Kuongeza Marudio</v>
      </c>
      <c r="NA4" s="7" t="str">
        <f>IFERROR(__xludf.DUMMYFUNCTION("GOOGLETRANSLATE(NA2, ""en"", ""sw"")"),"Kina cha Juu cha Mti")</f>
        <v>Kina cha Juu cha Mti</v>
      </c>
      <c r="NB4" s="7" t="str">
        <f>IFERROR(__xludf.DUMMYFUNCTION("GOOGLETRANSLATE(NB2, ""en"", ""sw"")"),"in. Ukubwa wa Njia ya Kituo")</f>
        <v>in. Ukubwa wa Njia ya Kituo</v>
      </c>
      <c r="NC4" s="7" t="str">
        <f>IFERROR(__xludf.DUMMYFUNCTION("GOOGLETRANSLATE(NC2, ""en"", ""sw"")"),"Kupungua (Kiwango cha kujifunza)")</f>
        <v>Kupungua (Kiwango cha kujifunza)</v>
      </c>
      <c r="ND4" s="7" t="str">
        <f>IFERROR(__xludf.DUMMYFUNCTION("GOOGLETRANSLATE(ND2, ""en"", ""sw"")"),"AutoML")</f>
        <v>AutoML</v>
      </c>
      <c r="NE4" s="7" t="str">
        <f>IFERROR(__xludf.DUMMYFUNCTION("GOOGLETRANSLATE(NE2, ""en"", ""sw"")"),"Mpango wa CDM")</f>
        <v>Mpango wa CDM</v>
      </c>
      <c r="NF4" s="7" t="str">
        <f>IFERROR(__xludf.DUMMYFUNCTION("GOOGLETRANSLATE(NF2, ""en"", ""sw"")"),"Schema ya Msamiati")</f>
        <v>Schema ya Msamiati</v>
      </c>
      <c r="NG4" s="7" t="str">
        <f>IFERROR(__xludf.DUMMYFUNCTION("GOOGLETRANSLATE(NG2, ""en"", ""sw"")"),"Matokeo Schema")</f>
        <v>Matokeo Schema</v>
      </c>
      <c r="NH4" s="7" t="str">
        <f>IFERROR(__xludf.DUMMYFUNCTION("GOOGLETRANSLATE(NH2, ""en"", ""sw"")"),"Toleo la CDM")</f>
        <v>Toleo la CDM</v>
      </c>
      <c r="NI4" s="7" t="str">
        <f>IFERROR(__xludf.DUMMYFUNCTION("GOOGLETRANSLATE(NI2, ""en"", ""sw"")"),"Aina ya Hifadhidata")</f>
        <v>Aina ya Hifadhidata</v>
      </c>
      <c r="NJ4" s="7" t="str">
        <f>IFERROR(__xludf.DUMMYFUNCTION("GOOGLETRANSLATE(NJ2, ""en"", ""sw"")"),"Bandari")</f>
        <v>Bandari</v>
      </c>
      <c r="NK4" s="7" t="str">
        <f>IFERROR(__xludf.DUMMYFUNCTION("GOOGLETRANSLATE(NK2, ""en"", ""sw"")"),"Mwenyeji")</f>
        <v>Mwenyeji</v>
      </c>
      <c r="NL4" s="7" t="str">
        <f>IFERROR(__xludf.DUMMYFUNCTION("GOOGLETRANSLATE(NL2, ""en"", ""sw"")"),"Jina la Hifadhidata")</f>
        <v>Jina la Hifadhidata</v>
      </c>
      <c r="NM4" s="7" t="str">
        <f>IFERROR(__xludf.DUMMYFUNCTION("GOOGLETRANSLATE(NM2, ""en"", ""sw"")"),"Mtumiaji")</f>
        <v>Mtumiaji</v>
      </c>
      <c r="NN4" s="7" t="str">
        <f>IFERROR(__xludf.DUMMYFUNCTION("GOOGLETRANSLATE(NN2, ""en"", ""sw"")"),"Nenosiri")</f>
        <v>Nenosiri</v>
      </c>
      <c r="NO4" s="7" t="str">
        <f>IFERROR(__xludf.DUMMYFUNCTION("GOOGLETRANSLATE(NO2, ""en"", ""sw"")"),"Kukimbia Achilles")</f>
        <v>Kukimbia Achilles</v>
      </c>
      <c r="NP4" s="7" t="str">
        <f>IFERROR(__xludf.DUMMYFUNCTION("GOOGLETRANSLATE(NP2, ""en"", ""sw"")"),"Uchimbaji wa kipengele")</f>
        <v>Uchimbaji wa kipengele</v>
      </c>
      <c r="NQ4" s="7" t="str">
        <f>IFERROR(__xludf.DUMMYFUNCTION("GOOGLETRANSLATE(NQ2, ""en"", ""sw"")"),"Uchambuzi wa OHDSI")</f>
        <v>Uchambuzi wa OHDSI</v>
      </c>
      <c r="NR4" s="7" t="str">
        <f>IFERROR(__xludf.DUMMYFUNCTION("GOOGLETRANSLATE(NR2, ""en"", ""sw"")"),"# Kuongeza Marudio")</f>
        <v># Kuongeza Marudio</v>
      </c>
      <c r="NS4" s="7" t="str">
        <f>IFERROR(__xludf.DUMMYFUNCTION("GOOGLETRANSLATE(NS2, ""en"", ""sw"")"),"Kina cha Juu cha Mti")</f>
        <v>Kina cha Juu cha Mti</v>
      </c>
      <c r="NT4" s="7" t="str">
        <f>IFERROR(__xludf.DUMMYFUNCTION("GOOGLETRANSLATE(NT2, ""en"", ""sw"")"),"Kupungua (Kiwango cha kujifunza)")</f>
        <v>Kupungua (Kiwango cha kujifunza)</v>
      </c>
      <c r="NU4" s="7" t="str">
        <f>IFERROR(__xludf.DUMMYFUNCTION("GOOGLETRANSLATE(NU2, ""en"", ""sw"")"),"Kima cha chini cha Kupunguza Hasara")</f>
        <v>Kima cha chini cha Kupunguza Hasara</v>
      </c>
      <c r="NV4" s="7" t="str">
        <f>IFERROR(__xludf.DUMMYFUNCTION("GOOGLETRANSLATE(NV2, ""en"", ""sw"")"),"Uwiano wa Sampuli Ndogo za Safu")</f>
        <v>Uwiano wa Sampuli Ndogo za Safu</v>
      </c>
      <c r="NW4" s="7" t="str">
        <f>IFERROR(__xludf.DUMMYFUNCTION("GOOGLETRANSLATE(NW2, ""en"", ""sw"")"),"Kiwango cha Chini cha Uzito wa Mfano")</f>
        <v>Kiwango cha Chini cha Uzito wa Mfano</v>
      </c>
      <c r="NX4" s="7" t="str">
        <f>IFERROR(__xludf.DUMMYFUNCTION("GOOGLETRANSLATE(NX2, ""en"", ""sw"")"),"Asilimia ya Sampuli ndogo")</f>
        <v>Asilimia ya Sampuli ndogo</v>
      </c>
      <c r="NY4" s="7" t="str">
        <f>IFERROR(__xludf.DUMMYFUNCTION("GOOGLETRANSLATE(NY2, ""en"", ""sw"")"),"Vipimo vya utendaji")</f>
        <v>Vipimo vya utendaji</v>
      </c>
      <c r="NZ4" s="7" t="str">
        <f>IFERROR(__xludf.DUMMYFUNCTION("GOOGLETRANSLATE(NZ2, ""en"", ""sw"")"),"# Kuongeza Marudio")</f>
        <v># Kuongeza Marudio</v>
      </c>
      <c r="OA4" s="7" t="str">
        <f>IFERROR(__xludf.DUMMYFUNCTION("GOOGLETRANSLATE(OA2, ""en"", ""sw"")"),"Udhibiti wa L2")</f>
        <v>Udhibiti wa L2</v>
      </c>
      <c r="OB4" s="7" t="str">
        <f>IFERROR(__xludf.DUMMYFUNCTION("GOOGLETRANSLATE(OB2, ""en"", ""sw"")"),"Udhibiti wa L1")</f>
        <v>Udhibiti wa L1</v>
      </c>
      <c r="OC4" s="7" t="str">
        <f>IFERROR(__xludf.DUMMYFUNCTION("GOOGLETRANSLATE(OC2, ""en"", ""sw"")"),"Kiwango cha kujifunza")</f>
        <v>Kiwango cha kujifunza</v>
      </c>
      <c r="OD4" s="7" t="str">
        <f>IFERROR(__xludf.DUMMYFUNCTION("GOOGLETRANSLATE(OD2, ""en"", ""sw"")"),"Sigma")</f>
        <v>Sigma</v>
      </c>
      <c r="OE4" s="7" t="str">
        <f>IFERROR(__xludf.DUMMYFUNCTION("GOOGLETRANSLATE(OE2, ""en"", ""sw"")"),"Gharama")</f>
        <v>Gharama</v>
      </c>
      <c r="OF4" s="7" t="str">
        <f>IFERROR(__xludf.DUMMYFUNCTION("GOOGLETRANSLATE(OF2, ""en"", ""sw"")"),"Tengeneza njama")</f>
        <v>Tengeneza njama</v>
      </c>
      <c r="OG4" s="7" t="str">
        <f>IFERROR(__xludf.DUMMYFUNCTION("GOOGLETRANSLATE(OG2, ""en"", ""sw"")"),"Ondoka")</f>
        <v>Ondoka</v>
      </c>
      <c r="OH4" s="7" t="str">
        <f>IFERROR(__xludf.DUMMYFUNCTION("GOOGLETRANSLATE(OH2, ""en"", ""sw"")"),"Kujifunza kwa kina")</f>
        <v>Kujifunza kwa kina</v>
      </c>
      <c r="OI4" s="7" t="str">
        <f>IFERROR(__xludf.DUMMYFUNCTION("GOOGLETRANSLATE(OI2, ""en"", ""sw"")"),"Karibu")</f>
        <v>Karibu</v>
      </c>
      <c r="OJ4" s="7" t="str">
        <f>IFERROR(__xludf.DUMMYFUNCTION("GOOGLETRANSLATE(OJ2, ""en"", ""sw"")"),"Automl na Pycaret")</f>
        <v>Automl na Pycaret</v>
      </c>
      <c r="OK4" s="7" t="str">
        <f>IFERROR(__xludf.DUMMYFUNCTION("GOOGLETRANSLATE(OK2, ""en"", ""sw"")"),"Gharama")</f>
        <v>Gharama</v>
      </c>
      <c r="OL4" s="7" t="str">
        <f>IFERROR(__xludf.DUMMYFUNCTION("GOOGLETRANSLATE(OL2, ""en"", ""sw"")"),"Mafunzo")</f>
        <v>Mafunzo</v>
      </c>
      <c r="OM4" s="7" t="str">
        <f>IFERROR(__xludf.DUMMYFUNCTION("GOOGLETRANSLATE(OM2, ""en"", ""sw"")"),"Mtihani")</f>
        <v>Mtihani</v>
      </c>
      <c r="ON4" s="7" t="str">
        <f>IFERROR(__xludf.DUMMYFUNCTION("GOOGLETRANSLATE(ON2, ""en"", ""sw"")"),"Usambazaji wa mfano")</f>
        <v>Usambazaji wa mfano</v>
      </c>
      <c r="OO4" s="7" t="str">
        <f>IFERROR(__xludf.DUMMYFUNCTION("GOOGLETRANSLATE(OO2, ""en"", ""sw"")"),"Digrii ya Polynomial")</f>
        <v>Digrii ya Polynomial</v>
      </c>
      <c r="OP4" s="7" t="str">
        <f>IFERROR(__xludf.DUMMYFUNCTION("GOOGLETRANSLATE(OP2, ""en"", ""sw"")"),"Mizani")</f>
        <v>Mizani</v>
      </c>
      <c r="OQ4" s="7" t="str">
        <f>IFERROR(__xludf.DUMMYFUNCTION("GOOGLETRANSLATE(OQ2, ""en"", ""sw"")"),"Gharama")</f>
        <v>Gharama</v>
      </c>
      <c r="OR4" s="8" t="str">
        <f>IFERROR(__xludf.DUMMYFUNCTION("GOOGLETRANSLATE(OR3,""en"",""fr"")"),"Alpha")</f>
        <v>Alpha</v>
      </c>
      <c r="OS4" s="8" t="str">
        <f>IFERROR(__xludf.DUMMYFUNCTION("GOOGLETRANSLATE(OS3,""en"",""fr"")"),"Alpha")</f>
        <v>Alpha</v>
      </c>
      <c r="OT4" s="7" t="str">
        <f>IFERROR(__xludf.DUMMYFUNCTION("GOOGLETRANSLATE(OT2, ""en"", ""sw"")"),"Alfa")</f>
        <v>Alfa</v>
      </c>
      <c r="OU4" s="7" t="str">
        <f>IFERROR(__xludf.DUMMYFUNCTION("GOOGLETRANSLATE(OU2, ""en"", ""sw"")"),"Chunguza miundo iliyofunzwa")</f>
        <v>Chunguza miundo iliyofunzwa</v>
      </c>
      <c r="OV4" s="7" t="str">
        <f>IFERROR(__xludf.DUMMYFUNCTION("GOOGLETRANSLATE(OV2, ""en"", ""sw"")"),"Chagua miundo")</f>
        <v>Chagua miundo</v>
      </c>
      <c r="OW4" s="7" t="str">
        <f>IFERROR(__xludf.DUMMYFUNCTION("GOOGLETRANSLATE(OW2, ""en"", ""sw"")"),"Viwanja zaidi")</f>
        <v>Viwanja zaidi</v>
      </c>
      <c r="OX4" s="7" t="str">
        <f>IFERROR(__xludf.DUMMYFUNCTION("GOOGLETRANSLATE(OX2, ""en"", ""sw"")"),"Vipimo zaidi")</f>
        <v>Vipimo zaidi</v>
      </c>
      <c r="OY4" s="7" t="str">
        <f>IFERROR(__xludf.DUMMYFUNCTION("GOOGLETRANSLATE(OY2, ""en"", ""sw"")"),"Chunguza miundo iliyofunzwa")</f>
        <v>Chunguza miundo iliyofunzwa</v>
      </c>
      <c r="OZ4" s="7" t="str">
        <f>IFERROR(__xludf.DUMMYFUNCTION("GOOGLETRANSLATE(OZ2, ""en"", ""sw"")"),"Matrix ya kuchanganyikiwa")</f>
        <v>Matrix ya kuchanganyikiwa</v>
      </c>
      <c r="PA4" s="7" t="str">
        <f>IFERROR(__xludf.DUMMYFUNCTION("GOOGLETRANSLATE(PA2, ""en"", ""sw"")"),"Chagua kipimo")</f>
        <v>Chagua kipimo</v>
      </c>
      <c r="PB4" s="7" t="str">
        <f>IFERROR(__xludf.DUMMYFUNCTION("GOOGLETRANSLATE(PB2, ""en"", ""sw"")"),"Tengeneza thamani za SHAP")</f>
        <v>Tengeneza thamani za SHAP</v>
      </c>
      <c r="PC4" s="7" t="str">
        <f>IFERROR(__xludf.DUMMYFUNCTION("GOOGLETRANSLATE(PC2, ""en"", ""sw"")"),"Umuhimu unaobadilika")</f>
        <v>Umuhimu unaobadilika</v>
      </c>
      <c r="PD4" s="7" t="str">
        <f>IFERROR(__xludf.DUMMYFUNCTION("GOOGLETRANSLATE(PD2, ""en"", ""sw"")"),"Tumia uteuzi")</f>
        <v>Tumia uteuzi</v>
      </c>
      <c r="PE4" s="7" t="str">
        <f>IFERROR(__xludf.DUMMYFUNCTION("GOOGLETRANSLATE(PE2, ""en"", ""sw"")"),"Jedwali la vipimo")</f>
        <v>Jedwali la vipimo</v>
      </c>
      <c r="PF4" s="7" t="str">
        <f>IFERROR(__xludf.DUMMYFUNCTION("GOOGLETRANSLATE(PF2, ""en"", ""sw"")"),"Mpango wa vipimo")</f>
        <v>Mpango wa vipimo</v>
      </c>
      <c r="PG4" s="7" t="str">
        <f>IFERROR(__xludf.DUMMYFUNCTION("GOOGLETRANSLATE(PG2, ""en"", ""sw"")"),"ROC/Njama ya Utabiri")</f>
        <v>ROC/Njama ya Utabiri</v>
      </c>
      <c r="PH4" s="7" t="str">
        <f>IFERROR(__xludf.DUMMYFUNCTION("GOOGLETRANSLATE(PH2, ""en"", ""sw"")"),"Umuhimu wa kutofautisha kwa msingi wa Shap")</f>
        <v>Umuhimu wa kutofautisha kwa msingi wa Shap</v>
      </c>
      <c r="PI4" s="7" t="str">
        <f>IFERROR(__xludf.DUMMYFUNCTION("GOOGLETRANSLATE(PI2, ""en"", ""sw"")"),"Ukadiriaji wa umuhimu unaobadilika")</f>
        <v>Ukadiriaji wa umuhimu unaobadilika</v>
      </c>
      <c r="PJ4" s="7" t="str">
        <f>IFERROR(__xludf.DUMMYFUNCTION("GOOGLETRANSLATE(PJ2, ""en"", ""sw"")"),"Mpango wa utegemezi")</f>
        <v>Mpango wa utegemezi</v>
      </c>
      <c r="PK4" s="7" t="str">
        <f>IFERROR(__xludf.DUMMYFUNCTION("GOOGLETRANSLATE(PK2, ""en"", ""sw"")"),"Njama ya nyuki")</f>
        <v>Njama ya nyuki</v>
      </c>
      <c r="PL4" s="7" t="str">
        <f>IFERROR(__xludf.DUMMYFUNCTION("GOOGLETRANSLATE(PL2, ""en"", ""sw"")"),"Kiwanja cha maporomoko ya maji")</f>
        <v>Kiwanja cha maporomoko ya maji</v>
      </c>
      <c r="PM4" s="7" t="str">
        <f>IFERROR(__xludf.DUMMYFUNCTION("GOOGLETRANSLATE(PM2, ""en"", ""sw"")"),"Lazimisha njama")</f>
        <v>Lazimisha njama</v>
      </c>
      <c r="PN4" s="7" t="str">
        <f>IFERROR(__xludf.DUMMYFUNCTION("GOOGLETRANSLATE(PN2, ""en"", ""sw"")"),"Usambazaji wa mfano")</f>
        <v>Usambazaji wa mfano</v>
      </c>
      <c r="PO4" s="7" t="str">
        <f>IFERROR(__xludf.DUMMYFUNCTION("GOOGLETRANSLATE(PO2, ""en"", ""sw"")"),"Muhtasari")</f>
        <v>Muhtasari</v>
      </c>
      <c r="PP4" s="7"/>
      <c r="PQ4" s="7" t="str">
        <f>IFERROR(__xludf.DUMMYFUNCTION("GOOGLETRANSLATE(PQ2, ""en"", ""sw"")"),"Chagua kipimo")</f>
        <v>Chagua kipimo</v>
      </c>
      <c r="PR4" s="7" t="str">
        <f>IFERROR(__xludf.DUMMYFUNCTION("GOOGLETRANSLATE(PR2, ""en"", ""sw"")"),"Chagua miundo")</f>
        <v>Chagua miundo</v>
      </c>
      <c r="PS4" s="7" t="str">
        <f>IFERROR(__xludf.DUMMYFUNCTION("GOOGLETRANSLATE(PS2, ""en"", ""sw"")"),"Chagua vipindi")</f>
        <v>Chagua vipindi</v>
      </c>
      <c r="PT4" s="7" t="str">
        <f>IFERROR(__xludf.DUMMYFUNCTION("GOOGLETRANSLATE(PT2, ""en"", ""sw"")"),"Tumia miundo iliyochaguliwa")</f>
        <v>Tumia miundo iliyochaguliwa</v>
      </c>
      <c r="PU4" s="7" t="str">
        <f>IFERROR(__xludf.DUMMYFUNCTION("GOOGLETRANSLATE(PU2, ""en"", ""sw"")"),"Weka")</f>
        <v>Weka</v>
      </c>
      <c r="PV4" s="7" t="str">
        <f>IFERROR(__xludf.DUMMYFUNCTION("GOOGLETRANSLATE(PV2, ""en"", ""sw"")"),"Bofya ili kuunganisha kwenye hifadhidata katika ukurasa wa Chanzo kwanza")</f>
        <v>Bofya ili kuunganisha kwenye hifadhidata katika ukurasa wa Chanzo kwanza</v>
      </c>
      <c r="PW4" s="7" t="str">
        <f>IFERROR(__xludf.DUMMYFUNCTION("GOOGLETRANSLATE(PW2, ""en"", ""sw"")"),"Chuja kwa Jinsia")</f>
        <v>Chuja kwa Jinsia</v>
      </c>
      <c r="PX4" s="7" t="str">
        <f>IFERROR(__xludf.DUMMYFUNCTION("GOOGLETRANSLATE(PX2, ""en"", ""sw"")"),"Mifano ya utabiri")</f>
        <v>Mifano ya utabiri</v>
      </c>
      <c r="PY4" s="7" t="str">
        <f>IFERROR(__xludf.DUMMYFUNCTION("GOOGLETRANSLATE(PY2, ""en"", ""sw"")"),"Chagua miundo ya utabiri")</f>
        <v>Chagua miundo ya utabiri</v>
      </c>
      <c r="PZ4" s="7" t="str">
        <f>IFERROR(__xludf.DUMMYFUNCTION("GOOGLETRANSLATE(PZ2, ""en"", ""sw"")"),"Ingizo la data ya utangulizi")</f>
        <v>Ingizo la data ya utangulizi</v>
      </c>
      <c r="QA4" s="7" t="str">
        <f>IFERROR(__xludf.DUMMYFUNCTION("GOOGLETRANSLATE(QA2, ""en"", ""sw"")"),"Pakua kiolezo cha ubashiri")</f>
        <v>Pakua kiolezo cha ubashiri</v>
      </c>
      <c r="QB4" s="7" t="str">
        <f>IFERROR(__xludf.DUMMYFUNCTION("GOOGLETRANSLATE(QB2, ""en"", ""sw"")"),"Pakia data ya utabiri")</f>
        <v>Pakia data ya utabiri</v>
      </c>
      <c r="QC4" s="7" t="str">
        <f>IFERROR(__xludf.DUMMYFUNCTION("GOOGLETRANSLATE(QC2, ""en"", ""sw"")"),"Pakia")</f>
        <v>Pakia</v>
      </c>
      <c r="QD4" s="7" t="str">
        <f>IFERROR(__xludf.DUMMYFUNCTION("GOOGLETRANSLATE(QD2, ""en"", ""sw"")"),"Bashiri")</f>
        <v>Bashiri</v>
      </c>
      <c r="QE4" s="7" t="str">
        <f>IFERROR(__xludf.DUMMYFUNCTION("GOOGLETRANSLATE(QE2, ""en"", ""sw"")"),"Convolutional Neural Network")</f>
        <v>Convolutional Neural Network</v>
      </c>
      <c r="QF4" s="7" t="str">
        <f>IFERROR(__xludf.DUMMYFUNCTION("GOOGLETRANSLATE(QF2, ""en"", ""sw"")"),"Transfoma")</f>
        <v>Transfoma</v>
      </c>
      <c r="QG4" s="7" t="str">
        <f>IFERROR(__xludf.DUMMYFUNCTION("GOOGLETRANSLATE(QG2, ""en"", ""sw"")"),"Utendaji na Tathmini ya treni")</f>
        <v>Utendaji na Tathmini ya treni</v>
      </c>
      <c r="QH4" s="7" t="str">
        <f>IFERROR(__xludf.DUMMYFUNCTION("GOOGLETRANSLATE(QH2, ""en"", ""sw"")"),"Fungua Fomu ya Kuingiza Data")</f>
        <v>Fungua Fomu ya Kuingiza Data</v>
      </c>
      <c r="QI4" s="7" t="str">
        <f>IFERROR(__xludf.DUMMYFUNCTION("GOOGLETRANSLATE(QI2, ""en"", ""sw"")"),"Data ya ingizo isiyolingana. Pakua kiolezo cha ubashiri.")</f>
        <v>Data ya ingizo isiyolingana. Pakua kiolezo cha ubashiri.</v>
      </c>
      <c r="QJ4" s="7" t="str">
        <f>IFERROR(__xludf.DUMMYFUNCTION("GOOGLETRANSLATE(QJ2, ""en"", ""sw"")"),"Hifadhi Ingizo")</f>
        <v>Hifadhi Ingizo</v>
      </c>
      <c r="QK4" s="7" t="str">
        <f>IFERROR(__xludf.DUMMYFUNCTION("GOOGLETRANSLATE(QK2, ""en"", ""sw"")"),"Maliza")</f>
        <v>Maliza</v>
      </c>
      <c r="QL4" s="7" t="str">
        <f>IFERROR(__xludf.DUMMYFUNCTION("GOOGLETRANSLATE(QL2, ""en"", ""sw"")"),"Ghairi")</f>
        <v>Ghairi</v>
      </c>
      <c r="QM4" s="7" t="str">
        <f>IFERROR(__xludf.DUMMYFUNCTION("GOOGLETRANSLATE(QM2, ""en"", ""sw"")"),"Weka Data kwa Utabiri")</f>
        <v>Weka Data kwa Utabiri</v>
      </c>
      <c r="QN4" s="7" t="str">
        <f>IFERROR(__xludf.DUMMYFUNCTION("GOOGLETRANSLATE(QN2, ""en"", ""sw"")"),"Ongeza kiingilio kingine")</f>
        <v>Ongeza kiingilio kingine</v>
      </c>
      <c r="QO4" s="7" t="str">
        <f>IFERROR(__xludf.DUMMYFUNCTION("GOOGLETRANSLATE(QO2, ""en"", ""sw"")"),"Hitilafu ya API ya Utabiri. Jaribu tena: ")</f>
        <v>Hitilafu ya API ya Utabiri. Jaribu tena: </v>
      </c>
      <c r="QP4" s="7" t="str">
        <f>IFERROR(__xludf.DUMMYFUNCTION("GOOGLETRANSLATE(QP2, ""en"", ""sw"")"),"Mafunzo ya mfano ...")</f>
        <v>Mafunzo ya mfano ...</v>
      </c>
      <c r="QQ4" s="7" t="str">
        <f>IFERROR(__xludf.DUMMYFUNCTION("GOOGLETRANSLATE(QQ2, ""en"", ""sw"")"),"Hitilafu katika mafunzo ya mfano")</f>
        <v>Hitilafu katika mafunzo ya mfano</v>
      </c>
      <c r="QR4" s="7" t="str">
        <f>IFERROR(__xludf.DUMMYFUNCTION("GOOGLETRANSLATE(QR2, ""en"", ""sw"")"),"Hitilafu ya vipimo vya mfano")</f>
        <v>Hitilafu ya vipimo vya mfano</v>
      </c>
      <c r="QS4" s="7" t="str">
        <f>IFERROR(__xludf.DUMMYFUNCTION("GOOGLETRANSLATE(QS2, ""en"", ""sw"")"),"Vipimo vya treni")</f>
        <v>Vipimo vya treni</v>
      </c>
      <c r="QT4" s="7" t="str">
        <f>IFERROR(__xludf.DUMMYFUNCTION("GOOGLETRANSLATE(QT2, ""en"", ""sw"")"),"Vipimo vya majaribio")</f>
        <v>Vipimo vya majaribio</v>
      </c>
      <c r="QU4" s="7" t="str">
        <f>IFERROR(__xludf.DUMMYFUNCTION("GOOGLETRANSLATE(QU2, ""en"", ""sw"")"),"Vipimo vya chapisho")</f>
        <v>Vipimo vya chapisho</v>
      </c>
      <c r="QV4" s="7" t="str">
        <f>IFERROR(__xludf.DUMMYFUNCTION("GOOGLETRANSLATE(QV2, ""en"", ""sw"")"),"Shap maadili")</f>
        <v>Shap maadili</v>
      </c>
      <c r="QW4" s="7" t="str">
        <f>IFERROR(__xludf.DUMMYFUNCTION("GOOGLETRANSLATE(QW2, ""en"", ""sw"")"),"Inazalisha thamani za SHAP")</f>
        <v>Inazalisha thamani za SHAP</v>
      </c>
      <c r="QX4" s="7" t="str">
        <f>IFERROR(__xludf.DUMMYFUNCTION("GOOGLETRANSLATE(QX2, ""en"", ""sw"")"),"Inapakia data kwenye Nocode Platform")</f>
        <v>Inapakia data kwenye Nocode Platform</v>
      </c>
      <c r="QY4" s="7" t="str">
        <f>IFERROR(__xludf.DUMMYFUNCTION("GOOGLETRANSLATE(QY2, ""en"", ""sw"")"),"Kupeleka mifano")</f>
        <v>Kupeleka mifano</v>
      </c>
      <c r="QZ4" s="7" t="str">
        <f>IFERROR(__xludf.DUMMYFUNCTION("GOOGLETRANSLATE(QZ2, ""en"", ""sw"")"),"Miundo haikuweza kutumwa, jaribu tena:")</f>
        <v>Miundo haikuweza kutumwa, jaribu tena:</v>
      </c>
      <c r="RA4" s="7" t="str">
        <f>IFERROR(__xludf.DUMMYFUNCTION("GOOGLETRANSLATE(RA2, ""en"", ""sw"")"),"Mifano zilizowekwa")</f>
        <v>Mifano zilizowekwa</v>
      </c>
      <c r="RB4" s="7" t="str">
        <f>IFERROR(__xludf.DUMMYFUNCTION("GOOGLETRANSLATE(RB2, ""en"", ""sw"")"),"Muda wa ufikiaji wa sehemu ya mwisho umeisha. Jaribu tena")</f>
        <v>Muda wa ufikiaji wa sehemu ya mwisho umeisha. Jaribu tena</v>
      </c>
      <c r="RC4" s="7" t="str">
        <f>IFERROR(__xludf.DUMMYFUNCTION("GOOGLETRANSLATE(RC2, ""en"", ""sw"")"),"Dashibodi")</f>
        <v>Dashibodi</v>
      </c>
      <c r="RD4" s="7" t="str">
        <f>IFERROR(__xludf.DUMMYFUNCTION("GOOGLETRANSLATE(RD2, ""en"", ""sw"")"),"Tengeneza Bomba")</f>
        <v>Tengeneza Bomba</v>
      </c>
      <c r="RE4" s="7" t="str">
        <f>IFERROR(__xludf.DUMMYFUNCTION("GOOGLETRANSLATE(RE2, ""en"", ""sw"")"),"Mfano wa Treni")</f>
        <v>Mfano wa Treni</v>
      </c>
      <c r="RF4" s="7" t="str">
        <f>IFERROR(__xludf.DUMMYFUNCTION("GOOGLETRANSLATE(RF2, ""en"", ""sw"")"),"Fanya Utabiri")</f>
        <v>Fanya Utabiri</v>
      </c>
      <c r="RG4" s="7" t="str">
        <f>IFERROR(__xludf.DUMMYFUNCTION("GOOGLETRANSLATE(RG2, ""en"", ""sw"")"),"Tazama Kazi")</f>
        <v>Tazama Kazi</v>
      </c>
      <c r="RH4" s="7" t="str">
        <f>IFERROR(__xludf.DUMMYFUNCTION("GOOGLETRANSLATE(RH2, ""en"", ""sw"")"),"Tazama Seti za Data")</f>
        <v>Tazama Seti za Data</v>
      </c>
      <c r="RI4" s="7" t="str">
        <f>IFERROR(__xludf.DUMMYFUNCTION("GOOGLETRANSLATE(RI2, ""en"", ""sw"")"),"Futa Kazi")</f>
        <v>Futa Kazi</v>
      </c>
      <c r="RJ4" s="7" t="str">
        <f>IFERROR(__xludf.DUMMYFUNCTION("GOOGLETRANSLATE(RJ2, ""en"", ""sw"")"),"Viwango vya kipekee vya matokeo yaliyochaguliwa ni chini ya 2. Jaribu kigezo kingine kama tokeo")</f>
        <v>Viwango vya kipekee vya matokeo yaliyochaguliwa ni chini ya 2. Jaribu kigezo kingine kama tokeo</v>
      </c>
      <c r="RK4" s="8" t="str">
        <f>IFERROR(__xludf.DUMMYFUNCTION("GOOGLETRANSLATE(RK3,""en"",""fr"")"),"Le résultat binaire a été transformé en problème de classification")</f>
        <v>Le résultat binaire a été transformé en problème de classification</v>
      </c>
      <c r="RL4" s="8" t="str">
        <f>IFERROR(__xludf.DUMMYFUNCTION("GOOGLETRANSLATE(RL3,""en"",""fr"")"),"Erreur de renommage de variable")</f>
        <v>Erreur de renommage de variable</v>
      </c>
      <c r="RM4" s="8" t="str">
        <f>IFERROR(__xludf.DUMMYFUNCTION("GOOGLETRANSLATE(RM3,""en"",""fr"")"),"Erreur de la variable de recodage")</f>
        <v>Erreur de la variable de recodage</v>
      </c>
      <c r="RN4" s="8" t="str">
        <f>IFERROR(__xludf.DUMMYFUNCTION("GOOGLETRANSLATE(RN3,""en"",""fr"")"),"Vérifier et réessayer :")</f>
        <v>Vérifier et réessayer :</v>
      </c>
      <c r="RO4" s="8" t="str">
        <f>IFERROR(__xludf.DUMMYFUNCTION("GOOGLETRANSLATE(RO3,""en"",""fr"")"),"Génération des réponses…")</f>
        <v>Génération des réponses…</v>
      </c>
      <c r="RP4" s="8" t="str">
        <f>IFERROR(__xludf.DUMMYFUNCTION("GOOGLETRANSLATE(RP3,""en"",""fr"")"),"Générer des réponses…")</f>
        <v>Générer des réponses…</v>
      </c>
      <c r="RQ4" s="8" t="str">
        <f>IFERROR(__xludf.DUMMYFUNCTION("GOOGLETRANSLATE(RQ3,""en"",""fr"")"),"Erreur de fractionnement des données :")</f>
        <v>Erreur de fractionnement des données :</v>
      </c>
      <c r="RR4" s="8" t="str">
        <f>IFERROR(__xludf.DUMMYFUNCTION("GOOGLETRANSLATE(RR3,""en"",""fr"")"),"Erreur de traitement :")</f>
        <v>Erreur de traitement :</v>
      </c>
      <c r="RS4" s="8" t="str">
        <f>IFERROR(__xludf.DUMMYFUNCTION("GOOGLETRANSLATE(RS3,""en"",""fr"")"),"k")</f>
        <v>k</v>
      </c>
      <c r="RT4" s="8" t="str">
        <f>IFERROR(__xludf.DUMMYFUNCTION("GOOGLETRANSLATE(RT3,""en"",""fr"")"),"taille")</f>
        <v>taille</v>
      </c>
      <c r="RU4" s="8" t="str">
        <f>IFERROR(__xludf.DUMMYFUNCTION("GOOGLETRANSLATE(RU3,""en"",""fr"")"),"pourriture")</f>
        <v>pourriture</v>
      </c>
      <c r="RV4" s="8" t="str">
        <f>IFERROR(__xludf.DUMMYFUNCTION("GOOGLETRANSLATE(RV3,""en"",""fr"")"),"Dégradation du poids")</f>
        <v>Dégradation du poids</v>
      </c>
      <c r="RW4" s="8" t="str">
        <f>IFERROR(__xludf.DUMMYFUNCTION("GOOGLETRANSLATE(RW3,""en"",""fr"")"),"Configuration du modèle terminée")</f>
        <v>Configuration du modèle terminée</v>
      </c>
      <c r="RX4" s="8" t="str">
        <f>IFERROR(__xludf.DUMMYFUNCTION("GOOGLETRANSLATE(RX3,""en"",""fr"")"),"Ingénierie des fonctionnalités terminées")</f>
        <v>Ingénierie des fonctionnalités terminées</v>
      </c>
      <c r="RY4" s="8" t="str">
        <f>IFERROR(__xludf.DUMMYFUNCTION("GOOGLETRANSLATE(RY3,""en"",""fr"")"),"Prétraitement…")</f>
        <v>Prétraitement…</v>
      </c>
      <c r="RZ4" s="8" t="str">
        <f>IFERROR(__xludf.DUMMYFUNCTION("GOOGLETRANSLATE(RZ3,""en"",""fr"")"),"Sac")</f>
        <v>Sac</v>
      </c>
      <c r="SA4" s="8" t="str">
        <f>IFERROR(__xludf.DUMMYFUNCTION("GOOGLETRANSLATE(SA3,""en"",""fr"")"),"Taille")</f>
        <v>Taille</v>
      </c>
      <c r="SB4" s="8" t="str">
        <f>IFERROR(__xludf.DUMMYFUNCTION("GOOGLETRANSLATE(SB3,""en"",""fr"")"),"Pourriture")</f>
        <v>Pourriture</v>
      </c>
      <c r="SC4" s="8" t="str">
        <f>IFERROR(__xludf.DUMMYFUNCTION("GOOGLETRANSLATE(SC3,""en"",""fr"")"),"#Composants")</f>
        <v>#Composants</v>
      </c>
      <c r="SD4" s="8" t="str">
        <f>IFERROR(__xludf.DUMMYFUNCTION("GOOGLETRANSLATE(SD3,""en"",""fr"")"),"Paramètres de contrôle")</f>
        <v>Paramètres de contrôle</v>
      </c>
      <c r="SE4" s="8" t="str">
        <f>IFERROR(__xludf.DUMMYFUNCTION("GOOGLETRANSLATE(SE3,""en"",""fr"")"),"Paramètres ajustés")</f>
        <v>Paramètres ajustés</v>
      </c>
      <c r="SF4" s="8" t="str">
        <f>IFERROR(__xludf.DUMMYFUNCTION("GOOGLETRANSLATE(SF3,""en"",""fr"")"),"Paramètres")</f>
        <v>Paramètres</v>
      </c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989</v>
      </c>
      <c r="B1" s="12" t="s">
        <v>990</v>
      </c>
      <c r="C1" s="12" t="s">
        <v>500</v>
      </c>
      <c r="D1" s="12" t="s">
        <v>960</v>
      </c>
      <c r="E1" s="10" t="s">
        <v>988</v>
      </c>
    </row>
    <row r="2" ht="14.25" customHeight="1">
      <c r="A2" s="12" t="s">
        <v>3</v>
      </c>
      <c r="B2" s="12" t="s">
        <v>991</v>
      </c>
      <c r="C2" s="12" t="s">
        <v>991</v>
      </c>
      <c r="D2" s="12" t="s">
        <v>992</v>
      </c>
      <c r="E2" s="12" t="str">
        <f>IFERROR(__xludf.DUMMYFUNCTION("GOOGLETRANSLATE(C2, ""en"", ""sw"")"),"Ndani")</f>
        <v>Ndani</v>
      </c>
    </row>
    <row r="3" ht="14.25" customHeight="1">
      <c r="A3" s="12" t="s">
        <v>3</v>
      </c>
      <c r="B3" s="12" t="s">
        <v>993</v>
      </c>
      <c r="C3" s="12" t="s">
        <v>993</v>
      </c>
      <c r="D3" s="12" t="s">
        <v>993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505</v>
      </c>
      <c r="C4" s="12" t="s">
        <v>505</v>
      </c>
      <c r="D4" s="12" t="s">
        <v>994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995</v>
      </c>
      <c r="C5" s="12" t="s">
        <v>995</v>
      </c>
      <c r="D5" s="12" t="s">
        <v>996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997</v>
      </c>
      <c r="B6" s="12" t="s">
        <v>998</v>
      </c>
      <c r="C6" s="12" t="s">
        <v>998</v>
      </c>
      <c r="D6" s="12" t="s">
        <v>999</v>
      </c>
      <c r="E6" s="12" t="str">
        <f>IFERROR(__xludf.DUMMYFUNCTION("GOOGLETRANSLATE(C6, ""en"", ""sw"")"),"Kichwa")</f>
        <v>Kichwa</v>
      </c>
    </row>
    <row r="7" ht="14.25" customHeight="1">
      <c r="A7" s="12" t="s">
        <v>997</v>
      </c>
      <c r="B7" s="12" t="s">
        <v>1000</v>
      </c>
      <c r="C7" s="12" t="s">
        <v>1000</v>
      </c>
      <c r="D7" s="12" t="s">
        <v>1001</v>
      </c>
      <c r="E7" s="12" t="str">
        <f>IFERROR(__xludf.DUMMYFUNCTION("GOOGLETRANSLATE(C7, ""en"", ""sw"")"),"Mkia")</f>
        <v>Mkia</v>
      </c>
    </row>
    <row r="8" ht="14.25" customHeight="1">
      <c r="A8" s="12" t="s">
        <v>997</v>
      </c>
      <c r="B8" s="12" t="s">
        <v>1002</v>
      </c>
      <c r="C8" s="12" t="s">
        <v>1002</v>
      </c>
      <c r="D8" s="12" t="s">
        <v>1003</v>
      </c>
      <c r="E8" s="12" t="str">
        <f>IFERROR(__xludf.DUMMYFUNCTION("GOOGLETRANSLATE(C8, ""en"", ""sw"")"),"Wote")</f>
        <v>Wote</v>
      </c>
    </row>
    <row r="9" ht="14.25" customHeight="1">
      <c r="A9" s="12" t="s">
        <v>1004</v>
      </c>
      <c r="B9" s="10" t="s">
        <v>1005</v>
      </c>
      <c r="C9" s="10" t="s">
        <v>1005</v>
      </c>
      <c r="D9" s="10" t="s">
        <v>1006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1004</v>
      </c>
      <c r="B10" s="12" t="s">
        <v>1007</v>
      </c>
      <c r="C10" s="12" t="s">
        <v>1007</v>
      </c>
      <c r="D10" s="12" t="s">
        <v>1007</v>
      </c>
      <c r="E10" s="12" t="str">
        <f>IFERROR(__xludf.DUMMYFUNCTION("GOOGLETRANSLATE(C10, ""en"", ""sw"")"),"sababu")</f>
        <v>sababu</v>
      </c>
    </row>
    <row r="11" ht="14.25" customHeight="1">
      <c r="A11" s="12" t="s">
        <v>1004</v>
      </c>
      <c r="B11" s="12" t="s">
        <v>1008</v>
      </c>
      <c r="C11" s="12" t="s">
        <v>1008</v>
      </c>
      <c r="D11" s="12" t="s">
        <v>1008</v>
      </c>
      <c r="E11" s="12" t="str">
        <f>IFERROR(__xludf.DUMMYFUNCTION("GOOGLETRANSLATE(C11, ""en"", ""sw"")"),"tabia")</f>
        <v>tabia</v>
      </c>
    </row>
    <row r="12" ht="14.25" customHeight="1">
      <c r="A12" s="12" t="s">
        <v>1004</v>
      </c>
      <c r="B12" s="12" t="s">
        <v>1009</v>
      </c>
      <c r="C12" s="12" t="s">
        <v>1009</v>
      </c>
      <c r="D12" s="12" t="s">
        <v>1009</v>
      </c>
      <c r="E12" s="12" t="str">
        <f>IFERROR(__xludf.DUMMYFUNCTION("GOOGLETRANSLATE(C12, ""en"", ""sw"")"),"nambari")</f>
        <v>nambari</v>
      </c>
    </row>
    <row r="13" ht="14.25" customHeight="1">
      <c r="A13" s="12" t="s">
        <v>1010</v>
      </c>
      <c r="B13" s="12" t="s">
        <v>1011</v>
      </c>
      <c r="C13" s="12" t="s">
        <v>1011</v>
      </c>
      <c r="D13" s="12" t="s">
        <v>1012</v>
      </c>
      <c r="E13" s="12" t="str">
        <f>IFERROR(__xludf.DUMMYFUNCTION("GOOGLETRANSLATE(C13, ""en"", ""sw"")"),"Kuacha kukosa (kwa wote)")</f>
        <v>Kuacha kukosa (kwa wote)</v>
      </c>
    </row>
    <row r="14" ht="14.25" customHeight="1">
      <c r="A14" s="12" t="s">
        <v>1010</v>
      </c>
      <c r="B14" s="12" t="s">
        <v>1013</v>
      </c>
      <c r="C14" s="12" t="s">
        <v>1013</v>
      </c>
      <c r="D14" s="12" t="s">
        <v>1012</v>
      </c>
      <c r="E14" s="12" t="str">
        <f>IFERROR(__xludf.DUMMYFUNCTION("GOOGLETRANSLATE(C14, ""en"", ""sw"")"),"Acha kukosa (kwa hii)")</f>
        <v>Acha kukosa (kwa hii)</v>
      </c>
    </row>
    <row r="15" ht="14.25" customHeight="1">
      <c r="A15" s="12" t="s">
        <v>1010</v>
      </c>
      <c r="B15" s="12" t="s">
        <v>1014</v>
      </c>
      <c r="C15" s="12" t="s">
        <v>1014</v>
      </c>
      <c r="D15" s="12" t="s">
        <v>1015</v>
      </c>
      <c r="E15" s="12" t="str">
        <f>IFERROR(__xludf.DUMMYFUNCTION("GOOGLETRANSLATE(C15, ""en"", ""sw"")"),"Unda aina mpya (kwa wote)")</f>
        <v>Unda aina mpya (kwa wote)</v>
      </c>
    </row>
    <row r="16" ht="14.25" customHeight="1">
      <c r="A16" s="12" t="s">
        <v>1010</v>
      </c>
      <c r="B16" s="12" t="s">
        <v>1016</v>
      </c>
      <c r="C16" s="12" t="s">
        <v>1016</v>
      </c>
      <c r="D16" s="12" t="s">
        <v>1017</v>
      </c>
      <c r="E16" s="12" t="str">
        <f>IFERROR(__xludf.DUMMYFUNCTION("GOOGLETRANSLATE(C16, ""en"", ""sw"")"),"Unda kitengo kipya (kwa hii)")</f>
        <v>Unda kitengo kipya (kwa hii)</v>
      </c>
    </row>
    <row r="17" ht="14.25" customHeight="1">
      <c r="A17" s="12" t="s">
        <v>1018</v>
      </c>
      <c r="B17" s="12" t="s">
        <v>1019</v>
      </c>
      <c r="C17" s="12" t="s">
        <v>1019</v>
      </c>
      <c r="D17" s="12" t="s">
        <v>1020</v>
      </c>
      <c r="E17" s="12" t="str">
        <f>IFERROR(__xludf.DUMMYFUNCTION("GOOGLETRANSLATE(C17, ""en"", ""sw"")"),"Kwa variable hii")</f>
        <v>Kwa variable hii</v>
      </c>
    </row>
    <row r="18" ht="14.25" customHeight="1">
      <c r="A18" s="12" t="s">
        <v>1018</v>
      </c>
      <c r="B18" s="12" t="s">
        <v>1021</v>
      </c>
      <c r="C18" s="12" t="s">
        <v>1021</v>
      </c>
      <c r="D18" s="7" t="s">
        <v>1022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1023</v>
      </c>
      <c r="C19" s="12" t="s">
        <v>1023</v>
      </c>
      <c r="D19" s="12" t="s">
        <v>1024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1025</v>
      </c>
      <c r="C20" s="12" t="s">
        <v>1025</v>
      </c>
      <c r="D20" s="12" t="s">
        <v>1026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1027</v>
      </c>
      <c r="C21" s="12" t="s">
        <v>1028</v>
      </c>
      <c r="D21" s="12" t="s">
        <v>1028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1029</v>
      </c>
      <c r="C22" s="12" t="s">
        <v>1029</v>
      </c>
      <c r="D22" s="12" t="s">
        <v>1029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1030</v>
      </c>
      <c r="C23" s="12" t="s">
        <v>1030</v>
      </c>
      <c r="D23" s="12" t="s">
        <v>1030</v>
      </c>
      <c r="E23" s="12" t="str">
        <f>IFERROR(__xludf.DUMMYFUNCTION("GOOGLETRANSLATE(C23, ""en"", ""sw"")"),"NaN")</f>
        <v>NaN</v>
      </c>
    </row>
    <row r="24" ht="14.25" customHeight="1">
      <c r="A24" s="12" t="s">
        <v>1031</v>
      </c>
      <c r="B24" s="12" t="s">
        <v>1032</v>
      </c>
      <c r="C24" s="12" t="s">
        <v>1033</v>
      </c>
      <c r="D24" s="12" t="s">
        <v>1034</v>
      </c>
      <c r="E24" s="12" t="str">
        <f>IFERROR(__xludf.DUMMYFUNCTION("GOOGLETRANSLATE(C24, ""en"", ""sw"")"),"Acha")</f>
        <v>Acha</v>
      </c>
    </row>
    <row r="25" ht="14.25" customHeight="1">
      <c r="A25" s="12" t="s">
        <v>1031</v>
      </c>
      <c r="B25" s="12" t="s">
        <v>1035</v>
      </c>
      <c r="C25" s="12" t="s">
        <v>1036</v>
      </c>
      <c r="D25" s="12" t="s">
        <v>1037</v>
      </c>
      <c r="E25" s="12" t="str">
        <f>IFERROR(__xludf.DUMMYFUNCTION("GOOGLETRANSLATE(C25, ""en"", ""sw"")"),"Sahihi")</f>
        <v>Sahihi</v>
      </c>
    </row>
    <row r="26" ht="14.25" customHeight="1">
      <c r="A26" s="12" t="s">
        <v>1031</v>
      </c>
      <c r="B26" s="12" t="s">
        <v>1038</v>
      </c>
      <c r="C26" s="12" t="s">
        <v>1039</v>
      </c>
      <c r="D26" s="12" t="s">
        <v>1040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1041</v>
      </c>
      <c r="C27" s="12" t="s">
        <v>1042</v>
      </c>
      <c r="D27" s="12" t="s">
        <v>1042</v>
      </c>
      <c r="E27" s="12" t="str">
        <f>IFERROR(__xludf.DUMMYFUNCTION("GOOGLETRANSLATE(C27, ""en"", ""sw"")"),"Maana")</f>
        <v>Maana</v>
      </c>
    </row>
    <row r="28" ht="14.25" customHeight="1">
      <c r="A28" s="12" t="s">
        <v>88</v>
      </c>
      <c r="B28" s="12" t="s">
        <v>1043</v>
      </c>
      <c r="C28" s="12" t="s">
        <v>1044</v>
      </c>
      <c r="D28" s="12" t="s">
        <v>1044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1045</v>
      </c>
      <c r="C29" s="12" t="s">
        <v>1046</v>
      </c>
      <c r="D29" s="12" t="s">
        <v>1047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1048</v>
      </c>
      <c r="B30" s="10" t="s">
        <v>1049</v>
      </c>
      <c r="C30" s="10" t="s">
        <v>1050</v>
      </c>
      <c r="D30" s="10" t="s">
        <v>1051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1048</v>
      </c>
      <c r="B31" s="10" t="s">
        <v>1052</v>
      </c>
      <c r="C31" s="10" t="s">
        <v>1053</v>
      </c>
      <c r="D31" s="10" t="s">
        <v>1054</v>
      </c>
      <c r="E31" s="12" t="str">
        <f>IFERROR(__xludf.DUMMYFUNCTION("GOOGLETRANSLATE(C31, ""en"", ""sw"")"),"Mechi ya Mwongozo")</f>
        <v>Mechi ya Mwongozo</v>
      </c>
    </row>
    <row r="32" ht="14.25" customHeight="1">
      <c r="A32" s="10" t="s">
        <v>137</v>
      </c>
      <c r="B32" s="10" t="s">
        <v>1055</v>
      </c>
      <c r="C32" s="10" t="s">
        <v>602</v>
      </c>
      <c r="D32" s="10" t="s">
        <v>1056</v>
      </c>
      <c r="E32" s="12" t="str">
        <f>IFERROR(__xludf.DUMMYFUNCTION("GOOGLETRANSLATE(C32, ""en"", ""sw"")"),"Ongeza safu")</f>
        <v>Ongeza safu</v>
      </c>
    </row>
    <row r="33" ht="14.25" customHeight="1">
      <c r="A33" s="10" t="s">
        <v>137</v>
      </c>
      <c r="B33" s="10" t="s">
        <v>1057</v>
      </c>
      <c r="C33" s="10" t="s">
        <v>603</v>
      </c>
      <c r="D33" s="10" t="s">
        <v>1058</v>
      </c>
      <c r="E33" s="12" t="str">
        <f>IFERROR(__xludf.DUMMYFUNCTION("GOOGLETRANSLATE(C33, ""en"", ""sw"")"),"Ongeza safuwima")</f>
        <v>Ongeza safuwima</v>
      </c>
      <c r="H33" s="8"/>
      <c r="I33" s="8"/>
      <c r="J33" s="8"/>
      <c r="K33" s="8"/>
    </row>
    <row r="34" ht="14.25" customHeight="1">
      <c r="A34" s="10" t="s">
        <v>1059</v>
      </c>
      <c r="B34" s="10" t="s">
        <v>1060</v>
      </c>
      <c r="C34" s="10" t="s">
        <v>1060</v>
      </c>
      <c r="D34" s="10" t="s">
        <v>1061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1059</v>
      </c>
      <c r="B35" s="10" t="s">
        <v>1062</v>
      </c>
      <c r="C35" s="10" t="s">
        <v>1062</v>
      </c>
      <c r="D35" s="10" t="s">
        <v>1063</v>
      </c>
      <c r="E35" s="12" t="str">
        <f>IFERROR(__xludf.DUMMYFUNCTION("GOOGLETRANSLATE(C35, ""en"", ""sw"")"),"Rekebisha vigeu vilivyolingana")</f>
        <v>Rekebisha vigeu vilivyolingana</v>
      </c>
      <c r="I35" s="8"/>
    </row>
    <row r="36" ht="14.25" customHeight="1">
      <c r="A36" s="10" t="s">
        <v>1064</v>
      </c>
      <c r="B36" s="10" t="s">
        <v>142</v>
      </c>
      <c r="C36" s="10" t="s">
        <v>632</v>
      </c>
      <c r="D36" s="8" t="s">
        <v>1065</v>
      </c>
      <c r="E36" s="12" t="str">
        <f>IFERROR(__xludf.DUMMYFUNCTION("GOOGLETRANSLATE(C36, ""en"", ""sw"")"),"Skim")</f>
        <v>Skim</v>
      </c>
      <c r="I36" s="8"/>
    </row>
    <row r="37" ht="14.25" customHeight="1">
      <c r="A37" s="10" t="s">
        <v>1064</v>
      </c>
      <c r="B37" s="10" t="s">
        <v>140</v>
      </c>
      <c r="C37" s="8" t="s">
        <v>630</v>
      </c>
      <c r="D37" s="8" t="s">
        <v>630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1064</v>
      </c>
      <c r="B38" s="10" t="s">
        <v>200</v>
      </c>
      <c r="C38" s="8" t="s">
        <v>1066</v>
      </c>
      <c r="D38" s="8" t="s">
        <v>1067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1064</v>
      </c>
      <c r="B39" s="10" t="s">
        <v>141</v>
      </c>
      <c r="C39" s="8" t="s">
        <v>631</v>
      </c>
      <c r="D39" s="8" t="s">
        <v>1068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1069</v>
      </c>
      <c r="B40" s="10" t="s">
        <v>1070</v>
      </c>
      <c r="C40" s="10" t="s">
        <v>1071</v>
      </c>
      <c r="D40" s="8" t="s">
        <v>1072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1069</v>
      </c>
      <c r="B41" s="10" t="s">
        <v>1073</v>
      </c>
      <c r="C41" s="10" t="s">
        <v>1074</v>
      </c>
      <c r="D41" s="8" t="s">
        <v>1075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234</v>
      </c>
      <c r="B42" s="10" t="s">
        <v>1076</v>
      </c>
      <c r="C42" s="10" t="s">
        <v>1077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234</v>
      </c>
      <c r="B43" s="10" t="s">
        <v>1078</v>
      </c>
      <c r="C43" s="10" t="s">
        <v>1079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1080</v>
      </c>
      <c r="B44" s="10" t="s">
        <v>1081</v>
      </c>
      <c r="C44" s="10" t="s">
        <v>1081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""sw"")"),"Mafunzo yaliyosimamiwa")</f>
        <v>Mafunzo yaliyosimamiwa</v>
      </c>
    </row>
    <row r="45" ht="14.25" customHeight="1">
      <c r="A45" s="10" t="s">
        <v>1082</v>
      </c>
      <c r="B45" s="10" t="s">
        <v>781</v>
      </c>
      <c r="C45" s="10" t="s">
        <v>781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""sw"")"),"Kurudi nyuma")</f>
        <v>Kurudi nyuma</v>
      </c>
    </row>
    <row r="46" ht="14.25" customHeight="1">
      <c r="A46" s="10" t="s">
        <v>1082</v>
      </c>
      <c r="B46" s="10" t="s">
        <v>782</v>
      </c>
      <c r="C46" s="10" t="s">
        <v>782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1082</v>
      </c>
      <c r="B47" s="10" t="s">
        <v>868</v>
      </c>
      <c r="C47" s="10" t="s">
        <v>868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1083</v>
      </c>
      <c r="B48" s="10" t="s">
        <v>1084</v>
      </c>
      <c r="C48" s="10" t="s">
        <v>1084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1083</v>
      </c>
      <c r="B49" s="10" t="s">
        <v>1085</v>
      </c>
      <c r="C49" s="10" t="s">
        <v>1085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""sw"")"),"Utambuzi wa hali isiyo ya kawaida")</f>
        <v>Utambuzi wa hali isiyo ya kawaida</v>
      </c>
    </row>
    <row r="50" ht="14.25" customHeight="1">
      <c r="A50" s="10" t="s">
        <v>1086</v>
      </c>
      <c r="B50" s="10" t="s">
        <v>1087</v>
      </c>
      <c r="C50" s="10" t="s">
        <v>1088</v>
      </c>
      <c r="D50" s="12" t="str">
        <f>IFERROR(__xludf.DUMMYFUNCTION("GOOGLETRANSLATE(C50, ""en"", ""fr"")"),"Laissez tout tomber")</f>
        <v>Laissez tout tomber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1086</v>
      </c>
      <c r="B51" s="10" t="s">
        <v>1089</v>
      </c>
      <c r="C51" s="10" t="s">
        <v>1090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inayokosekana na Maana")</f>
        <v>Kategoria inayokosekana na Maana</v>
      </c>
    </row>
    <row r="52" ht="14.25" customHeight="1">
      <c r="A52" s="10" t="s">
        <v>1086</v>
      </c>
      <c r="B52" s="10" t="s">
        <v>1091</v>
      </c>
      <c r="C52" s="10" t="s">
        <v>1092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inayokosekana na wastani")</f>
        <v>Kategoria inayokosekana na wastani</v>
      </c>
    </row>
    <row r="53" ht="14.25" customHeight="1">
      <c r="A53" s="10" t="s">
        <v>1086</v>
      </c>
      <c r="B53" s="10" t="s">
        <v>1093</v>
      </c>
      <c r="C53" s="10" t="s">
        <v>1094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""sw"")"),"Modi na wastani")</f>
        <v>Modi na wastani</v>
      </c>
    </row>
    <row r="54" ht="14.25" customHeight="1">
      <c r="A54" s="10" t="s">
        <v>1086</v>
      </c>
      <c r="B54" s="10" t="s">
        <v>1095</v>
      </c>
      <c r="C54" s="10" t="s">
        <v>1096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Maana")</f>
        <v>Hali na Maana</v>
      </c>
    </row>
    <row r="55" ht="14.25" customHeight="1">
      <c r="A55" s="10" t="s">
        <v>1086</v>
      </c>
      <c r="B55" s="10" t="s">
        <v>1097</v>
      </c>
      <c r="C55" s="10" t="s">
        <v>1098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""sw"")"),"K-majirani wa karibu")</f>
        <v>K-majirani wa karibu</v>
      </c>
    </row>
    <row r="56" ht="14.25" customHeight="1">
      <c r="A56" s="10" t="s">
        <v>1086</v>
      </c>
      <c r="B56" s="10" t="s">
        <v>1099</v>
      </c>
      <c r="C56" s="10" t="s">
        <v>1100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""sw"")"),"Majirani wa K-karibu zaidi na mfano wa Linear")</f>
        <v>Majirani wa K-karibu zaidi na mfano wa Linear</v>
      </c>
    </row>
    <row r="57" ht="14.25" customHeight="1">
      <c r="A57" s="10" t="s">
        <v>1086</v>
      </c>
      <c r="B57" s="10" t="s">
        <v>1101</v>
      </c>
      <c r="C57" s="10" t="s">
        <v>1102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""sw"")"),"Bagging")</f>
        <v>Bagging</v>
      </c>
    </row>
    <row r="58" ht="14.25" customHeight="1">
      <c r="A58" s="10" t="s">
        <v>296</v>
      </c>
      <c r="B58" s="10" t="s">
        <v>1076</v>
      </c>
      <c r="C58" s="10" t="s">
        <v>1077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296</v>
      </c>
      <c r="B59" s="10" t="s">
        <v>1078</v>
      </c>
      <c r="C59" s="10" t="s">
        <v>1079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1103</v>
      </c>
      <c r="B60" s="10" t="s">
        <v>609</v>
      </c>
      <c r="C60" s="10" t="s">
        <v>609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1104</v>
      </c>
      <c r="B61" s="10" t="s">
        <v>609</v>
      </c>
      <c r="C61" s="10" t="s">
        <v>609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1104</v>
      </c>
      <c r="B62" s="10" t="s">
        <v>868</v>
      </c>
      <c r="C62" s="10" t="s">
        <v>868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1105</v>
      </c>
      <c r="B63" s="10" t="s">
        <v>609</v>
      </c>
      <c r="C63" s="10" t="s">
        <v>609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1106</v>
      </c>
      <c r="B64" s="10" t="s">
        <v>868</v>
      </c>
      <c r="C64" s="10" t="s">
        <v>868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300</v>
      </c>
      <c r="B65" s="10" t="s">
        <v>1107</v>
      </c>
      <c r="C65" s="10" t="s">
        <v>1107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""sw"")"),"Caret")</f>
        <v>Caret</v>
      </c>
    </row>
    <row r="66" ht="14.25" customHeight="1">
      <c r="A66" s="10" t="s">
        <v>300</v>
      </c>
      <c r="B66" s="10" t="s">
        <v>1108</v>
      </c>
      <c r="C66" s="10" t="s">
        <v>1108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1109</v>
      </c>
      <c r="B67" s="10" t="s">
        <v>1110</v>
      </c>
      <c r="C67" s="10" t="s">
        <v>1111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""sw"")"),"Kuchukua sampuli kupita kiasi kwa wachache")</f>
        <v>Kuchukua sampuli kupita kiasi kwa wachache</v>
      </c>
    </row>
    <row r="68" ht="14.25" customHeight="1">
      <c r="A68" s="10" t="s">
        <v>1109</v>
      </c>
      <c r="B68" s="10" t="s">
        <v>1112</v>
      </c>
      <c r="C68" s="10" t="s">
        <v>1113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1109</v>
      </c>
      <c r="B69" s="10" t="s">
        <v>1114</v>
      </c>
      <c r="C69" s="10" t="s">
        <v>1115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""sw"")"),"Mpakani SMOTE")</f>
        <v>Mpakani SMOTE</v>
      </c>
    </row>
    <row r="70" ht="14.25" customHeight="1">
      <c r="A70" s="10" t="s">
        <v>1109</v>
      </c>
      <c r="B70" s="10" t="s">
        <v>1116</v>
      </c>
      <c r="C70" s="10" t="s">
        <v>1117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zinazobadilika")</f>
        <v>Sampuli za sintetiki zinazobadilika</v>
      </c>
    </row>
    <row r="71" ht="14.25" customHeight="1">
      <c r="A71" s="10" t="s">
        <v>1109</v>
      </c>
      <c r="B71" s="10" t="s">
        <v>1118</v>
      </c>
      <c r="C71" s="10" t="s">
        <v>1119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""sw"")"),"Nasibu Zaidi ya Mifano ya Sampuli")</f>
        <v>Nasibu Zaidi ya Mifano ya Sampuli</v>
      </c>
    </row>
    <row r="72" ht="14.25" customHeight="1">
      <c r="A72" s="10" t="s">
        <v>1120</v>
      </c>
      <c r="B72" s="10" t="s">
        <v>1121</v>
      </c>
      <c r="C72" s="10" t="s">
        <v>1122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""sw"")"),"Single (kawaida)")</f>
        <v>Single (kawaida)</v>
      </c>
    </row>
    <row r="73" ht="14.25" customHeight="1">
      <c r="A73" s="10" t="s">
        <v>1120</v>
      </c>
      <c r="B73" s="10" t="s">
        <v>1123</v>
      </c>
      <c r="C73" s="10" t="s">
        <v>1124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1120</v>
      </c>
      <c r="B74" s="10" t="s">
        <v>1125</v>
      </c>
      <c r="C74" s="10" t="s">
        <v>1126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ya makundi")</f>
        <v>Data ya makundi</v>
      </c>
    </row>
    <row r="75" ht="14.25" customHeight="1">
      <c r="A75" s="10" t="s">
        <v>1120</v>
      </c>
      <c r="B75" s="10" t="s">
        <v>1127</v>
      </c>
      <c r="C75" s="10" t="s">
        <v>1128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wakati")</f>
        <v>Mfululizo wa wakati</v>
      </c>
    </row>
    <row r="76" ht="14.25" customHeight="1">
      <c r="A76" s="10" t="s">
        <v>1129</v>
      </c>
      <c r="B76" s="10" t="s">
        <v>1130</v>
      </c>
      <c r="C76" s="10" t="s">
        <v>1130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1129</v>
      </c>
      <c r="B77" s="10" t="s">
        <v>1131</v>
      </c>
      <c r="C77" s="10" t="s">
        <v>1131</v>
      </c>
      <c r="D77" s="10" t="s">
        <v>1131</v>
      </c>
      <c r="E77" s="12" t="str">
        <f>IFERROR(__xludf.DUMMYFUNCTION("GOOGLETRANSLATE(C77, ""en"", ""sw"")"),"AUC")</f>
        <v>AUC</v>
      </c>
    </row>
    <row r="78" ht="14.25" customHeight="1">
      <c r="A78" s="10" t="s">
        <v>1129</v>
      </c>
      <c r="B78" s="10" t="s">
        <v>1132</v>
      </c>
      <c r="C78" s="10" t="s">
        <v>1132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1129</v>
      </c>
      <c r="B79" s="10" t="s">
        <v>1133</v>
      </c>
      <c r="C79" s="10" t="s">
        <v>1133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1134</v>
      </c>
      <c r="B80" s="10" t="s">
        <v>1135</v>
      </c>
      <c r="C80" s="10" t="s">
        <v>1135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1134</v>
      </c>
      <c r="B81" s="10" t="s">
        <v>1136</v>
      </c>
      <c r="C81" s="10" t="s">
        <v>1137</v>
      </c>
      <c r="D81" s="12" t="str">
        <f>IFERROR(__xludf.DUMMYFUNCTION("GOOGLETRANSLATE(C81, ""en"", ""fr"")"),"RSquare")</f>
        <v>RSquare</v>
      </c>
      <c r="E81" s="10" t="s">
        <v>1137</v>
      </c>
    </row>
    <row r="82" ht="14.25" customHeight="1">
      <c r="A82" s="10" t="s">
        <v>1138</v>
      </c>
      <c r="B82" s="10" t="s">
        <v>1139</v>
      </c>
      <c r="C82" s="10" t="s">
        <v>1139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""sw"")"),"Kazi-inaendelea")</f>
        <v>Kazi-inaendelea</v>
      </c>
    </row>
    <row r="83" ht="14.25" customHeight="1">
      <c r="A83" s="10" t="s">
        <v>299</v>
      </c>
      <c r="B83" s="10" t="s">
        <v>782</v>
      </c>
      <c r="C83" s="10" t="s">
        <v>782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298</v>
      </c>
      <c r="B84" s="10" t="s">
        <v>781</v>
      </c>
      <c r="C84" s="10" t="s">
        <v>781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""sw"")"),"Kurudi nyuma")</f>
        <v>Kurudi nyuma</v>
      </c>
    </row>
    <row r="85" ht="14.25" customHeight="1">
      <c r="A85" s="10" t="s">
        <v>258</v>
      </c>
      <c r="B85" s="10" t="s">
        <v>746</v>
      </c>
      <c r="C85" s="10" t="s">
        <v>746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""sw"")"),"Bila kusimamiwa")</f>
        <v>Bila kusimamiwa</v>
      </c>
    </row>
    <row r="86" ht="14.25" customHeight="1">
      <c r="A86" s="10" t="s">
        <v>1140</v>
      </c>
      <c r="B86" s="10" t="s">
        <v>1141</v>
      </c>
      <c r="C86" s="10" t="s">
        <v>1142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1140</v>
      </c>
      <c r="B87" s="10" t="s">
        <v>1143</v>
      </c>
      <c r="C87" s="10" t="s">
        <v>1144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1140</v>
      </c>
      <c r="B88" s="10" t="s">
        <v>1145</v>
      </c>
      <c r="C88" s="10" t="s">
        <v>1146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inayobadilika")</f>
        <v>CV inayobadilika</v>
      </c>
    </row>
    <row r="89" ht="14.25" customHeight="1">
      <c r="A89" s="10" t="s">
        <v>1140</v>
      </c>
      <c r="B89" s="10" t="s">
        <v>1147</v>
      </c>
      <c r="C89" s="10" t="s">
        <v>1147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1140</v>
      </c>
      <c r="B90" s="10" t="s">
        <v>1148</v>
      </c>
      <c r="C90" s="10" t="s">
        <v>1148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1140</v>
      </c>
      <c r="B91" s="10" t="s">
        <v>1149</v>
      </c>
      <c r="C91" s="10" t="s">
        <v>1150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inayobadilika")</f>
        <v>LGOCV inayobadilika</v>
      </c>
    </row>
    <row r="92" ht="14.25" customHeight="1">
      <c r="A92" s="10" t="s">
        <v>1140</v>
      </c>
      <c r="B92" s="10" t="s">
        <v>1151</v>
      </c>
      <c r="C92" s="10" t="s">
        <v>1152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""sw"")"),"Bootstrap")</f>
        <v>Bootstrap</v>
      </c>
    </row>
    <row r="93" ht="14.25" customHeight="1">
      <c r="A93" s="10" t="s">
        <v>1140</v>
      </c>
      <c r="B93" s="10" t="s">
        <v>1153</v>
      </c>
      <c r="C93" s="10" t="s">
        <v>1154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1140</v>
      </c>
      <c r="B94" s="10" t="s">
        <v>1155</v>
      </c>
      <c r="C94" s="10" t="s">
        <v>1156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""sw"")"),"Optimism bootstrap")</f>
        <v>Optimism bootstrap</v>
      </c>
    </row>
    <row r="95" ht="14.25" customHeight="1">
      <c r="A95" s="10" t="s">
        <v>1140</v>
      </c>
      <c r="B95" s="10" t="s">
        <v>1157</v>
      </c>
      <c r="C95" s="10" t="s">
        <v>1158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wote")</f>
        <v>Bootsrap wote</v>
      </c>
    </row>
    <row r="96" ht="14.25" customHeight="1">
      <c r="A96" s="10" t="s">
        <v>1140</v>
      </c>
      <c r="B96" s="10" t="s">
        <v>1159</v>
      </c>
      <c r="C96" s="10" t="s">
        <v>1160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boot unaobadilika")</f>
        <v>Mkanda wa boot unaobadilika</v>
      </c>
    </row>
    <row r="97" ht="14.25" customHeight="1">
      <c r="A97" s="10" t="s">
        <v>1161</v>
      </c>
      <c r="B97" s="10" t="s">
        <v>1139</v>
      </c>
      <c r="C97" s="10" t="s">
        <v>1139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""sw"")"),"Kazi-inaendelea")</f>
        <v>Kazi-inaendelea</v>
      </c>
    </row>
    <row r="98" ht="14.25" customHeight="1">
      <c r="A98" s="10" t="s">
        <v>1162</v>
      </c>
      <c r="B98" s="10" t="s">
        <v>1139</v>
      </c>
      <c r="C98" s="10" t="s">
        <v>1139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""sw"")"),"Kazi-inaendelea")</f>
        <v>Kazi-inaendelea</v>
      </c>
    </row>
    <row r="99" ht="14.25" customHeight="1">
      <c r="A99" s="10" t="s">
        <v>1163</v>
      </c>
      <c r="B99" s="10" t="s">
        <v>1139</v>
      </c>
      <c r="C99" s="10" t="s">
        <v>1139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""sw"")"),"Kazi-inaendelea")</f>
        <v>Kazi-inaendelea</v>
      </c>
    </row>
    <row r="100" ht="14.25" customHeight="1">
      <c r="A100" s="10" t="s">
        <v>1164</v>
      </c>
      <c r="B100" s="10" t="s">
        <v>1165</v>
      </c>
      <c r="C100" s="10" t="s">
        <v>838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1164</v>
      </c>
      <c r="B101" s="10" t="s">
        <v>1166</v>
      </c>
      <c r="C101" s="10" t="s">
        <v>1167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gradient")</f>
        <v>Kuongeza gradient</v>
      </c>
    </row>
    <row r="102" ht="14.25" customHeight="1">
      <c r="A102" s="10" t="s">
        <v>1164</v>
      </c>
      <c r="B102" s="10" t="s">
        <v>1097</v>
      </c>
      <c r="C102" s="10" t="s">
        <v>1168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""sw"")"),"K-majirani wa karibu")</f>
        <v>K-majirani wa karibu</v>
      </c>
    </row>
    <row r="103" ht="14.25" customHeight="1">
      <c r="A103" s="10" t="s">
        <v>1164</v>
      </c>
      <c r="B103" s="10" t="s">
        <v>1169</v>
      </c>
      <c r="C103" s="10" t="s">
        <v>1170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1164</v>
      </c>
      <c r="B104" s="10" t="s">
        <v>1171</v>
      </c>
      <c r="C104" s="10" t="s">
        <v>1172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1173</v>
      </c>
      <c r="B105" s="10" t="s">
        <v>1165</v>
      </c>
      <c r="C105" s="10" t="s">
        <v>838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1173</v>
      </c>
      <c r="B106" s="10" t="s">
        <v>1166</v>
      </c>
      <c r="C106" s="10" t="s">
        <v>1167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gradient")</f>
        <v>Kuongeza gradient</v>
      </c>
    </row>
    <row r="107" ht="14.25" customHeight="1">
      <c r="A107" s="10" t="s">
        <v>1173</v>
      </c>
      <c r="B107" s="10" t="s">
        <v>1097</v>
      </c>
      <c r="C107" s="10" t="s">
        <v>1168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""sw"")"),"K-majirani wa karibu")</f>
        <v>K-majirani wa karibu</v>
      </c>
    </row>
    <row r="108" ht="14.25" customHeight="1">
      <c r="A108" s="10" t="s">
        <v>1173</v>
      </c>
      <c r="B108" s="10" t="s">
        <v>1169</v>
      </c>
      <c r="C108" s="10" t="s">
        <v>1170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1173</v>
      </c>
      <c r="B109" s="10" t="s">
        <v>1171</v>
      </c>
      <c r="C109" s="10" t="s">
        <v>1172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1174</v>
      </c>
      <c r="B110" s="10" t="s">
        <v>1175</v>
      </c>
      <c r="C110" s="10" t="s">
        <v>1176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1174</v>
      </c>
      <c r="B111" s="10" t="s">
        <v>1110</v>
      </c>
      <c r="C111" s="10" t="s">
        <v>1177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1178</v>
      </c>
      <c r="B112" s="10" t="s">
        <v>1169</v>
      </c>
      <c r="C112" s="10" t="s">
        <v>1179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1180</v>
      </c>
      <c r="B113" s="10" t="s">
        <v>1171</v>
      </c>
      <c r="C113" s="10" t="s">
        <v>1172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1181</v>
      </c>
      <c r="B114" s="13" t="s">
        <v>1182</v>
      </c>
      <c r="C114" s="10" t="s">
        <v>1183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""sw"")"),"Muundo wa vifaa vingi")</f>
        <v>Muundo wa vifaa vingi</v>
      </c>
    </row>
    <row r="115" ht="14.25" customHeight="1">
      <c r="A115" s="10" t="s">
        <v>354</v>
      </c>
      <c r="B115" s="13" t="s">
        <v>1184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354</v>
      </c>
      <c r="B116" s="13" t="s">
        <v>1185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358</v>
      </c>
      <c r="B117" s="10" t="s">
        <v>1165</v>
      </c>
      <c r="C117" s="10" t="s">
        <v>1186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wa nasibu")</f>
        <v>Msitu wa nasibu</v>
      </c>
    </row>
    <row r="118" ht="14.25" customHeight="1">
      <c r="A118" s="10" t="s">
        <v>1187</v>
      </c>
      <c r="B118" s="10" t="s">
        <v>1166</v>
      </c>
      <c r="C118" s="10" t="s">
        <v>1188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gradient")</f>
        <v>Mashine ya kuongeza gradient</v>
      </c>
    </row>
    <row r="119" ht="14.25" customHeight="1">
      <c r="A119" s="10" t="s">
        <v>1189</v>
      </c>
      <c r="B119" s="10" t="s">
        <v>1190</v>
      </c>
      <c r="C119" s="10" t="s">
        <v>1191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""sw"")"),"Uongezaji wa gradient uliokithiri")</f>
        <v>Uongezaji wa gradient uliokithiri</v>
      </c>
    </row>
    <row r="120" ht="14.25" customHeight="1">
      <c r="A120" s="10" t="s">
        <v>1192</v>
      </c>
      <c r="B120" s="10" t="s">
        <v>1193</v>
      </c>
      <c r="C120" s="10" t="s">
        <v>1194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""sw"")"),"Ukuzaji wa Kiwango cha Juu Zaidi (Kuadhibiwa)")</f>
        <v>Ukuzaji wa Kiwango cha Juu Zaidi (Kuadhibiwa)</v>
      </c>
    </row>
    <row r="121" ht="14.25" customHeight="1">
      <c r="A121" s="10" t="s">
        <v>1195</v>
      </c>
      <c r="B121" s="10" t="s">
        <v>1196</v>
      </c>
      <c r="C121" s="10" t="s">
        <v>1197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(Kernel ya Kazi ya Msingi wa Radi)")</f>
        <v>SVM (Kernel ya Kazi ya Msingi wa Radi)</v>
      </c>
    </row>
    <row r="122" ht="14.25" customHeight="1">
      <c r="A122" s="10" t="s">
        <v>1198</v>
      </c>
      <c r="B122" s="10" t="s">
        <v>1199</v>
      </c>
      <c r="C122" s="10" t="s">
        <v>1200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iliyodhibitiwa (mbili) na Kernel ya Linear")</f>
        <v>SVM iliyodhibitiwa (mbili) na Kernel ya Linear</v>
      </c>
    </row>
    <row r="123" ht="14.25" customHeight="1">
      <c r="A123" s="10" t="s">
        <v>1201</v>
      </c>
      <c r="B123" s="10" t="s">
        <v>1202</v>
      </c>
      <c r="C123" s="10" t="s">
        <v>1203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Polynomial Kernel")</f>
        <v>SVM yenye Polynomial Kernel</v>
      </c>
    </row>
    <row r="124" ht="14.25" customHeight="1">
      <c r="A124" s="10" t="s">
        <v>1204</v>
      </c>
      <c r="B124" s="10" t="s">
        <v>1205</v>
      </c>
      <c r="C124" s="10" t="s">
        <v>1206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wa elastic")</f>
        <v>Wavu wa elastic</v>
      </c>
    </row>
    <row r="125" ht="14.25" customHeight="1">
      <c r="A125" s="10" t="s">
        <v>1207</v>
      </c>
      <c r="B125" s="10" t="s">
        <v>1205</v>
      </c>
      <c r="C125" s="10" t="s">
        <v>1208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1209</v>
      </c>
      <c r="B126" s="10" t="s">
        <v>1205</v>
      </c>
      <c r="C126" s="10" t="s">
        <v>1210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""sw"")"),"Ridge")</f>
        <v>Ridge</v>
      </c>
    </row>
    <row r="127" ht="14.25" customHeight="1">
      <c r="A127" s="10" t="s">
        <v>1211</v>
      </c>
      <c r="B127" s="10" t="s">
        <v>1097</v>
      </c>
      <c r="C127" s="10" t="s">
        <v>1212</v>
      </c>
      <c r="D127" s="12" t="str">
        <f>IFERROR(__xludf.DUMMYFUNCTION("GOOGLETRANSLATE(C127, ""en"", ""fr"")"),"k plus proches voisins")</f>
        <v>k plus proches voisins</v>
      </c>
      <c r="E127" s="12" t="str">
        <f>IFERROR(__xludf.DUMMYFUNCTION("GOOGLETRANSLATE(C127, ""en"", ""sw"")"),"k-Majirani wa Karibu")</f>
        <v>k-Majirani wa Karibu</v>
      </c>
    </row>
    <row r="128" ht="14.25" customHeight="1">
      <c r="A128" s="10" t="s">
        <v>1213</v>
      </c>
      <c r="B128" s="10" t="s">
        <v>1214</v>
      </c>
      <c r="C128" s="10" t="s">
        <v>1215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Neural")</f>
        <v>Mtandao wa Neural</v>
      </c>
    </row>
    <row r="129" ht="14.25" customHeight="1">
      <c r="A129" s="10" t="s">
        <v>38</v>
      </c>
      <c r="B129" s="10" t="s">
        <v>1216</v>
      </c>
      <c r="C129" s="10" t="s">
        <v>1217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""sw"")"),"Chaguomsingi (mandhari_kijivu)")</f>
        <v>Chaguomsingi (mandhari_kijivu)</v>
      </c>
    </row>
    <row r="130" ht="14.25" customHeight="1">
      <c r="A130" s="10" t="s">
        <v>38</v>
      </c>
      <c r="B130" s="10" t="s">
        <v>1218</v>
      </c>
      <c r="C130" s="10" t="s">
        <v>1219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(mandhari_bw)")</f>
        <v>Nyeusi na Nyeupe (mandhari_bw)</v>
      </c>
    </row>
    <row r="131" ht="14.25" customHeight="1">
      <c r="A131" s="10" t="s">
        <v>38</v>
      </c>
      <c r="B131" s="10" t="s">
        <v>1220</v>
      </c>
      <c r="C131" s="10" t="s">
        <v>1221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""sw"")"),"Classic (theme_classic)")</f>
        <v>Classic (theme_classic)</v>
      </c>
    </row>
    <row r="132" ht="14.25" customHeight="1">
      <c r="A132" s="10" t="s">
        <v>38</v>
      </c>
      <c r="B132" s="10" t="s">
        <v>1222</v>
      </c>
      <c r="C132" s="10" t="s">
        <v>1223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""sw"")"),"Ndogo (mandhari_ndogo)")</f>
        <v>Ndogo (mandhari_ndogo)</v>
      </c>
    </row>
    <row r="133" ht="14.25" customHeight="1">
      <c r="A133" s="10" t="s">
        <v>38</v>
      </c>
      <c r="B133" s="10" t="s">
        <v>1224</v>
      </c>
      <c r="C133" s="10" t="s">
        <v>1225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(theme_light)")</f>
        <v>Mwanga (theme_light)</v>
      </c>
    </row>
    <row r="134" ht="14.25" customHeight="1">
      <c r="A134" s="10" t="s">
        <v>38</v>
      </c>
      <c r="B134" s="10" t="s">
        <v>1226</v>
      </c>
      <c r="C134" s="10" t="s">
        <v>1227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(mandhari_giza)")</f>
        <v>Giza (mandhari_giza)</v>
      </c>
    </row>
    <row r="135" ht="14.25" customHeight="1">
      <c r="A135" s="10" t="s">
        <v>38</v>
      </c>
      <c r="B135" s="10" t="s">
        <v>1228</v>
      </c>
      <c r="C135" s="10" t="s">
        <v>1229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""sw"")"),"Chora mstari (mandhari_chora mstari)")</f>
        <v>Chora mstari (mandhari_chora mstari)</v>
      </c>
    </row>
    <row r="136" ht="14.25" customHeight="1">
      <c r="A136" s="10" t="s">
        <v>38</v>
      </c>
      <c r="B136" s="10" t="s">
        <v>1230</v>
      </c>
      <c r="C136" s="10" t="s">
        <v>1231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1232</v>
      </c>
      <c r="C137" s="10" t="s">
        <v>1233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(theme_test)")</f>
        <v>Jaribio (theme_test)</v>
      </c>
    </row>
    <row r="138" ht="14.25" customHeight="1">
      <c r="A138" s="10" t="s">
        <v>410</v>
      </c>
      <c r="B138" s="10" t="s">
        <v>1002</v>
      </c>
      <c r="C138" s="10" t="s">
        <v>1234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""sw"")"),"Mifano zote")</f>
        <v>Mifano zote</v>
      </c>
    </row>
    <row r="139" ht="14.25" customHeight="1">
      <c r="A139" s="10" t="s">
        <v>410</v>
      </c>
      <c r="B139" s="10" t="s">
        <v>1235</v>
      </c>
      <c r="C139" s="10" t="s">
        <v>1235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mifano")</f>
        <v>Chagua mifano</v>
      </c>
    </row>
    <row r="140" ht="14.25" customHeight="1">
      <c r="A140" s="10" t="s">
        <v>441</v>
      </c>
      <c r="B140" s="10" t="s">
        <v>7</v>
      </c>
      <c r="C140" s="10" t="s">
        <v>502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441</v>
      </c>
      <c r="B141" s="10" t="s">
        <v>1236</v>
      </c>
      <c r="C141" s="10" t="s">
        <v>1237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>
      <c r="A142" s="10" t="s">
        <v>1238</v>
      </c>
      <c r="B142" s="10" t="s">
        <v>1239</v>
      </c>
      <c r="C142" s="10" t="s">
        <v>1240</v>
      </c>
      <c r="D142" s="12" t="str">
        <f>IFERROR(__xludf.DUMMYFUNCTION("GOOGLETRANSLATE(C142, ""en"", ""fr"")"),"Chariot à sacs")</f>
        <v>Chariot à sacs</v>
      </c>
      <c r="E142" s="12" t="str">
        <f>IFERROR(__xludf.DUMMYFUNCTION("GOOGLETRANSLATE(C142, ""en"", ""sw"")"),"Mkokoteni wenye Mkoba")</f>
        <v>Mkokoteni wenye Mkoba</v>
      </c>
    </row>
    <row r="143" ht="14.25" customHeight="1">
      <c r="A143" s="10" t="s">
        <v>1241</v>
      </c>
      <c r="B143" s="10" t="s">
        <v>1242</v>
      </c>
      <c r="C143" s="10" t="s">
        <v>1243</v>
      </c>
      <c r="D143" s="12" t="str">
        <f>IFERROR(__xludf.DUMMYFUNCTION("GOOGLETRANSLATE(C143, ""en"", ""fr"")"),"Réseau neuronal moyenné par modèle")</f>
        <v>Réseau neuronal moyenné par modèle</v>
      </c>
      <c r="E143" s="12" t="str">
        <f>IFERROR(__xludf.DUMMYFUNCTION("GOOGLETRANSLATE(C143, ""en"", ""sw"")"),"Muundo Wastani wa Mtandao wa Neural")</f>
        <v>Muundo Wastani wa Mtandao wa Neural</v>
      </c>
    </row>
    <row r="144" ht="14.25" customHeight="1">
      <c r="A144" s="10" t="s">
        <v>493</v>
      </c>
      <c r="B144" s="13" t="s">
        <v>1184</v>
      </c>
      <c r="C144" s="10" t="b">
        <v>1</v>
      </c>
      <c r="D144" s="12" t="str">
        <f>IFERROR(__xludf.DUMMYFUNCTION("GOOGLETRANSLATE(C144, ""en"", ""fr"")"),"VRAI")</f>
        <v>VRAI</v>
      </c>
      <c r="E144" s="12" t="str">
        <f>IFERROR(__xludf.DUMMYFUNCTION("GOOGLETRANSLATE(C144, ""en"", ""sw"")"),"KWELI")</f>
        <v>KWELI</v>
      </c>
    </row>
    <row r="145" ht="14.25" customHeight="1">
      <c r="A145" s="10" t="s">
        <v>493</v>
      </c>
      <c r="B145" s="13" t="s">
        <v>1185</v>
      </c>
      <c r="C145" s="10" t="b">
        <v>0</v>
      </c>
      <c r="D145" s="12" t="str">
        <f>IFERROR(__xludf.DUMMYFUNCTION("GOOGLETRANSLATE(C145, ""en"", ""fr"")"),"FAUX")</f>
        <v>FAUX</v>
      </c>
      <c r="E145" s="12" t="str">
        <f>IFERROR(__xludf.DUMMYFUNCTION("GOOGLETRANSLATE(C145, ""en"", ""sw"")"),"UONGO")</f>
        <v>UONGO</v>
      </c>
    </row>
    <row r="146" ht="14.25" customHeight="1">
      <c r="A146" s="10" t="s">
        <v>1244</v>
      </c>
      <c r="B146" s="10" t="s">
        <v>1245</v>
      </c>
      <c r="C146" s="10" t="s">
        <v>1246</v>
      </c>
      <c r="D146" s="12" t="str">
        <f>IFERROR(__xludf.DUMMYFUNCTION("GOOGLETRANSLATE(C146, ""en"", ""fr"")"),"Moindres carrés partiels")</f>
        <v>Moindres carrés partiels</v>
      </c>
      <c r="E146" s="12" t="str">
        <f>IFERROR(__xludf.DUMMYFUNCTION("GOOGLETRANSLATE(C146, ""en"", ""sw"")"),"Viwanja Vidogo Vidogo")</f>
        <v>Viwanja Vidogo Vidogo</v>
      </c>
    </row>
    <row r="147" ht="14.25" customHeight="1">
      <c r="A147" s="10" t="s">
        <v>1247</v>
      </c>
      <c r="B147" s="10" t="s">
        <v>1248</v>
      </c>
      <c r="C147" s="10" t="s">
        <v>1249</v>
      </c>
      <c r="D147" s="12" t="str">
        <f>IFERROR(__xludf.DUMMYFUNCTION("GOOGLETRANSLATE(C147, ""en"", ""fr"")"),"Modèle additif généralisé utilisant des splines")</f>
        <v>Modèle additif généralisé utilisant des splines</v>
      </c>
      <c r="E147" s="12" t="str">
        <f>IFERROR(__xludf.DUMMYFUNCTION("GOOGLETRANSLATE(C147, ""en"", ""sw"")"),"Muundo wa Nyongeza wa Jumla kwa kutumia Splines")</f>
        <v>Muundo wa Nyongeza wa Jumla kwa kutumia Splines</v>
      </c>
    </row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1250</v>
      </c>
    </row>
    <row r="2" ht="14.25" customHeight="1">
      <c r="A2" s="12" t="s">
        <v>1251</v>
      </c>
    </row>
    <row r="3" ht="14.25" customHeight="1">
      <c r="A3" s="12" t="s">
        <v>1252</v>
      </c>
    </row>
    <row r="4" ht="14.25" customHeight="1">
      <c r="A4" s="12" t="s">
        <v>1253</v>
      </c>
    </row>
    <row r="5" ht="14.25" customHeight="1">
      <c r="A5" s="12" t="s">
        <v>1254</v>
      </c>
    </row>
    <row r="6" ht="14.25" customHeight="1">
      <c r="A6" s="12" t="s">
        <v>1255</v>
      </c>
    </row>
    <row r="7" ht="14.25" customHeight="1">
      <c r="A7" s="12" t="s">
        <v>1256</v>
      </c>
    </row>
    <row r="8" ht="14.25" customHeight="1">
      <c r="A8" s="12" t="s">
        <v>1257</v>
      </c>
    </row>
    <row r="9" ht="14.25" customHeight="1">
      <c r="A9" s="12" t="s">
        <v>1258</v>
      </c>
    </row>
    <row r="10" ht="14.25" customHeight="1">
      <c r="A10" s="12" t="s">
        <v>1259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1260</v>
      </c>
    </row>
    <row r="2" ht="14.25" customHeight="1">
      <c r="A2" s="12" t="s">
        <v>1008</v>
      </c>
    </row>
    <row r="3" ht="14.25" customHeight="1">
      <c r="A3" s="12" t="s">
        <v>1007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989</v>
      </c>
      <c r="B1" s="10" t="s">
        <v>1261</v>
      </c>
    </row>
    <row r="2">
      <c r="A2" s="10" t="s">
        <v>1262</v>
      </c>
      <c r="B2" s="10" t="s">
        <v>1263</v>
      </c>
    </row>
    <row r="3">
      <c r="A3" s="10" t="s">
        <v>1264</v>
      </c>
      <c r="B3" s="10" t="s">
        <v>1265</v>
      </c>
    </row>
    <row r="4">
      <c r="A4" s="10" t="s">
        <v>250</v>
      </c>
      <c r="B4" s="10" t="s">
        <v>1266</v>
      </c>
    </row>
    <row r="5">
      <c r="A5" s="10" t="s">
        <v>246</v>
      </c>
      <c r="B5" s="10" t="s">
        <v>1267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