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ber\Desktop\excel-challenge\"/>
    </mc:Choice>
  </mc:AlternateContent>
  <xr:revisionPtr revIDLastSave="0" documentId="13_ncr:1_{A641D04D-43B7-457D-9908-F19353D774F3}" xr6:coauthVersionLast="45" xr6:coauthVersionMax="45" xr10:uidLastSave="{00000000-0000-0000-0000-000000000000}"/>
  <bookViews>
    <workbookView xWindow="-120" yWindow="-120" windowWidth="25440" windowHeight="15390" activeTab="3" xr2:uid="{00000000-000D-0000-FFFF-FFFF00000000}"/>
  </bookViews>
  <sheets>
    <sheet name="Pivot_Category" sheetId="2" r:id="rId1"/>
    <sheet name="Pivot_Sub-Category" sheetId="4" r:id="rId2"/>
    <sheet name="Pivot_Date" sheetId="6" r:id="rId3"/>
    <sheet name="Sheet1" sheetId="1" r:id="rId4"/>
    <sheet name="Bonus" sheetId="7" r:id="rId5"/>
    <sheet name="Bonus Stat. Analysis" sheetId="8" r:id="rId6"/>
  </sheets>
  <definedNames>
    <definedName name="_xlnm._FilterDatabase" localSheetId="3" hidden="1">Sheet1!$A$1:$T$4115</definedName>
    <definedName name="_xlchart.v1.0" hidden="1">'Bonus Stat. Analysis'!$B$2:$B$2186</definedName>
    <definedName name="_xlchart.v1.1" hidden="1">'Bonus Stat. Analysis'!$F$2:$F$1531</definedName>
    <definedName name="_xlchart.v1.2" hidden="1">'Bonus Stat. Analysis'!$F$2:$F$1531</definedName>
    <definedName name="_xlchart.v1.3" hidden="1">'Bonus Stat. Analysis'!$F$2:$F$1531</definedName>
    <definedName name="_xlchart.v1.4" hidden="1">'Bonus Stat. Analysis'!$B$2:$B$2186</definedName>
    <definedName name="_xlchart.v1.5" hidden="1">'Bonus Stat. Analysis'!$F$2:$F$1531</definedName>
    <definedName name="backers_count">Sheet1!$L$2:$L$4115</definedName>
    <definedName name="Backers_failed">'Bonus Stat. Analysis'!$F$2:$F$1531</definedName>
    <definedName name="Backers_Successful">'Bonus Stat. Analysis'!$B$2:$B$2186</definedName>
    <definedName name="goal">Sheet1!$D$2:$D$4115</definedName>
    <definedName name="state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3" i="8" l="1"/>
  <c r="Q12" i="8"/>
  <c r="L13" i="8"/>
  <c r="L12" i="8"/>
  <c r="Q11" i="8"/>
  <c r="Q10" i="8"/>
  <c r="Q9" i="8"/>
  <c r="L11" i="8"/>
  <c r="L10" i="8"/>
  <c r="L9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8" i="8" l="1"/>
  <c r="Q7" i="8"/>
  <c r="Q6" i="8"/>
  <c r="Q5" i="8"/>
  <c r="Q4" i="8"/>
  <c r="Q3" i="8"/>
  <c r="L8" i="8"/>
  <c r="L7" i="8"/>
  <c r="L6" i="8"/>
  <c r="L5" i="8"/>
  <c r="L4" i="8"/>
  <c r="L3" i="8"/>
  <c r="D13" i="7"/>
  <c r="D12" i="7"/>
  <c r="D11" i="7"/>
  <c r="D10" i="7"/>
  <c r="D9" i="7"/>
  <c r="D8" i="7"/>
  <c r="D7" i="7"/>
  <c r="D6" i="7"/>
  <c r="D5" i="7"/>
  <c r="D4" i="7"/>
  <c r="D3" i="7"/>
  <c r="B2" i="7"/>
  <c r="C2" i="7"/>
  <c r="D2" i="7"/>
  <c r="C1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B13" i="7"/>
  <c r="E8" i="7" l="1"/>
  <c r="H8" i="7" s="1"/>
  <c r="E7" i="7"/>
  <c r="E9" i="7"/>
  <c r="H9" i="7" s="1"/>
  <c r="E10" i="7"/>
  <c r="H10" i="7" s="1"/>
  <c r="E2" i="7"/>
  <c r="G2" i="7" s="1"/>
  <c r="H7" i="7"/>
  <c r="G7" i="7"/>
  <c r="G8" i="7"/>
  <c r="E6" i="7"/>
  <c r="G6" i="7" s="1"/>
  <c r="E13" i="7"/>
  <c r="F13" i="7" s="1"/>
  <c r="E5" i="7"/>
  <c r="G5" i="7" s="1"/>
  <c r="E12" i="7"/>
  <c r="G12" i="7" s="1"/>
  <c r="E4" i="7"/>
  <c r="H4" i="7" s="1"/>
  <c r="F8" i="7"/>
  <c r="E11" i="7"/>
  <c r="F11" i="7" s="1"/>
  <c r="E3" i="7"/>
  <c r="F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7" l="1"/>
  <c r="G10" i="7"/>
  <c r="H13" i="7"/>
  <c r="F9" i="7"/>
  <c r="H12" i="7"/>
  <c r="F12" i="7"/>
  <c r="F2" i="7"/>
  <c r="G9" i="7"/>
  <c r="G13" i="7"/>
  <c r="F6" i="7"/>
  <c r="H2" i="7"/>
  <c r="H5" i="7"/>
  <c r="F4" i="7"/>
  <c r="G11" i="7"/>
  <c r="H11" i="7"/>
  <c r="G3" i="7"/>
  <c r="H3" i="7"/>
  <c r="H6" i="7"/>
  <c r="F5" i="7"/>
  <c r="G4" i="7"/>
</calcChain>
</file>

<file path=xl/sharedStrings.xml><?xml version="1.0" encoding="utf-8"?>
<sst xmlns="http://schemas.openxmlformats.org/spreadsheetml/2006/main" count="28564" uniqueCount="8416">
  <si>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</si>
  <si>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</si>
  <si>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</si>
  <si>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</si>
  <si>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</si>
  <si>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</si>
  <si>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</si>
  <si>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</si>
  <si>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</si>
  <si>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</si>
  <si>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</si>
  <si>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</si>
  <si>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</si>
  <si>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</si>
  <si>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</si>
  <si>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</si>
  <si>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</si>
  <si>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</si>
  <si>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</si>
  <si>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</si>
  <si>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</si>
  <si>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</si>
  <si>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</si>
  <si>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</si>
  <si>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</si>
  <si>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</si>
  <si>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</si>
  <si>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</si>
  <si>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</si>
  <si>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</si>
  <si>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</si>
  <si>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</si>
  <si>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</si>
  <si>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</si>
  <si>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</si>
  <si>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</si>
  <si>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</si>
  <si>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</si>
  <si>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</si>
  <si>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</si>
  <si>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</si>
  <si>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</si>
  <si>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</si>
  <si>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</si>
  <si>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</si>
  <si>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</si>
  <si>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</si>
  <si>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</si>
  <si>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</si>
  <si>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</si>
  <si>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</si>
  <si>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</si>
  <si>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</si>
  <si>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</si>
  <si>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</si>
  <si>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</si>
  <si>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</si>
  <si>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</si>
  <si>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</si>
  <si>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</si>
  <si>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</si>
  <si>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</si>
  <si>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</si>
  <si>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</si>
  <si>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</si>
  <si>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</si>
  <si>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</si>
  <si>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</si>
  <si>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</si>
  <si>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</si>
  <si>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</si>
  <si>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</si>
  <si>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</si>
  <si>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</si>
  <si>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</si>
  <si>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</si>
  <si>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</si>
  <si>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</si>
  <si>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</si>
  <si>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</si>
  <si>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</si>
  <si>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</si>
  <si>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</si>
  <si>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</si>
  <si>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</si>
  <si>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</si>
  <si>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</si>
  <si>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</si>
  <si>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</si>
  <si>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</si>
  <si>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</si>
  <si>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</si>
  <si>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</si>
  <si>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</si>
  <si>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</si>
  <si>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</si>
  <si>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</si>
  <si>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</si>
  <si>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</si>
  <si>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</si>
  <si>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</si>
  <si>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</si>
  <si>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</si>
  <si>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</si>
  <si>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</si>
  <si>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</si>
  <si>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</si>
  <si>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</si>
  <si>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</si>
  <si>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</si>
  <si>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</si>
  <si>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</si>
  <si>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</si>
  <si>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</si>
  <si>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</si>
  <si>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</si>
  <si>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</si>
  <si>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</si>
  <si>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</si>
  <si>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</si>
  <si>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</si>
  <si>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</si>
  <si>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</si>
  <si>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</si>
  <si>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</si>
  <si>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</si>
  <si>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</si>
  <si>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</si>
  <si>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</si>
  <si>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</si>
  <si>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</si>
  <si>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</si>
  <si>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</si>
  <si>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</si>
  <si>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</si>
  <si>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</si>
  <si>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</si>
  <si>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</si>
  <si>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</si>
  <si>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</si>
  <si>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</si>
  <si>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</si>
  <si>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</si>
  <si>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</si>
  <si>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</si>
  <si>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</si>
  <si>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</si>
  <si>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</si>
  <si>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</si>
  <si>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</si>
  <si>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</si>
  <si>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</si>
  <si>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</si>
  <si>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</si>
  <si>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</si>
  <si>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</si>
  <si>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</si>
  <si>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</si>
  <si>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</si>
  <si>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</si>
  <si>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</si>
  <si>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</si>
  <si>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</si>
  <si>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</si>
  <si>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</si>
  <si>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</si>
  <si>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</si>
  <si>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</si>
  <si>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</si>
  <si>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</si>
  <si>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</si>
  <si>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</si>
  <si>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</si>
  <si>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</si>
  <si>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</si>
  <si>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</si>
  <si>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</si>
  <si>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</si>
  <si>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</si>
  <si>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</si>
  <si>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</si>
  <si>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</si>
  <si>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</si>
  <si>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</si>
  <si>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</si>
  <si>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</si>
  <si>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</si>
  <si>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</si>
  <si>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</si>
  <si>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</si>
  <si>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</si>
  <si>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</si>
  <si>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</si>
  <si>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</si>
  <si>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</si>
  <si>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</si>
  <si>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</si>
  <si>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</si>
  <si>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</si>
  <si>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</si>
  <si>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</si>
  <si>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</si>
  <si>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</si>
  <si>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</si>
  <si>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</si>
  <si>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</si>
  <si>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</si>
  <si>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</si>
  <si>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</si>
  <si>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</si>
  <si>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</si>
  <si>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</si>
  <si>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</si>
  <si>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</si>
  <si>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</si>
  <si>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</si>
  <si>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</si>
  <si>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</si>
  <si>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</si>
  <si>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</si>
  <si>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</si>
  <si>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</si>
  <si>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</si>
  <si>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</si>
  <si>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</si>
  <si>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</si>
  <si>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</si>
  <si>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</si>
  <si>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</si>
  <si>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</si>
  <si>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</si>
  <si>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</si>
  <si>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</si>
  <si>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</si>
  <si>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</si>
  <si>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</si>
  <si>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</si>
  <si>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</si>
  <si>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</si>
  <si>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</si>
  <si>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</si>
  <si>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</si>
  <si>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</si>
  <si>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</si>
  <si>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</si>
  <si>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</si>
  <si>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</si>
  <si>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</si>
  <si>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</si>
  <si>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</si>
  <si>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</si>
  <si>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</si>
  <si>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</si>
  <si>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</si>
  <si>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</si>
  <si>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</si>
  <si>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</si>
  <si>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</si>
  <si>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</si>
  <si>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</si>
  <si>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</si>
  <si>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</si>
  <si>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</si>
  <si>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</si>
  <si>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</si>
  <si>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</si>
  <si>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</si>
  <si>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</si>
  <si>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</si>
  <si>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</si>
  <si>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</si>
  <si>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</si>
  <si>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</si>
  <si>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</si>
  <si>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</si>
  <si>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</si>
  <si>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</si>
  <si>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</si>
  <si>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</si>
  <si>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</si>
  <si>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</si>
  <si>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</si>
  <si>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</si>
  <si>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</si>
  <si>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</si>
  <si>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</si>
  <si>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</si>
  <si>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</si>
  <si>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</si>
  <si>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</si>
  <si>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</si>
  <si>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</si>
  <si>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</si>
  <si>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</si>
  <si>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</si>
  <si>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</si>
  <si>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</si>
  <si>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</si>
  <si>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</si>
  <si>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</si>
  <si>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</si>
  <si>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</si>
  <si>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</si>
  <si>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</si>
  <si>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</si>
  <si>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</si>
  <si>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</si>
  <si>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</si>
  <si>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</si>
  <si>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</si>
  <si>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</si>
  <si>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</si>
  <si>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</si>
  <si>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</si>
  <si>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</si>
  <si>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</si>
  <si>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</si>
  <si>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</si>
  <si>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</si>
  <si>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</si>
  <si>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</si>
  <si>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</si>
  <si>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</si>
  <si>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</si>
  <si>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</si>
  <si>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</si>
  <si>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</si>
  <si>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</si>
  <si>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</si>
  <si>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</si>
  <si>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</si>
  <si>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</si>
  <si>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</si>
  <si>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</si>
  <si>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</si>
  <si>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</si>
  <si>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</si>
  <si>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</si>
  <si>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</si>
  <si>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</si>
  <si>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</si>
  <si>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</si>
  <si>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</si>
  <si>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</si>
  <si>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</si>
  <si>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</si>
  <si>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</si>
  <si>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</si>
  <si>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</si>
  <si>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</si>
  <si>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</si>
  <si>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</si>
  <si>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</si>
  <si>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</si>
  <si>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</si>
  <si>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</si>
  <si>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</si>
  <si>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</si>
  <si>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</si>
  <si>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</si>
  <si>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</si>
  <si>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</si>
  <si>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</si>
  <si>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</si>
  <si>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</si>
  <si>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</si>
  <si>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</si>
  <si>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</si>
  <si>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</si>
  <si>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</si>
  <si>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</si>
  <si>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</si>
  <si>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</si>
  <si>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</si>
  <si>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</si>
  <si>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</si>
  <si>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</si>
  <si>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</si>
  <si>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</si>
  <si>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</si>
  <si>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</si>
  <si>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</si>
  <si>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</si>
  <si>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</si>
  <si>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</si>
  <si>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</si>
  <si>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</si>
  <si>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</si>
  <si>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</si>
  <si>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</si>
  <si>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</si>
  <si>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</si>
  <si>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</si>
  <si>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</si>
  <si>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</si>
  <si>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</si>
  <si>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</si>
  <si>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</si>
  <si>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</si>
  <si>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</si>
  <si>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</si>
  <si>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</si>
  <si>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</si>
  <si>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</si>
  <si>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</si>
  <si>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</si>
  <si>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</si>
  <si>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</si>
  <si>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</si>
  <si>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</si>
  <si>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</si>
  <si>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</si>
  <si>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</si>
  <si>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</si>
  <si>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</si>
  <si>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</si>
  <si>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</si>
  <si>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</si>
  <si>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</si>
  <si>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</si>
  <si>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</si>
  <si>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</si>
  <si>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</si>
  <si>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</si>
  <si>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</si>
  <si>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</si>
  <si>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</si>
  <si>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</si>
  <si>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</si>
  <si>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</si>
  <si>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</si>
  <si>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</si>
  <si>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</si>
  <si>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</si>
  <si>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</si>
  <si>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</si>
  <si>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</si>
  <si>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</si>
  <si>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</si>
  <si>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</si>
  <si>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</si>
  <si>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</si>
  <si>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</si>
  <si>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</si>
  <si>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</si>
  <si>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</si>
  <si>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</si>
  <si>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</si>
  <si>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</si>
  <si>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</si>
  <si>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</si>
  <si>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</si>
  <si>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</si>
  <si>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</si>
  <si>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</si>
  <si>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</si>
  <si>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</si>
  <si>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</si>
  <si>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</si>
  <si>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</si>
  <si>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</si>
  <si>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</si>
  <si>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</si>
  <si>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</si>
  <si>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</si>
  <si>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</si>
  <si>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</si>
  <si>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</si>
  <si>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</si>
  <si>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</si>
  <si>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</si>
  <si>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</si>
  <si>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</si>
  <si>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</si>
  <si>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</si>
  <si>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</si>
  <si>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</si>
  <si>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</si>
  <si>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</si>
  <si>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</si>
  <si>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</si>
  <si>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</si>
  <si>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</si>
  <si>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</si>
  <si>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</si>
  <si>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</si>
  <si>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</si>
  <si>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</si>
  <si>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</si>
  <si>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</si>
  <si>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</si>
  <si>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</si>
  <si>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</si>
  <si>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</si>
  <si>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</si>
  <si>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</si>
  <si>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</si>
  <si>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</si>
  <si>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</si>
  <si>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</si>
  <si>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</si>
  <si>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</si>
  <si>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</si>
  <si>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</si>
  <si>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</si>
  <si>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</si>
  <si>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</si>
  <si>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</si>
  <si>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</si>
  <si>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</si>
  <si>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</si>
  <si>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</si>
  <si>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</si>
  <si>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</si>
  <si>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</si>
  <si>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</si>
  <si>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</si>
  <si>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</si>
  <si>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</si>
  <si>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</si>
  <si>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</si>
  <si>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</si>
  <si>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</si>
  <si>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</si>
  <si>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</si>
  <si>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</si>
  <si>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</si>
  <si>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</si>
  <si>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</si>
  <si>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</si>
  <si>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</si>
  <si>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</si>
  <si>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</si>
  <si>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</si>
  <si>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</si>
  <si>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</si>
  <si>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</si>
  <si>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</si>
  <si>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</si>
  <si>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</si>
  <si>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</si>
  <si>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</si>
  <si>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</si>
  <si>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</si>
  <si>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</si>
  <si>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</si>
  <si>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</si>
  <si>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</si>
  <si>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</si>
  <si>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</si>
  <si>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</si>
  <si>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</si>
  <si>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</si>
  <si>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</si>
  <si>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</si>
  <si>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</si>
  <si>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</si>
  <si>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</si>
  <si>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</si>
  <si>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</si>
  <si>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</si>
  <si>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</si>
  <si>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</si>
  <si>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</si>
  <si>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</si>
  <si>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</si>
  <si>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</si>
  <si>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</si>
  <si>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</si>
  <si>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</si>
  <si>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</si>
  <si>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</si>
  <si>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</si>
  <si>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</si>
  <si>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</si>
  <si>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</si>
  <si>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</si>
  <si>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</si>
  <si>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</si>
  <si>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</si>
  <si>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</si>
  <si>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</si>
  <si>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</si>
  <si>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</si>
  <si>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</si>
  <si>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</si>
  <si>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</si>
  <si>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</si>
  <si>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</si>
  <si>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</si>
  <si>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</si>
  <si>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</si>
  <si>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</si>
  <si>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</si>
  <si>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</si>
  <si>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</si>
  <si>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</si>
  <si>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</si>
  <si>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</si>
  <si>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</si>
  <si>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</si>
  <si>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</si>
  <si>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</si>
  <si>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</si>
  <si>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</si>
  <si>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</si>
  <si>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</si>
  <si>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</si>
  <si>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</si>
  <si>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</si>
  <si>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</si>
  <si>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</si>
  <si>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</si>
  <si>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</si>
  <si>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</si>
  <si>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</si>
  <si>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</si>
  <si>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</si>
  <si>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</si>
  <si>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</si>
  <si>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</si>
  <si>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</si>
  <si>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</si>
  <si>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</si>
  <si>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</si>
  <si>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</si>
  <si>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</si>
  <si>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</si>
  <si>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</si>
  <si>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</si>
  <si>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</si>
  <si>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</si>
  <si>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</si>
  <si>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</si>
  <si>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</si>
  <si>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</si>
  <si>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</si>
  <si>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</si>
  <si>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</si>
  <si>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</si>
  <si>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</si>
  <si>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</si>
  <si>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</si>
  <si>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</si>
  <si>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</si>
  <si>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</si>
  <si>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</si>
  <si>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</si>
  <si>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</si>
  <si>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</si>
  <si>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</si>
  <si>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</si>
  <si>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</si>
  <si>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</si>
  <si>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</si>
  <si>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</si>
  <si>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</si>
  <si>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</si>
  <si>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</si>
  <si>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</si>
  <si>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</si>
  <si>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</si>
  <si>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</si>
  <si>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</si>
  <si>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</si>
  <si>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</si>
  <si>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</si>
  <si>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</si>
  <si>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</si>
  <si>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</si>
  <si>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</si>
  <si>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</si>
  <si>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</si>
  <si>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</si>
  <si>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</si>
  <si>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</si>
  <si>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</si>
  <si>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</si>
  <si>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</si>
  <si>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</si>
  <si>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</si>
  <si>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</si>
  <si>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</si>
  <si>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</si>
  <si>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</si>
  <si>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</si>
  <si>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</si>
  <si>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</si>
  <si>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</si>
  <si>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</si>
  <si>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</si>
  <si>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</si>
  <si>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</si>
  <si>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</si>
  <si>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</si>
  <si>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</si>
  <si>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</si>
  <si>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</si>
  <si>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</si>
  <si>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</si>
  <si>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</si>
  <si>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</si>
  <si>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</si>
  <si>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</si>
  <si>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</si>
  <si>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</si>
  <si>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</si>
  <si>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</si>
  <si>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</si>
  <si>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</si>
  <si>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</si>
  <si>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</si>
  <si>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</si>
  <si>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</si>
  <si>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</si>
  <si>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</si>
  <si>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</si>
  <si>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</si>
  <si>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</si>
  <si>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</si>
  <si>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</si>
  <si>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</si>
  <si>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</si>
  <si>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</si>
  <si>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</si>
  <si>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</si>
  <si>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</si>
  <si>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</si>
  <si>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</si>
  <si>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</si>
  <si>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</si>
  <si>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</si>
  <si>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</si>
  <si>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</si>
  <si>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</si>
  <si>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</si>
  <si>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</si>
  <si>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</si>
  <si>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</si>
  <si>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</si>
  <si>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</si>
  <si>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</si>
  <si>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</si>
  <si>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</si>
  <si>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</si>
  <si>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</si>
  <si>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</si>
  <si>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</si>
  <si>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</si>
  <si>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</si>
  <si>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</si>
  <si>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</si>
  <si>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</si>
  <si>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</si>
  <si>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</si>
  <si>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</si>
  <si>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</si>
  <si>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</si>
  <si>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</si>
  <si>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</si>
  <si>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</si>
  <si>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</si>
  <si>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</si>
  <si>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</si>
  <si>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</si>
  <si>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</si>
  <si>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</si>
  <si>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</si>
  <si>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</si>
  <si>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</si>
  <si>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</si>
  <si>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</si>
  <si>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</si>
  <si>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</si>
  <si>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</si>
  <si>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</si>
  <si>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</si>
  <si>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</si>
  <si>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</si>
  <si>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</si>
  <si>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</si>
  <si>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</si>
  <si>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</si>
  <si>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</si>
  <si>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</si>
  <si>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</si>
  <si>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</si>
  <si>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</si>
  <si>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</si>
  <si>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</si>
  <si>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</si>
  <si>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</si>
  <si>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</si>
  <si>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</si>
  <si>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</si>
  <si>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</si>
  <si>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</si>
  <si>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</si>
  <si>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</si>
  <si>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</si>
  <si>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</si>
  <si>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</si>
  <si>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</si>
  <si>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</si>
  <si>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</si>
  <si>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</si>
  <si>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</si>
  <si>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</si>
  <si>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</si>
  <si>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</si>
  <si>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</si>
  <si>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</si>
  <si>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</si>
  <si>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</si>
  <si>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</si>
  <si>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</si>
  <si>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</si>
  <si>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</si>
  <si>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</si>
  <si>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</si>
  <si>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</si>
  <si>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</si>
  <si>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</si>
  <si>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</si>
  <si>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</si>
  <si>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</si>
  <si>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</si>
  <si>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</si>
  <si>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</si>
  <si>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</si>
  <si>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</si>
  <si>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</si>
  <si>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</si>
  <si>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</si>
  <si>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</si>
  <si>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</si>
  <si>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</si>
  <si>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</si>
  <si>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</si>
  <si>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</si>
  <si>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</si>
  <si>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</si>
  <si>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</si>
  <si>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</si>
  <si>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</si>
  <si>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</si>
  <si>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</si>
  <si>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</si>
  <si>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</si>
  <si>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</si>
  <si>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</si>
  <si>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</si>
  <si>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</si>
  <si>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</si>
  <si>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</si>
  <si>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</si>
  <si>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</si>
  <si>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</si>
  <si>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</si>
  <si>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</si>
  <si>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</si>
  <si>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</si>
  <si>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</si>
  <si>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</si>
  <si>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</si>
  <si>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</si>
  <si>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</si>
  <si>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</si>
  <si>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</si>
  <si>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</si>
  <si>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</si>
  <si>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</si>
  <si>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</si>
  <si>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</si>
  <si>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</si>
  <si>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</si>
  <si>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</si>
  <si>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</si>
  <si>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</si>
  <si>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</si>
  <si>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</si>
  <si>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</si>
  <si>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</si>
  <si>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</si>
  <si>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</si>
  <si>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</si>
  <si>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</si>
  <si>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</si>
  <si>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</si>
  <si>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</si>
  <si>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</si>
  <si>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</si>
  <si>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</si>
  <si>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</si>
  <si>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</si>
  <si>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</si>
  <si>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</si>
  <si>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</si>
  <si>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</si>
  <si>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</si>
  <si>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</si>
  <si>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</si>
  <si>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</si>
  <si>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</si>
  <si>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</si>
  <si>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</si>
  <si>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</si>
  <si>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</si>
  <si>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</si>
  <si>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</si>
  <si>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</si>
  <si>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</si>
  <si>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</si>
  <si>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</si>
  <si>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</si>
  <si>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</si>
  <si>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</si>
  <si>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</si>
  <si>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</si>
  <si>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</si>
  <si>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</si>
  <si>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</si>
  <si>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</si>
  <si>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</si>
  <si>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</si>
  <si>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</si>
  <si>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</si>
  <si>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</si>
  <si>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</si>
  <si>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</si>
  <si>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</si>
  <si>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</si>
  <si>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</si>
  <si>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</si>
  <si>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</si>
  <si>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</si>
  <si>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</si>
  <si>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</si>
  <si>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</si>
  <si>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</si>
  <si>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</si>
  <si>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</si>
  <si>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</si>
  <si>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</si>
  <si>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</si>
  <si>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</si>
  <si>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</si>
  <si>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</si>
  <si>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</si>
  <si>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</si>
  <si>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</si>
  <si>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</si>
  <si>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</si>
  <si>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</si>
  <si>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</si>
  <si>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</si>
  <si>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</si>
  <si>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</si>
  <si>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</si>
  <si>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</si>
  <si>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</si>
  <si>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</si>
  <si>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</si>
  <si>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</si>
  <si>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</si>
  <si>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</si>
  <si>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</si>
  <si>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</si>
  <si>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</si>
  <si>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</si>
  <si>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</si>
  <si>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</si>
  <si>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</si>
  <si>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</si>
  <si>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</si>
  <si>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</si>
  <si>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</si>
  <si>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</si>
  <si>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</si>
  <si>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</si>
  <si>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</si>
  <si>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</si>
  <si>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</si>
  <si>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</si>
  <si>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</si>
  <si>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</si>
  <si>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</si>
  <si>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</si>
  <si>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</si>
  <si>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</si>
  <si>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</si>
  <si>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</si>
  <si>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</si>
  <si>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</si>
  <si>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</si>
  <si>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</si>
  <si>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</si>
  <si>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</si>
  <si>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</si>
  <si>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</si>
  <si>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</si>
  <si>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</si>
  <si>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</si>
  <si>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</si>
  <si>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</si>
  <si>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</si>
  <si>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</si>
  <si>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</si>
  <si>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</si>
  <si>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</si>
  <si>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</si>
  <si>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</si>
  <si>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</si>
  <si>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</si>
  <si>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</si>
  <si>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</si>
  <si>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</si>
  <si>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</si>
  <si>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</si>
  <si>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</si>
  <si>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</si>
  <si>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</si>
  <si>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</si>
  <si>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</si>
  <si>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</si>
  <si>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</si>
  <si>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</si>
  <si>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</si>
  <si>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</si>
  <si>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</si>
  <si>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</si>
  <si>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</si>
  <si>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</si>
  <si>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</si>
  <si>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</si>
  <si>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</si>
  <si>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</si>
  <si>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</si>
  <si>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</si>
  <si>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</si>
  <si>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</si>
  <si>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</si>
  <si>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</si>
  <si>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</si>
  <si>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</si>
  <si>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</si>
  <si>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</si>
  <si>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</si>
  <si>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</si>
  <si>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</si>
  <si>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</si>
  <si>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</si>
  <si>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</si>
  <si>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</si>
  <si>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</si>
  <si>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</si>
  <si>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</si>
  <si>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</si>
  <si>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</si>
  <si>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</si>
  <si>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</si>
  <si>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</si>
  <si>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</si>
  <si>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</si>
  <si>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</si>
  <si>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</si>
  <si>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</si>
  <si>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</si>
  <si>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</si>
  <si>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</si>
  <si>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</si>
  <si>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</si>
  <si>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</si>
  <si>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</si>
  <si>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</si>
  <si>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</si>
  <si>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</si>
  <si>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</si>
  <si>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</si>
  <si>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</si>
  <si>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</si>
  <si>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</si>
  <si>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</si>
  <si>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</si>
  <si>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</si>
  <si>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</si>
  <si>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</si>
  <si>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</si>
  <si>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</si>
  <si>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</si>
  <si>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</si>
  <si>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</si>
  <si>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</si>
  <si>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</si>
  <si>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</si>
  <si>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</si>
  <si>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</si>
  <si>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</si>
  <si>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</si>
  <si>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</si>
  <si>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</si>
  <si>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</si>
  <si>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</si>
  <si>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</si>
  <si>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</si>
  <si>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</si>
  <si>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</si>
  <si>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</si>
  <si>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</si>
  <si>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</si>
  <si>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</si>
  <si>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</si>
  <si>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</si>
  <si>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</si>
  <si>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</si>
  <si>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</si>
  <si>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</si>
  <si>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</si>
  <si>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</si>
  <si>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</si>
  <si>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</si>
  <si>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</si>
  <si>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</si>
  <si>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</si>
  <si>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</si>
  <si>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</si>
  <si>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</si>
  <si>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</si>
  <si>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</si>
  <si>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</si>
  <si>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</si>
  <si>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</si>
  <si>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</si>
  <si>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</si>
  <si>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</si>
  <si>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</si>
  <si>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</si>
  <si>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</si>
  <si>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</si>
  <si>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</si>
  <si>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</si>
  <si>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</si>
  <si>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</si>
  <si>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</si>
  <si>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</si>
  <si>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</si>
  <si>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</si>
  <si>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</si>
  <si>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</si>
  <si>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</si>
  <si>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</si>
  <si>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</si>
  <si>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</si>
  <si>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</si>
  <si>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</si>
  <si>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</si>
  <si>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</si>
  <si>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</si>
  <si>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</si>
  <si>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</si>
  <si>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</si>
  <si>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</si>
  <si>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</si>
  <si>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</si>
  <si>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</si>
  <si>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</si>
  <si>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</si>
  <si>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</si>
  <si>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</si>
  <si>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</si>
  <si>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</si>
  <si>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</si>
  <si>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</si>
  <si>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</si>
  <si>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</si>
  <si>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</si>
  <si>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</si>
  <si>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</si>
  <si>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</si>
  <si>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</si>
  <si>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</si>
  <si>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</si>
  <si>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</si>
  <si>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</si>
  <si>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</si>
  <si>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</si>
  <si>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</si>
  <si>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</si>
  <si>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</si>
  <si>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</si>
  <si>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</si>
  <si>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</si>
  <si>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</si>
  <si>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</si>
  <si>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</si>
  <si>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</si>
  <si>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</si>
  <si>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</si>
  <si>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</si>
  <si>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</si>
  <si>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</si>
  <si>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</si>
  <si>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</si>
  <si>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</si>
  <si>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</si>
  <si>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</si>
  <si>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</si>
  <si>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</si>
  <si>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</si>
  <si>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</si>
  <si>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</si>
  <si>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</si>
  <si>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</si>
  <si>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</si>
  <si>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</si>
  <si>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</si>
  <si>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</si>
  <si>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</si>
  <si>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</si>
  <si>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</si>
  <si>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</si>
  <si>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</si>
  <si>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</si>
  <si>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</si>
  <si>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</si>
  <si>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</si>
  <si>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</si>
  <si>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</si>
  <si>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</si>
  <si>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</si>
  <si>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</si>
  <si>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</si>
  <si>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</si>
  <si>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</si>
  <si>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</si>
  <si>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</si>
  <si>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</si>
  <si>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</si>
  <si>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</si>
  <si>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</si>
  <si>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</si>
  <si>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</si>
  <si>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</si>
  <si>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</si>
  <si>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</si>
  <si>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</si>
  <si>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</si>
  <si>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</si>
  <si>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</si>
  <si>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</si>
  <si>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</si>
  <si>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</si>
  <si>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</si>
  <si>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</si>
  <si>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</si>
  <si>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</si>
  <si>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</si>
  <si>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</si>
  <si>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</si>
  <si>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</si>
  <si>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</si>
  <si>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</si>
  <si>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</si>
  <si>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</si>
  <si>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</si>
  <si>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</si>
  <si>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</si>
  <si>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</si>
  <si>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</si>
  <si>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</si>
  <si>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</si>
  <si>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</si>
  <si>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</si>
  <si>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</si>
  <si>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</si>
  <si>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</si>
  <si>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</si>
  <si>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</si>
  <si>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</si>
  <si>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</si>
  <si>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</si>
  <si>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</si>
  <si>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</si>
  <si>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</si>
  <si>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</si>
  <si>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</si>
  <si>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</si>
  <si>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</si>
  <si>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</si>
  <si>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</si>
  <si>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</si>
  <si>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</si>
  <si>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</si>
  <si>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</si>
  <si>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</si>
  <si>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</si>
  <si>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</si>
  <si>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</si>
  <si>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</si>
  <si>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</si>
  <si>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</si>
  <si>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</si>
  <si>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</si>
  <si>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</si>
  <si>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</si>
  <si>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</si>
  <si>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</si>
  <si>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</si>
  <si>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</si>
  <si>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</si>
  <si>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</si>
  <si>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</si>
  <si>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</si>
  <si>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</si>
  <si>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</si>
  <si>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</si>
  <si>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</si>
  <si>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</si>
  <si>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</si>
  <si>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</si>
  <si>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</si>
  <si>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</si>
  <si>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</si>
  <si>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</si>
  <si>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</si>
  <si>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</si>
  <si>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</si>
  <si>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</si>
  <si>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</si>
  <si>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</si>
  <si>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</si>
  <si>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</si>
  <si>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</si>
  <si>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</si>
  <si>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</si>
  <si>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</si>
  <si>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</si>
  <si>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</si>
  <si>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</si>
  <si>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</si>
  <si>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</si>
  <si>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</si>
  <si>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</si>
  <si>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</si>
  <si>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</si>
  <si>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</si>
  <si>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</si>
  <si>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</si>
  <si>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</si>
  <si>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</si>
  <si>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</si>
  <si>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</si>
  <si>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</si>
  <si>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</si>
  <si>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</si>
  <si>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</si>
  <si>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</si>
  <si>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</si>
  <si>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</si>
  <si>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</si>
  <si>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</si>
  <si>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</si>
  <si>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</si>
  <si>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</si>
  <si>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</si>
  <si>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</si>
  <si>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</si>
  <si>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</si>
  <si>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</si>
  <si>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</si>
  <si>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</si>
  <si>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</si>
  <si>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</si>
  <si>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</si>
  <si>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</si>
  <si>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</si>
  <si>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</si>
  <si>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</si>
  <si>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</si>
  <si>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</si>
  <si>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</si>
  <si>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</si>
  <si>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</si>
  <si>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</si>
  <si>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</si>
  <si>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</si>
  <si>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</si>
  <si>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</si>
  <si>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</si>
  <si>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</si>
  <si>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</si>
  <si>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</si>
  <si>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</si>
  <si>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</si>
  <si>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</si>
  <si>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</si>
  <si>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</si>
  <si>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</si>
  <si>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</si>
  <si>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</si>
  <si>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</si>
  <si>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</si>
  <si>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</si>
  <si>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</si>
  <si>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</si>
  <si>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</si>
  <si>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</si>
  <si>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</si>
  <si>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</si>
  <si>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</si>
  <si>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</si>
  <si>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</si>
  <si>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</si>
  <si>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</si>
  <si>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</si>
  <si>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</si>
  <si>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</si>
  <si>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</si>
  <si>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</si>
  <si>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</si>
  <si>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</si>
  <si>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</si>
  <si>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</si>
  <si>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</si>
  <si>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</si>
  <si>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</si>
  <si>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</si>
  <si>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</si>
  <si>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</si>
  <si>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</si>
  <si>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</si>
  <si>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</si>
  <si>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</si>
  <si>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</si>
  <si>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</si>
  <si>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</si>
  <si>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</si>
  <si>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</si>
  <si>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</si>
  <si>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</si>
  <si>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</si>
  <si>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</si>
  <si>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</si>
  <si>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</si>
  <si>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</si>
  <si>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</si>
  <si>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</si>
  <si>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</si>
  <si>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</si>
  <si>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</si>
  <si>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</si>
  <si>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</si>
  <si>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</si>
  <si>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</si>
  <si>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</si>
  <si>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</si>
  <si>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</si>
  <si>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</si>
  <si>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</si>
  <si>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</si>
  <si>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</si>
  <si>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</si>
  <si>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</si>
  <si>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</si>
  <si>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</si>
  <si>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</si>
  <si>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</si>
  <si>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</si>
  <si>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</si>
  <si>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</si>
  <si>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</si>
  <si>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</si>
  <si>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</si>
  <si>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</si>
  <si>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</si>
  <si>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</si>
  <si>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</si>
  <si>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</si>
  <si>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</si>
  <si>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</si>
  <si>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</si>
  <si>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</si>
  <si>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</si>
  <si>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</si>
  <si>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</si>
  <si>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</si>
  <si>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</si>
  <si>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</si>
  <si>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</si>
  <si>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</si>
  <si>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</si>
  <si>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</si>
  <si>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</si>
  <si>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</si>
  <si>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</si>
  <si>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</si>
  <si>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</si>
  <si>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</si>
  <si>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</si>
  <si>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</si>
  <si>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</si>
  <si>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</si>
  <si>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</si>
  <si>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</si>
  <si>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</si>
  <si>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</si>
  <si>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</si>
  <si>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</si>
  <si>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</si>
  <si>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</si>
  <si>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</si>
  <si>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</si>
  <si>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</si>
  <si>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</si>
  <si>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</si>
  <si>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</si>
  <si>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</si>
  <si>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</si>
  <si>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</si>
  <si>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</si>
  <si>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</si>
  <si>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</si>
  <si>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</si>
  <si>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</si>
  <si>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</si>
  <si>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</si>
  <si>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</si>
  <si>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</si>
  <si>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</si>
  <si>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</si>
  <si>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</si>
  <si>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</si>
  <si>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</si>
  <si>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</si>
  <si>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</si>
  <si>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</si>
  <si>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</si>
  <si>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</si>
  <si>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</si>
  <si>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</si>
  <si>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</si>
  <si>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</si>
  <si>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</si>
  <si>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</si>
  <si>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</si>
  <si>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</si>
  <si>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</si>
  <si>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</si>
  <si>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</si>
  <si>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</si>
  <si>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</si>
  <si>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</si>
  <si>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</si>
  <si>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</si>
  <si>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</si>
  <si>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</si>
  <si>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</si>
  <si>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</si>
  <si>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</si>
  <si>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</si>
  <si>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</si>
  <si>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</si>
  <si>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</si>
  <si>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</si>
  <si>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</si>
  <si>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</si>
  <si>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</si>
  <si>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</si>
  <si>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</si>
  <si>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</si>
  <si>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</si>
  <si>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</si>
  <si>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</si>
  <si>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</si>
  <si>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</si>
  <si>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</si>
  <si>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</si>
  <si>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</si>
  <si>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</si>
  <si>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</si>
  <si>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</si>
  <si>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</si>
  <si>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</si>
  <si>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</si>
  <si>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</si>
  <si>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</si>
  <si>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</si>
  <si>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</si>
  <si>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</si>
  <si>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</si>
  <si>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</si>
  <si>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</si>
  <si>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</si>
  <si>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</si>
  <si>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</si>
  <si>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</si>
  <si>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</si>
  <si>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</si>
  <si>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</si>
  <si>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</si>
  <si>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</si>
  <si>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</si>
  <si>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</si>
  <si>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</si>
  <si>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</si>
  <si>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</si>
  <si>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</si>
  <si>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</si>
  <si>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</si>
  <si>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</si>
  <si>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</si>
  <si>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</si>
  <si>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</si>
  <si>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</si>
  <si>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</si>
  <si>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</si>
  <si>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</si>
  <si>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</si>
  <si>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</si>
  <si>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</si>
  <si>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</si>
  <si>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</si>
  <si>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</si>
  <si>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</si>
  <si>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</si>
  <si>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</si>
  <si>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</si>
  <si>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</si>
  <si>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</si>
  <si>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</si>
  <si>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</si>
  <si>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</si>
  <si>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</si>
  <si>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</si>
  <si>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</si>
  <si>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</si>
  <si>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</si>
  <si>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</si>
  <si>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</si>
  <si>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</si>
  <si>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</si>
  <si>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</si>
  <si>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</si>
  <si>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</si>
  <si>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</si>
  <si>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</si>
  <si>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</si>
  <si>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</si>
  <si>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</si>
  <si>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</si>
  <si>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</si>
  <si>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</si>
  <si>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</si>
  <si>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</si>
  <si>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</si>
  <si>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</si>
  <si>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</si>
  <si>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</si>
  <si>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</si>
  <si>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</si>
  <si>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</si>
  <si>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</si>
  <si>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</si>
  <si>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</si>
  <si>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</si>
  <si>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</si>
  <si>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</si>
  <si>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</si>
  <si>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</si>
  <si>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</si>
  <si>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</si>
  <si>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</si>
  <si>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</si>
  <si>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</si>
  <si>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</si>
  <si>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</si>
  <si>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</si>
  <si>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</si>
  <si>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</si>
  <si>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</si>
  <si>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</si>
  <si>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</si>
  <si>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</si>
  <si>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</si>
  <si>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</si>
  <si>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</si>
  <si>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</si>
  <si>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</si>
  <si>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</si>
  <si>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</si>
  <si>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</si>
  <si>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</si>
  <si>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</si>
  <si>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</si>
  <si>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</si>
  <si>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</si>
  <si>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</si>
  <si>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</si>
  <si>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</si>
  <si>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</si>
  <si>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</si>
  <si>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</si>
  <si>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</si>
  <si>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</si>
  <si>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</si>
  <si>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</si>
  <si>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</si>
  <si>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</si>
  <si>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</si>
  <si>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</si>
  <si>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</si>
  <si>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</si>
  <si>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</si>
  <si>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</si>
  <si>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</si>
  <si>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</si>
  <si>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</si>
  <si>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</si>
  <si>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</si>
  <si>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</si>
  <si>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</si>
  <si>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</si>
  <si>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</si>
  <si>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</si>
  <si>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</si>
  <si>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</si>
  <si>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</si>
  <si>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</si>
  <si>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</si>
  <si>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</si>
  <si>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</si>
  <si>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</si>
  <si>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</si>
  <si>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</si>
  <si>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</si>
  <si>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</si>
  <si>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</si>
  <si>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</si>
  <si>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</si>
  <si>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</si>
  <si>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</si>
  <si>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</si>
  <si>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</si>
  <si>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</si>
  <si>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</si>
  <si>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</si>
  <si>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</si>
  <si>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</si>
  <si>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</si>
  <si>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</si>
  <si>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</si>
  <si>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</si>
  <si>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</si>
  <si>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</si>
  <si>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</si>
  <si>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</si>
  <si>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</si>
  <si>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</si>
  <si>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</si>
  <si>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</si>
  <si>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</si>
  <si>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</si>
  <si>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</si>
  <si>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</si>
  <si>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</si>
  <si>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</si>
  <si>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</si>
  <si>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</si>
  <si>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</si>
  <si>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</si>
  <si>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</si>
  <si>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</si>
  <si>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</si>
  <si>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</si>
  <si>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</si>
  <si>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</si>
  <si>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</si>
  <si>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</si>
  <si>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</si>
  <si>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</si>
  <si>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</si>
  <si>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</si>
  <si>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</si>
  <si>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</si>
  <si>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</si>
  <si>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</si>
  <si>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</si>
  <si>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</si>
  <si>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</si>
  <si>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</si>
  <si>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</si>
  <si>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</si>
  <si>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</si>
  <si>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</si>
  <si>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</si>
  <si>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</si>
  <si>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</si>
  <si>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</si>
  <si>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</si>
  <si>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</si>
  <si>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</si>
  <si>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</si>
  <si>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</si>
  <si>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</si>
  <si>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</si>
  <si>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</si>
  <si>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</si>
  <si>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</si>
  <si>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</si>
  <si>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</si>
  <si>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</si>
  <si>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</si>
  <si>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</si>
  <si>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</si>
  <si>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</si>
  <si>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</si>
  <si>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</si>
  <si>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</si>
  <si>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</si>
  <si>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</si>
  <si>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</si>
  <si>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</si>
  <si>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</si>
  <si>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</si>
  <si>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</si>
  <si>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</si>
  <si>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</si>
  <si>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</si>
  <si>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</si>
  <si>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</si>
  <si>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</si>
  <si>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</si>
  <si>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</si>
  <si>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</si>
  <si>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</si>
  <si>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</si>
  <si>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</si>
  <si>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</si>
  <si>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</si>
  <si>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</si>
  <si>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</si>
  <si>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</si>
  <si>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</si>
  <si>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</si>
  <si>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</si>
  <si>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</si>
  <si>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</si>
  <si>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</si>
  <si>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</si>
  <si>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</si>
  <si>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</si>
  <si>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</si>
  <si>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</si>
  <si>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</si>
  <si>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</si>
  <si>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</si>
  <si>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</si>
  <si>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</si>
  <si>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</si>
  <si>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</si>
  <si>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</si>
  <si>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</si>
  <si>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</si>
  <si>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</si>
  <si>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</si>
  <si>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</si>
  <si>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</si>
  <si>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</si>
  <si>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</si>
  <si>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</si>
  <si>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</si>
  <si>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</si>
  <si>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</si>
  <si>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</si>
  <si>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</si>
  <si>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</si>
  <si>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</si>
  <si>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</si>
  <si>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</si>
  <si>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</si>
  <si>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</si>
  <si>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</si>
  <si>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</si>
  <si>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</si>
  <si>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</si>
  <si>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</si>
  <si>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</si>
  <si>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</si>
  <si>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</si>
  <si>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</si>
  <si>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</si>
  <si>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</si>
  <si>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</si>
  <si>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</si>
  <si>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</si>
  <si>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</si>
  <si>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</si>
  <si>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</si>
  <si>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</si>
  <si>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</si>
  <si>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</si>
  <si>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</si>
  <si>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</si>
  <si>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</si>
  <si>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</si>
  <si>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</si>
  <si>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</si>
  <si>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</si>
  <si>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</si>
  <si>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</si>
  <si>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</si>
  <si>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</si>
  <si>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</si>
  <si>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</si>
  <si>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</si>
  <si>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</si>
  <si>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</si>
  <si>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</si>
  <si>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</si>
  <si>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</si>
  <si>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</si>
  <si>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</si>
  <si>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</si>
  <si>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</si>
  <si>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</si>
  <si>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</si>
  <si>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</si>
  <si>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</si>
  <si>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</si>
  <si>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</si>
  <si>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</si>
  <si>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</si>
  <si>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</si>
  <si>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</si>
  <si>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</si>
  <si>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</si>
  <si>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</si>
  <si>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</si>
  <si>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</si>
  <si>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</si>
  <si>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</si>
  <si>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</si>
  <si>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</si>
  <si>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</si>
  <si>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</si>
  <si>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</si>
  <si>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</si>
  <si>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</si>
  <si>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</si>
  <si>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</si>
  <si>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</si>
  <si>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</si>
  <si>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</si>
  <si>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</si>
  <si>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</si>
  <si>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</si>
  <si>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</si>
  <si>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</si>
  <si>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</si>
  <si>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</si>
  <si>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</si>
  <si>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</si>
  <si>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</si>
  <si>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</si>
  <si>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</si>
  <si>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</si>
  <si>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</si>
  <si>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</si>
  <si>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</si>
  <si>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</si>
  <si>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</si>
  <si>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</si>
  <si>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</si>
  <si>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</si>
  <si>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</si>
  <si>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</si>
  <si>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</si>
  <si>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</si>
  <si>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</si>
  <si>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</si>
  <si>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</si>
  <si>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</si>
  <si>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</si>
  <si>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</si>
  <si>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</si>
  <si>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</si>
  <si>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</si>
  <si>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</si>
  <si>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</si>
  <si>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</si>
  <si>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</si>
  <si>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</si>
  <si>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</si>
  <si>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</si>
  <si>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</si>
  <si>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</si>
  <si>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</si>
  <si>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</si>
  <si>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</si>
  <si>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</si>
  <si>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</si>
  <si>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</si>
  <si>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</si>
  <si>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</si>
  <si>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</si>
  <si>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</si>
  <si>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</si>
  <si>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</si>
  <si>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</si>
  <si>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</si>
  <si>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</si>
  <si>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</si>
  <si>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</si>
  <si>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</si>
  <si>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</si>
  <si>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</si>
  <si>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</si>
  <si>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</si>
  <si>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</si>
  <si>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</si>
  <si>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</si>
  <si>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</si>
  <si>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</si>
  <si>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</si>
  <si>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</si>
  <si>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</si>
  <si>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</si>
  <si>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</si>
  <si>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</si>
  <si>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</si>
  <si>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</si>
  <si>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</si>
  <si>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</si>
  <si>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</si>
  <si>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</si>
  <si>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</si>
  <si>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</si>
  <si>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</si>
  <si>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</si>
  <si>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</si>
  <si>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</si>
  <si>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</si>
  <si>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</si>
  <si>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</si>
  <si>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</si>
  <si>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</si>
  <si>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</si>
  <si>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</si>
  <si>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</si>
  <si>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</si>
  <si>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</si>
  <si>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</si>
  <si>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</si>
  <si>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</si>
  <si>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</si>
  <si>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</si>
  <si>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</si>
  <si>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</si>
  <si>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</si>
  <si>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</si>
  <si>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</si>
  <si>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</si>
  <si>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</si>
  <si>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</si>
  <si>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</si>
  <si>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</si>
  <si>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</si>
  <si>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</si>
  <si>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</si>
  <si>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</si>
  <si>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</si>
  <si>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</si>
  <si>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</si>
  <si>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</si>
  <si>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</si>
  <si>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</si>
  <si>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</si>
  <si>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</si>
  <si>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</si>
  <si>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</si>
  <si>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</si>
  <si>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</si>
  <si>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</si>
  <si>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</si>
  <si>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</si>
  <si>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</si>
  <si>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</si>
  <si>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</si>
  <si>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</si>
  <si>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</si>
  <si>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</si>
  <si>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</si>
  <si>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</si>
  <si>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</si>
  <si>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</si>
  <si>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</si>
  <si>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</si>
  <si>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</si>
  <si>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</si>
  <si>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</si>
  <si>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</si>
  <si>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</si>
  <si>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</si>
  <si>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</si>
  <si>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</si>
  <si>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</si>
  <si>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</si>
  <si>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</si>
  <si>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</si>
  <si>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</si>
  <si>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</si>
  <si>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</si>
  <si>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</si>
  <si>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</si>
  <si>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</si>
  <si>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</si>
  <si>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</si>
  <si>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</si>
  <si>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</si>
  <si>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</si>
  <si>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</si>
  <si>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</si>
  <si>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</si>
  <si>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</si>
  <si>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</si>
  <si>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</si>
  <si>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</si>
  <si>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</si>
  <si>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</si>
  <si>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</si>
  <si>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</si>
  <si>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</si>
  <si>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</si>
  <si>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</si>
  <si>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</si>
  <si>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</si>
  <si>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</si>
  <si>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</si>
  <si>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</si>
  <si>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</si>
  <si>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</si>
  <si>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</si>
  <si>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</si>
  <si>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</si>
  <si>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</si>
  <si>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</si>
  <si>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</si>
  <si>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</si>
  <si>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</si>
  <si>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</si>
  <si>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</si>
  <si>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</si>
  <si>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</si>
  <si>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</si>
  <si>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</si>
  <si>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</si>
  <si>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</si>
  <si>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</si>
  <si>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</si>
  <si>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</si>
  <si>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</si>
  <si>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</si>
  <si>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</si>
  <si>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</si>
  <si>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</si>
  <si>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</si>
  <si>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</si>
  <si>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</si>
  <si>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</si>
  <si>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</si>
  <si>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</si>
  <si>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</si>
  <si>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</si>
  <si>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</si>
  <si>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</si>
  <si>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</si>
  <si>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</si>
  <si>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</si>
  <si>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</si>
  <si>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</si>
  <si>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</si>
  <si>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</si>
  <si>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</si>
  <si>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</si>
  <si>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</si>
  <si>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</si>
  <si>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</si>
  <si>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</si>
  <si>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</si>
  <si>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</si>
  <si>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</si>
  <si>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</si>
  <si>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</si>
  <si>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</si>
  <si>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</si>
  <si>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</si>
  <si>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</si>
  <si>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</si>
  <si>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</si>
  <si>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</si>
  <si>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</si>
  <si>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</si>
  <si>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</si>
  <si>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</si>
  <si>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</si>
  <si>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</si>
  <si>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</si>
  <si>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</si>
  <si>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</si>
  <si>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</si>
  <si>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</si>
  <si>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</si>
  <si>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</si>
  <si>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</si>
  <si>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</si>
  <si>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</si>
  <si>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</si>
  <si>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</si>
  <si>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</si>
  <si>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</si>
  <si>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</si>
  <si>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</si>
  <si>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</si>
  <si>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</si>
  <si>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</si>
  <si>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</si>
  <si>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</si>
  <si>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</si>
  <si>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</si>
  <si>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</si>
  <si>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</si>
  <si>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</si>
  <si>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</si>
  <si>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</si>
  <si>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</si>
  <si>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</si>
  <si>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</si>
  <si>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</si>
  <si>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</si>
  <si>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</si>
  <si>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</si>
  <si>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</si>
  <si>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</si>
  <si>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</si>
  <si>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</si>
  <si>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</si>
  <si>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</si>
  <si>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</si>
  <si>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</si>
  <si>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</si>
  <si>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</si>
  <si>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</si>
  <si>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</si>
  <si>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</si>
  <si>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</si>
  <si>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</si>
  <si>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</si>
  <si>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</si>
  <si>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</si>
  <si>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</si>
  <si>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</si>
  <si>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</si>
  <si>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</si>
  <si>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</si>
  <si>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</si>
  <si>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</si>
  <si>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</si>
  <si>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</si>
  <si>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</si>
  <si>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</si>
  <si>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</si>
  <si>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</si>
  <si>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</si>
  <si>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</si>
  <si>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</si>
  <si>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</si>
  <si>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</si>
  <si>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</si>
  <si>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</si>
  <si>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</si>
  <si>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</si>
  <si>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</si>
  <si>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</si>
  <si>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</si>
  <si>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</si>
  <si>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</si>
  <si>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</si>
  <si>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</si>
  <si>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</si>
  <si>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</si>
  <si>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</si>
  <si>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</si>
  <si>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</si>
  <si>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</si>
  <si>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</si>
  <si>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</si>
  <si>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</si>
  <si>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</si>
  <si>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</si>
  <si>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</si>
  <si>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</si>
  <si>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</si>
  <si>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</si>
  <si>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</si>
  <si>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</si>
  <si>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</si>
  <si>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</si>
  <si>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</si>
  <si>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</si>
  <si>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</si>
  <si>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</si>
  <si>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</si>
  <si>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</si>
  <si>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</si>
  <si>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</si>
  <si>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</si>
  <si>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</si>
  <si>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</si>
  <si>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</si>
  <si>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</si>
  <si>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</si>
  <si>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</si>
  <si>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</si>
  <si>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</si>
  <si>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</si>
  <si>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</si>
  <si>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</si>
  <si>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</si>
  <si>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</si>
  <si>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</si>
  <si>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</si>
  <si>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</si>
  <si>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</si>
  <si>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</si>
  <si>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</si>
  <si>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</si>
  <si>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</si>
  <si>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</si>
  <si>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</si>
  <si>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</si>
  <si>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</si>
  <si>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</si>
  <si>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</si>
  <si>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</si>
  <si>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</si>
  <si>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</si>
  <si>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</si>
  <si>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</si>
  <si>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</si>
  <si>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</si>
  <si>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</si>
  <si>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</si>
  <si>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</si>
  <si>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</si>
  <si>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</si>
  <si>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</si>
  <si>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</si>
  <si>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</si>
  <si>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</si>
  <si>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</si>
  <si>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</si>
  <si>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</si>
  <si>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</si>
  <si>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</si>
  <si>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</si>
  <si>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</si>
  <si>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</si>
  <si>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</si>
  <si>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</si>
  <si>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</si>
  <si>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</si>
  <si>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</si>
  <si>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</si>
  <si>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</si>
  <si>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</si>
  <si>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</si>
  <si>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</si>
  <si>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</si>
  <si>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</si>
  <si>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</si>
  <si>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</si>
  <si>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</si>
  <si>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</si>
  <si>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</si>
  <si>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</si>
  <si>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</si>
  <si>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</si>
  <si>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</si>
  <si>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</si>
  <si>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</si>
  <si>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</si>
  <si>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</si>
  <si>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</si>
  <si>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</si>
  <si>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</si>
  <si>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</si>
  <si>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</si>
  <si>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</si>
  <si>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</si>
  <si>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</si>
  <si>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</si>
  <si>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</si>
  <si>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</si>
  <si>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</si>
  <si>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</si>
  <si>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</si>
  <si>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</si>
  <si>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</si>
  <si>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</si>
  <si>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</si>
  <si>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</si>
  <si>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</si>
  <si>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</si>
  <si>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</si>
  <si>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</si>
  <si>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</si>
  <si>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</si>
  <si>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</si>
  <si>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</si>
  <si>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</si>
  <si>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</si>
  <si>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</si>
  <si>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</si>
  <si>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</si>
  <si>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</si>
  <si>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</si>
  <si>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</si>
  <si>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</si>
  <si>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</si>
  <si>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</si>
  <si>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</si>
  <si>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</si>
  <si>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</si>
  <si>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</si>
  <si>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</si>
  <si>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</si>
  <si>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</si>
  <si>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</si>
  <si>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</si>
  <si>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</si>
  <si>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</si>
  <si>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</si>
  <si>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</si>
  <si>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</si>
  <si>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</si>
  <si>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</si>
  <si>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</si>
  <si>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</si>
  <si>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</si>
  <si>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</si>
  <si>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</si>
  <si>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</si>
  <si>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</si>
  <si>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</si>
  <si>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</si>
  <si>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</si>
  <si>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</si>
  <si>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</si>
  <si>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</si>
  <si>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</si>
  <si>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</si>
  <si>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</si>
  <si>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</si>
  <si>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</si>
  <si>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</si>
  <si>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</si>
  <si>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</si>
  <si>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</si>
  <si>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</si>
  <si>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</si>
  <si>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</si>
  <si>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</si>
  <si>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</si>
  <si>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</si>
  <si>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</si>
  <si>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</si>
  <si>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</si>
  <si>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</si>
  <si>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</si>
  <si>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</si>
  <si>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</si>
  <si>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</si>
  <si>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</si>
  <si>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</si>
  <si>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</si>
  <si>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</si>
  <si>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</si>
  <si>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</si>
  <si>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</si>
  <si>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</si>
  <si>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</si>
  <si>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</si>
  <si>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</si>
  <si>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</si>
  <si>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</si>
  <si>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</si>
  <si>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</si>
  <si>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</si>
  <si>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</si>
  <si>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</si>
  <si>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</si>
  <si>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</si>
  <si>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</si>
  <si>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</si>
  <si>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</si>
  <si>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</si>
  <si>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</si>
  <si>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</si>
  <si>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</si>
  <si>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</si>
  <si>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</si>
  <si>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</si>
  <si>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</si>
  <si>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</si>
  <si>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</si>
  <si>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</si>
  <si>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</si>
  <si>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</si>
  <si>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</si>
  <si>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</si>
  <si>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</si>
  <si>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</si>
  <si>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</si>
  <si>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</si>
  <si>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</si>
  <si>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</si>
  <si>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</si>
  <si>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</si>
  <si>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</si>
  <si>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</si>
  <si>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</si>
  <si>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</si>
  <si>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</si>
  <si>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</si>
  <si>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</si>
  <si>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</si>
  <si>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</si>
  <si>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</si>
  <si>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</si>
  <si>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</si>
  <si>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</si>
  <si>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</si>
  <si>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</si>
  <si>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</si>
  <si>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</si>
  <si>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</si>
  <si>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</si>
  <si>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</si>
  <si>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</si>
  <si>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</si>
  <si>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</si>
  <si>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</si>
  <si>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</si>
  <si>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</si>
  <si>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</si>
  <si>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</si>
  <si>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</si>
  <si>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</si>
  <si>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</si>
  <si>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</si>
  <si>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</si>
  <si>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</si>
  <si>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</si>
  <si>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</si>
  <si>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</si>
  <si>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</si>
  <si>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</si>
  <si>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</si>
  <si>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</si>
  <si>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</si>
  <si>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</si>
  <si>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</si>
  <si>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</si>
  <si>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</si>
  <si>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</si>
  <si>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</si>
  <si>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</si>
  <si>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</si>
  <si>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</si>
  <si>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</si>
  <si>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</si>
  <si>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</si>
  <si>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</si>
  <si>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</si>
  <si>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</si>
  <si>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</si>
  <si>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</si>
  <si>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</si>
  <si>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</si>
  <si>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</si>
  <si>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</si>
  <si>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</si>
  <si>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</si>
  <si>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</si>
  <si>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</si>
  <si>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</si>
  <si>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</si>
  <si>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</si>
  <si>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</si>
  <si>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</si>
  <si>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</si>
  <si>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</si>
  <si>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</si>
  <si>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</si>
  <si>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</si>
  <si>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</si>
  <si>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</si>
  <si>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</si>
  <si>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</si>
  <si>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</si>
  <si>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</si>
  <si>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</si>
  <si>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</si>
  <si>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</si>
  <si>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</si>
  <si>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</si>
  <si>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</si>
  <si>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</si>
  <si>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</si>
  <si>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</si>
  <si>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</si>
  <si>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</si>
  <si>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</si>
  <si>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</si>
  <si>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</si>
  <si>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</si>
  <si>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</si>
  <si>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</si>
  <si>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</si>
  <si>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</si>
  <si>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</si>
  <si>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</si>
  <si>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</si>
  <si>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</si>
  <si>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</si>
  <si>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</si>
  <si>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</si>
  <si>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</si>
  <si>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</si>
  <si>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</si>
  <si>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</si>
  <si>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</si>
  <si>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</si>
  <si>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</si>
  <si>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</si>
  <si>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</si>
  <si>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</si>
  <si>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</si>
  <si>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</si>
  <si>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</si>
  <si>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</si>
  <si>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</si>
  <si>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</si>
  <si>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</si>
  <si>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</si>
  <si>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</si>
  <si>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</si>
  <si>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</si>
  <si>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</si>
  <si>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</si>
  <si>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</si>
  <si>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</si>
  <si>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</si>
  <si>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</si>
  <si>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</si>
  <si>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</si>
  <si>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</si>
  <si>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</si>
  <si>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</si>
  <si>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</si>
  <si>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</si>
  <si>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</si>
  <si>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</si>
  <si>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</si>
  <si>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</si>
  <si>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</si>
  <si>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</si>
  <si>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</si>
  <si>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</si>
  <si>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</si>
  <si>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</si>
  <si>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</si>
  <si>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</si>
  <si>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</si>
  <si>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</si>
  <si>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</si>
  <si>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</si>
  <si>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</si>
  <si>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</si>
  <si>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</si>
  <si>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</si>
  <si>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</si>
  <si>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</si>
  <si>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</si>
  <si>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</si>
  <si>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</si>
  <si>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</si>
  <si>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</si>
  <si>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</si>
  <si>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</si>
  <si>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</si>
  <si>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</si>
  <si>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</si>
  <si>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</si>
  <si>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</si>
  <si>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</si>
  <si>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</si>
  <si>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</si>
  <si>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</si>
  <si>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</si>
  <si>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</si>
  <si>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</si>
  <si>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</si>
  <si>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</si>
  <si>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</si>
  <si>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</si>
  <si>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</si>
  <si>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</si>
  <si>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</si>
  <si>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</si>
  <si>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</si>
  <si>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</si>
  <si>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</si>
  <si>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</si>
  <si>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</si>
  <si>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</si>
  <si>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</si>
  <si>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</si>
  <si>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</si>
  <si>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</si>
  <si>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</si>
  <si>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</si>
  <si>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</si>
  <si>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</si>
  <si>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</si>
  <si>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</si>
  <si>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</si>
  <si>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</si>
  <si>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</si>
  <si>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</si>
  <si>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</si>
  <si>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</si>
  <si>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</si>
  <si>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</si>
  <si>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</si>
  <si>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</si>
  <si>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</si>
  <si>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</si>
  <si>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</si>
  <si>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</si>
  <si>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</si>
  <si>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</si>
  <si>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</si>
  <si>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</si>
  <si>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</si>
  <si>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</si>
  <si>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</si>
  <si>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</si>
  <si>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</si>
  <si>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</si>
  <si>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</si>
  <si>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</si>
  <si>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</si>
  <si>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</si>
  <si>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</si>
  <si>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</si>
  <si>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</si>
  <si>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</si>
  <si>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</si>
  <si>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</si>
  <si>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</si>
  <si>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</si>
  <si>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</si>
  <si>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</si>
  <si>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</si>
  <si>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</si>
  <si>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</si>
  <si>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</si>
  <si>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</si>
  <si>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</si>
  <si>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</si>
  <si>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</si>
  <si>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</si>
  <si>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</si>
  <si>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</si>
  <si>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</si>
  <si>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</si>
  <si>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</si>
  <si>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</si>
  <si>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</si>
  <si>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</si>
  <si>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</si>
  <si>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</si>
  <si>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</si>
  <si>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</si>
  <si>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</si>
  <si>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</si>
  <si>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</si>
  <si>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</si>
  <si>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</si>
  <si>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</si>
  <si>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</si>
  <si>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</si>
  <si>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</si>
  <si>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</si>
  <si>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</si>
  <si>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</si>
  <si>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</si>
  <si>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</si>
  <si>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</si>
  <si>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</si>
  <si>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</si>
  <si>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</si>
  <si>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</si>
  <si>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</si>
  <si>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</si>
  <si>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</si>
  <si>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</si>
  <si>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</si>
  <si>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</si>
  <si>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</si>
  <si>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</si>
  <si>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</si>
  <si>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</si>
  <si>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</si>
  <si>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</si>
  <si>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</si>
  <si>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</si>
  <si>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</si>
  <si>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</si>
  <si>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</si>
  <si>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</si>
  <si>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</si>
  <si>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</si>
  <si>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</si>
  <si>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</si>
  <si>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</si>
  <si>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</si>
  <si>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</si>
  <si>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</si>
  <si>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</si>
  <si>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</si>
  <si>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</si>
  <si>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</si>
  <si>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</si>
  <si>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</si>
  <si>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</si>
  <si>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</si>
  <si>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</si>
  <si>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</si>
  <si>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</si>
  <si>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</si>
  <si>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</si>
  <si>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</si>
  <si>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</si>
  <si>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</si>
  <si>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</si>
  <si>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</si>
  <si>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</si>
  <si>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</si>
  <si>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</si>
  <si>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</si>
  <si>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</si>
  <si>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</si>
  <si>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</si>
  <si>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</si>
  <si>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</si>
  <si>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</si>
  <si>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</si>
  <si>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</si>
  <si>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</si>
  <si>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</si>
  <si>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</si>
  <si>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</si>
  <si>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</si>
  <si>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</si>
  <si>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</si>
  <si>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</si>
  <si>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</si>
  <si>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</si>
  <si>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</si>
  <si>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</si>
  <si>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</si>
  <si>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</si>
  <si>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</si>
  <si>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</si>
  <si>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</si>
  <si>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</si>
  <si>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</si>
  <si>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</si>
  <si>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</si>
  <si>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</si>
  <si>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</si>
  <si>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</si>
  <si>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</si>
  <si>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</si>
  <si>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</si>
  <si>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</si>
  <si>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</si>
  <si>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</si>
  <si>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</si>
  <si>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</si>
  <si>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</si>
  <si>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</si>
  <si>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</si>
  <si>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</si>
  <si>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</si>
  <si>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</si>
  <si>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</si>
  <si>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</si>
  <si>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</si>
  <si>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</si>
  <si>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</si>
  <si>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</si>
  <si>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</si>
  <si>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</si>
  <si>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</si>
  <si>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</si>
  <si>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</si>
  <si>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</si>
  <si>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</si>
  <si>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</si>
  <si>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</si>
  <si>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</si>
  <si>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</si>
  <si>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</si>
  <si>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</si>
  <si>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</si>
  <si>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</si>
  <si>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</si>
  <si>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</si>
  <si>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</si>
  <si>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</si>
  <si>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</si>
  <si>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</si>
  <si>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</si>
  <si>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</si>
  <si>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</si>
  <si>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</si>
  <si>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</si>
  <si>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</si>
  <si>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</si>
  <si>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</si>
  <si>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</si>
  <si>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</si>
  <si>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</si>
  <si>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</si>
  <si>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</si>
  <si>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</si>
  <si>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</si>
  <si>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</si>
  <si>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</si>
  <si>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</si>
  <si>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</si>
  <si>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</si>
  <si>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</si>
  <si>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</si>
  <si>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</si>
  <si>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</si>
  <si>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</si>
  <si>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</si>
  <si>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</si>
  <si>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</si>
  <si>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</si>
  <si>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</si>
  <si>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</si>
  <si>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</si>
  <si>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</si>
  <si>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</si>
  <si>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</si>
  <si>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</si>
  <si>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</si>
  <si>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</si>
  <si>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</si>
  <si>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</si>
  <si>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</si>
  <si>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</si>
  <si>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</si>
  <si>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</si>
  <si>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</si>
  <si>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</si>
  <si>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</si>
  <si>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</si>
  <si>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</si>
  <si>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</si>
  <si>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</si>
  <si>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</si>
  <si>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</si>
  <si>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</si>
  <si>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</si>
  <si>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</si>
  <si>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</si>
  <si>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</si>
  <si>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</si>
  <si>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</si>
  <si>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</si>
  <si>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</si>
  <si>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</si>
  <si>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</si>
  <si>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</si>
  <si>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</si>
  <si>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</si>
  <si>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</si>
  <si>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</si>
  <si>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</si>
  <si>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</si>
  <si>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</si>
  <si>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</si>
  <si>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</si>
  <si>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</si>
  <si>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</si>
  <si>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</si>
  <si>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</si>
  <si>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</si>
  <si>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</si>
  <si>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</si>
  <si>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</si>
  <si>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</si>
  <si>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</si>
  <si>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</si>
  <si>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</si>
  <si>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</si>
  <si>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</si>
  <si>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</si>
  <si>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</si>
  <si>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</si>
  <si>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</si>
  <si>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</si>
  <si>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</si>
  <si>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</si>
  <si>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</si>
  <si>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</si>
  <si>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</si>
  <si>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</si>
  <si>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</si>
  <si>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</si>
  <si>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</si>
  <si>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</si>
  <si>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</si>
  <si>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</si>
  <si>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</si>
  <si>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</si>
  <si>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</si>
  <si>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</si>
  <si>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</si>
  <si>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</si>
  <si>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</si>
  <si>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</si>
  <si>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</si>
  <si>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</si>
  <si>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</si>
  <si>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</si>
  <si>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</si>
  <si>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</si>
  <si>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</si>
  <si>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</si>
  <si>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</si>
  <si>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</si>
  <si>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</si>
  <si>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</si>
  <si>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</si>
  <si>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</si>
  <si>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</si>
  <si>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</si>
  <si>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</si>
  <si>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</si>
  <si>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</si>
  <si>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</si>
  <si>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</si>
  <si>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</si>
  <si>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</si>
  <si>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</si>
  <si>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</si>
  <si>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</si>
  <si>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</si>
  <si>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</si>
  <si>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</si>
  <si>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</si>
  <si>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</si>
  <si>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</si>
  <si>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</si>
  <si>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</si>
  <si>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</si>
  <si>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</si>
  <si>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</si>
  <si>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</si>
  <si>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</si>
  <si>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</si>
  <si>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</si>
  <si>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</si>
  <si>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</si>
  <si>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</si>
  <si>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</si>
  <si>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</si>
  <si>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</si>
  <si>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</si>
  <si>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</si>
  <si>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</si>
  <si>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</si>
  <si>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</si>
  <si>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</si>
  <si>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</si>
  <si>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</si>
  <si>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</si>
  <si>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</si>
  <si>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</si>
  <si>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</si>
  <si>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</si>
  <si>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</si>
  <si>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</si>
  <si>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</si>
  <si>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</si>
  <si>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</si>
  <si>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</si>
  <si>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</si>
  <si>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</si>
  <si>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</si>
  <si>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</si>
  <si>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</si>
  <si>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</si>
  <si>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</si>
  <si>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</si>
  <si>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</si>
  <si>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</si>
  <si>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</si>
  <si>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</si>
  <si>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</si>
  <si>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</si>
  <si>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</si>
  <si>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</si>
  <si>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</si>
  <si>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</si>
  <si>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</si>
  <si>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</si>
  <si>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</si>
  <si>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</si>
  <si>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</si>
  <si>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</si>
  <si>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</si>
  <si>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</si>
  <si>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</si>
  <si>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</si>
  <si>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</si>
  <si>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</si>
  <si>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</si>
  <si>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</si>
  <si>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</si>
  <si>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</si>
  <si>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</si>
  <si>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</si>
  <si>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</si>
  <si>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</si>
  <si>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</si>
  <si>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</si>
  <si>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</si>
  <si>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</si>
  <si>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</si>
  <si>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</si>
  <si>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</si>
  <si>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</si>
  <si>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</si>
  <si>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</si>
  <si>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</si>
  <si>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</si>
  <si>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</si>
  <si>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</si>
  <si>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</si>
  <si>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</si>
  <si>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</si>
  <si>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</si>
  <si>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</si>
  <si>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</si>
  <si>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</si>
  <si>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</si>
  <si>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</si>
  <si>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</si>
  <si>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</si>
  <si>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</si>
  <si>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</si>
  <si>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</si>
  <si>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</si>
  <si>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</si>
  <si>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</si>
  <si>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</si>
  <si>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</si>
  <si>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</si>
  <si>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</si>
  <si>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</si>
  <si>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</si>
  <si>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</si>
  <si>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</si>
  <si>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</si>
  <si>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</si>
  <si>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</si>
  <si>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</si>
  <si>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</si>
  <si>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</si>
  <si>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</si>
  <si>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</si>
  <si>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</si>
  <si>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</si>
  <si>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</si>
  <si>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</si>
  <si>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</si>
  <si>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</si>
  <si>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</si>
  <si>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</si>
  <si>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</si>
  <si>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</si>
  <si>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</si>
  <si>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</si>
  <si>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</si>
  <si>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</si>
  <si>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</si>
  <si>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</si>
  <si>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</si>
  <si>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</si>
  <si>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</si>
  <si>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</si>
  <si>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</si>
  <si>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</si>
  <si>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</si>
  <si>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</si>
  <si>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</si>
  <si>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</si>
  <si>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</si>
  <si>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</si>
  <si>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</si>
  <si>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</si>
  <si>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</si>
  <si>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</si>
  <si>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</si>
  <si>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</si>
  <si>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</si>
  <si>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</si>
  <si>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</si>
  <si>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</si>
  <si>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</si>
  <si>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</si>
  <si>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</si>
  <si>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</si>
  <si>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</si>
  <si>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</si>
  <si>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</si>
  <si>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</si>
  <si>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</si>
  <si>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</si>
  <si>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</si>
  <si>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</si>
  <si>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</si>
  <si>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</si>
  <si>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</si>
  <si>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</si>
  <si>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</si>
  <si>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</si>
  <si>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</si>
  <si>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</si>
  <si>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</si>
  <si>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</si>
  <si>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</si>
  <si>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</si>
  <si>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</si>
  <si>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</si>
  <si>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</si>
  <si>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</si>
  <si>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</si>
  <si>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</si>
  <si>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</si>
  <si>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</si>
  <si>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</si>
  <si>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</si>
  <si>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</si>
  <si>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</si>
  <si>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</si>
  <si>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</si>
  <si>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</si>
  <si>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</si>
  <si>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</si>
  <si>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</si>
  <si>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</si>
  <si>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</si>
  <si>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</si>
  <si>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</si>
  <si>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</si>
  <si>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</si>
  <si>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</si>
  <si>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</si>
  <si>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</si>
  <si>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</si>
  <si>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</si>
  <si>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</si>
  <si>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</si>
  <si>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</si>
  <si>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</si>
  <si>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</si>
  <si>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</si>
  <si>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</si>
  <si>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</si>
  <si>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</si>
  <si>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</si>
  <si>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</si>
  <si>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</si>
  <si>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</si>
  <si>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</si>
  <si>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</si>
  <si>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</si>
  <si>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</si>
  <si>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</si>
  <si>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</si>
  <si>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</si>
  <si>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</si>
  <si>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</si>
  <si>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</si>
  <si>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</si>
  <si>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</si>
  <si>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</si>
  <si>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</si>
  <si>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</si>
  <si>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</si>
  <si>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</si>
  <si>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</si>
  <si>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</si>
  <si>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</si>
  <si>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</si>
  <si>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</si>
  <si>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</si>
  <si>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</si>
  <si>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</si>
  <si>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</si>
  <si>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</si>
  <si>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</si>
  <si>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</si>
  <si>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</si>
  <si>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</si>
  <si>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</si>
  <si>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</si>
  <si>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</si>
  <si>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</si>
  <si>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</si>
  <si>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</si>
  <si>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</si>
  <si>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</si>
  <si>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</si>
  <si>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</si>
  <si>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</si>
  <si>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</si>
  <si>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</si>
  <si>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</si>
  <si>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</si>
  <si>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</si>
  <si>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</si>
  <si>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</si>
  <si>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</si>
  <si>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</si>
  <si>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</si>
  <si>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</si>
  <si>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</si>
  <si>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</si>
  <si>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</si>
  <si>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</si>
  <si>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</si>
  <si>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</si>
  <si>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</si>
  <si>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</si>
  <si>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</si>
  <si>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</si>
  <si>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</si>
  <si>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</si>
  <si>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</si>
  <si>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</si>
  <si>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</si>
  <si>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</si>
  <si>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</si>
  <si>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</si>
  <si>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</si>
  <si>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</si>
  <si>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</si>
  <si>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</si>
  <si>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</si>
  <si>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</si>
  <si>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</si>
  <si>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</si>
  <si>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</si>
  <si>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</si>
  <si>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</si>
  <si>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</si>
  <si>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</si>
  <si>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</si>
  <si>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</si>
  <si>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</si>
  <si>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</si>
  <si>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</si>
  <si>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</si>
  <si>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</si>
  <si>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</si>
  <si>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</si>
  <si>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</si>
  <si>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</si>
  <si>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</si>
  <si>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</si>
  <si>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</si>
  <si>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</si>
  <si>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</si>
  <si>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</si>
  <si>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</si>
  <si>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</si>
  <si>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</si>
  <si>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</si>
  <si>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</si>
  <si>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</si>
  <si>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</si>
  <si>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</si>
  <si>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</si>
  <si>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</si>
  <si>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</si>
  <si>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</si>
  <si>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</si>
  <si>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</si>
  <si>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</si>
  <si>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</si>
  <si>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</si>
  <si>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</si>
  <si>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</si>
  <si>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</si>
  <si>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</si>
  <si>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</si>
  <si>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</si>
  <si>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</si>
  <si>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</si>
  <si>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</si>
  <si>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</si>
  <si>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</si>
  <si>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</si>
  <si>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</si>
  <si>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</si>
  <si>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</si>
  <si>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</si>
  <si>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</si>
  <si>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</si>
  <si>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</si>
  <si>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</si>
  <si>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</si>
  <si>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</si>
  <si>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</si>
  <si>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</si>
  <si>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</si>
  <si>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</si>
  <si>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</si>
  <si>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</si>
  <si>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</si>
  <si>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</si>
  <si>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</si>
  <si>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</si>
  <si>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</si>
  <si>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</si>
  <si>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</si>
  <si>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</si>
  <si>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</si>
  <si>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</si>
  <si>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</si>
  <si>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</si>
  <si>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</si>
  <si>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</si>
  <si>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</si>
  <si>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</si>
  <si>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</si>
  <si>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</si>
  <si>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</si>
  <si>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</si>
  <si>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</si>
  <si>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</si>
  <si>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</si>
  <si>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</si>
  <si>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</si>
  <si>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</si>
  <si>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</si>
  <si>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</si>
  <si>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</si>
  <si>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</si>
  <si>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</si>
  <si>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</si>
  <si>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</si>
  <si>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</si>
  <si>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</si>
  <si>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</si>
  <si>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</si>
  <si>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</si>
  <si>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</si>
  <si>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</si>
  <si>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</si>
  <si>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</si>
  <si>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</si>
  <si>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</si>
  <si>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</si>
  <si>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</si>
  <si>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</si>
  <si>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</si>
  <si>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</si>
  <si>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</si>
  <si>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</si>
  <si>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</si>
  <si>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</si>
  <si>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</si>
  <si>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</si>
  <si>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</si>
  <si>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</si>
  <si>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</si>
  <si>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</si>
  <si>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</si>
  <si>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</si>
  <si>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</si>
  <si>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</si>
  <si>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</si>
  <si>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</si>
  <si>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</si>
  <si>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</si>
  <si>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</si>
  <si>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</si>
  <si>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</si>
  <si>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</si>
  <si>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</si>
  <si>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</si>
  <si>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</si>
  <si>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</si>
  <si>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</si>
  <si>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</si>
  <si>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</si>
  <si>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</si>
  <si>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</si>
  <si>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</si>
  <si>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</si>
  <si>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</si>
  <si>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</si>
  <si>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</si>
  <si>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</si>
  <si>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</si>
  <si>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</si>
  <si>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</si>
  <si>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</si>
  <si>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</si>
  <si>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</si>
  <si>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</si>
  <si>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</si>
  <si>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</si>
  <si>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</si>
  <si>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</si>
  <si>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</si>
  <si>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</si>
  <si>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</si>
  <si>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</si>
  <si>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</si>
  <si>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</si>
  <si>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</si>
  <si>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</si>
  <si>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</si>
  <si>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</si>
  <si>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</si>
  <si>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</si>
  <si>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</si>
  <si>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</si>
  <si>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</si>
  <si>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</si>
  <si>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</si>
  <si>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</si>
  <si>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</si>
  <si>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</si>
  <si>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</si>
  <si>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</si>
  <si>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</si>
  <si>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</si>
  <si>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</si>
  <si>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</si>
  <si>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</si>
  <si>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</si>
  <si>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</si>
  <si>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</si>
  <si>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</si>
  <si>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</si>
  <si>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</si>
  <si>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</si>
  <si>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</si>
  <si>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</si>
  <si>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</si>
  <si>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</si>
  <si>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</si>
  <si>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</si>
  <si>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</si>
  <si>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</si>
  <si>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</si>
  <si>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</si>
  <si>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</si>
  <si>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</si>
  <si>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</si>
  <si>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</si>
  <si>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</si>
  <si>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</si>
  <si>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</si>
  <si>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</si>
  <si>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</si>
  <si>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</si>
  <si>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</si>
  <si>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</si>
  <si>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</si>
  <si>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</si>
  <si>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</si>
  <si>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</si>
  <si>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</si>
  <si>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</si>
  <si>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</si>
  <si>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</si>
  <si>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</si>
  <si>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</si>
  <si>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</si>
  <si>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</si>
  <si>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</si>
  <si>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</si>
  <si>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</si>
  <si>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</si>
  <si>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</si>
  <si>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</si>
  <si>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</si>
  <si>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</si>
  <si>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</si>
  <si>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</si>
  <si>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</si>
  <si>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</si>
  <si>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</si>
  <si>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</si>
  <si>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</si>
  <si>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</si>
  <si>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</si>
  <si>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</si>
  <si>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</si>
  <si>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</si>
  <si>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</si>
  <si>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</si>
  <si>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</si>
  <si>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</si>
  <si>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</si>
  <si>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</si>
  <si>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</si>
  <si>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</si>
  <si>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</si>
  <si>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</si>
  <si>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</si>
  <si>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</si>
  <si>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</si>
  <si>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</si>
  <si>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</si>
  <si>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</si>
  <si>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</si>
  <si>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</si>
  <si>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</si>
  <si>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</si>
  <si>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</si>
  <si>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</si>
  <si>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</si>
  <si>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</si>
  <si>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</si>
  <si>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</si>
  <si>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</si>
  <si>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</si>
  <si>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</si>
  <si>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</si>
  <si>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</si>
  <si>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</si>
  <si>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</si>
  <si>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</si>
  <si>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</si>
  <si>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</si>
  <si>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</si>
  <si>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</si>
  <si>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</si>
  <si>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</si>
  <si>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</si>
  <si>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</si>
  <si>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</si>
  <si>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</si>
  <si>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</si>
  <si>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</si>
  <si>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</si>
  <si>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</si>
  <si>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</si>
  <si>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</si>
  <si>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</si>
  <si>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</si>
  <si>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</si>
  <si>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</si>
  <si>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</si>
  <si>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</si>
  <si>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</si>
  <si>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</si>
  <si>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</si>
  <si>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</si>
  <si>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</si>
  <si>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</si>
  <si>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</si>
  <si>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</si>
  <si>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</si>
  <si>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</si>
  <si>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</si>
  <si>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</si>
  <si>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</si>
  <si>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</si>
  <si>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</si>
  <si>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</si>
  <si>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</si>
  <si>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</si>
  <si>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</si>
  <si>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</si>
  <si>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</si>
  <si>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</si>
  <si>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</si>
  <si>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</si>
  <si>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</si>
  <si>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</si>
  <si>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</si>
  <si>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</si>
  <si>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</si>
  <si>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</si>
  <si>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</si>
  <si>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</si>
  <si>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</si>
  <si>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</si>
  <si>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</si>
  <si>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</si>
  <si>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</si>
  <si>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</si>
  <si>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</si>
  <si>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</si>
  <si>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</si>
  <si>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</si>
  <si>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</si>
  <si>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</si>
  <si>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</si>
  <si>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</si>
  <si>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</si>
  <si>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</si>
  <si>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</si>
  <si>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</si>
  <si>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</si>
  <si>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</si>
  <si>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</si>
  <si>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</si>
  <si>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</si>
  <si>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</si>
  <si>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</si>
  <si>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</si>
  <si>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</si>
  <si>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</si>
  <si>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</si>
  <si>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</si>
  <si>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</si>
  <si>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</si>
  <si>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</si>
  <si>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</si>
  <si>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</si>
  <si>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</si>
  <si>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</si>
  <si>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</si>
  <si>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</si>
  <si>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</si>
  <si>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</si>
  <si>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</si>
  <si>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</si>
  <si>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</si>
  <si>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</si>
  <si>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</si>
  <si>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</si>
  <si>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</si>
  <si>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</si>
  <si>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</si>
  <si>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</si>
  <si>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</si>
  <si>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</si>
  <si>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</si>
  <si>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</si>
  <si>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</si>
  <si>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</si>
  <si>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</si>
  <si>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</si>
  <si>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</si>
  <si>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</si>
  <si>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</si>
  <si>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</si>
  <si>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</si>
  <si>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</si>
  <si>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</si>
  <si>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</si>
  <si>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</si>
  <si>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</si>
  <si>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</si>
  <si>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</si>
  <si>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</si>
  <si>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</si>
  <si>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</si>
  <si>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</si>
  <si>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</si>
  <si>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</si>
  <si>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</si>
  <si>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</si>
  <si>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</si>
  <si>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</si>
  <si>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</si>
  <si>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</si>
  <si>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</si>
  <si>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</si>
  <si>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</si>
  <si>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</si>
  <si>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</si>
  <si>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</si>
  <si>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</si>
  <si>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</si>
  <si>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</si>
  <si>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</si>
  <si>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</si>
  <si>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</si>
  <si>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</si>
  <si>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</si>
  <si>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</si>
  <si>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</si>
  <si>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</si>
  <si>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</si>
  <si>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</si>
  <si>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</si>
  <si>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</si>
  <si>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</si>
  <si>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</si>
  <si>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</si>
  <si>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</si>
  <si>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</si>
  <si>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</si>
  <si>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</si>
  <si>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</si>
  <si>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</si>
  <si>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</si>
  <si>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</si>
  <si>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</si>
  <si>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</si>
  <si>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</si>
  <si>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</si>
  <si>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</si>
  <si>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</si>
  <si>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</si>
  <si>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</si>
  <si>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</si>
  <si>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</si>
  <si>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</si>
  <si>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</si>
  <si>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</si>
  <si>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</si>
  <si>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</si>
  <si>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</si>
  <si>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</si>
  <si>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</si>
  <si>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</si>
  <si>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</si>
  <si>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</si>
  <si>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</si>
  <si>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</si>
  <si>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</si>
  <si>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</si>
  <si>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</si>
  <si>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</si>
  <si>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</si>
  <si>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</si>
  <si>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</si>
  <si>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</si>
  <si>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</si>
  <si>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</si>
  <si>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</si>
  <si>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</si>
  <si>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</si>
  <si>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</si>
  <si>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</si>
  <si>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</si>
  <si>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</si>
  <si>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</si>
  <si>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</si>
  <si>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</si>
  <si>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</si>
  <si>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</si>
  <si>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</si>
  <si>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</si>
  <si>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</si>
  <si>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</si>
  <si>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</si>
  <si>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</si>
  <si>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</si>
  <si>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</si>
  <si>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</si>
  <si>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</si>
  <si>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</si>
  <si>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</si>
  <si>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</si>
  <si>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</si>
  <si>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</si>
  <si>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</si>
  <si>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</si>
  <si>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</si>
  <si>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</si>
  <si>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</si>
  <si>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</si>
  <si>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</si>
  <si>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</si>
  <si>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</si>
  <si>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</si>
  <si>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</si>
  <si>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</si>
  <si>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</si>
  <si>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</si>
  <si>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</si>
  <si>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</si>
  <si>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</si>
  <si>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</si>
  <si>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</si>
  <si>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</si>
  <si>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</si>
  <si>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</si>
  <si>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</si>
  <si>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</si>
  <si>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</si>
  <si>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</si>
  <si>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</si>
  <si>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</si>
  <si>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</si>
  <si>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</si>
  <si>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</si>
  <si>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</si>
  <si>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</si>
  <si>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</si>
  <si>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</si>
  <si>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</si>
  <si>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</si>
  <si>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</si>
  <si>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</si>
  <si>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</si>
  <si>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</si>
  <si>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</si>
  <si>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</si>
  <si>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</si>
  <si>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</si>
  <si>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</si>
  <si>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</si>
  <si>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</si>
  <si>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</si>
  <si>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</si>
  <si>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</si>
  <si>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</si>
  <si>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</si>
  <si>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</si>
  <si>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</si>
  <si>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</si>
  <si>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</si>
  <si>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</si>
  <si>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</si>
  <si>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</si>
  <si>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</si>
  <si>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</si>
  <si>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</si>
  <si>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</si>
  <si>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</si>
  <si>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</si>
  <si>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</si>
  <si>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</si>
  <si>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</si>
  <si>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</si>
  <si>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</si>
  <si>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</si>
  <si>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</si>
  <si>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</si>
  <si>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</si>
  <si>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</si>
  <si>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</si>
  <si>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</si>
  <si>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</si>
  <si>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</si>
  <si>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</si>
  <si>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</si>
  <si>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</si>
  <si>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</si>
  <si>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</si>
  <si>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</si>
  <si>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</si>
  <si>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</si>
  <si>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</si>
  <si>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</si>
  <si>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</si>
  <si>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</si>
  <si>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</si>
  <si>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</si>
  <si>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</si>
  <si>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</si>
  <si>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</si>
  <si>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</si>
  <si>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</si>
  <si>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</si>
  <si>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</si>
  <si>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</si>
  <si>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</si>
  <si>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</si>
  <si>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</si>
  <si>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</si>
  <si>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</si>
  <si>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</si>
  <si>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</si>
  <si>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</si>
  <si>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</si>
  <si>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</si>
  <si>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</si>
  <si>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</si>
  <si>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</si>
  <si>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</si>
  <si>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</si>
  <si>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</si>
  <si>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</si>
  <si>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</si>
  <si>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</si>
  <si>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</si>
  <si>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</si>
  <si>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</si>
  <si>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</si>
  <si>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</si>
  <si>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</si>
  <si>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</si>
  <si>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</si>
  <si>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</si>
  <si>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</si>
  <si>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</si>
  <si>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</si>
  <si>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</si>
  <si>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</si>
  <si>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</si>
  <si>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</si>
  <si>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</si>
  <si>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</si>
  <si>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</si>
  <si>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</si>
  <si>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</si>
  <si>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</si>
  <si>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</si>
  <si>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</si>
  <si>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</si>
  <si>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</si>
  <si>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</si>
  <si>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</si>
  <si>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</si>
  <si>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</si>
  <si>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</si>
  <si>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</si>
  <si>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</si>
  <si>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</si>
  <si>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</si>
  <si>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</si>
  <si>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</si>
  <si>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</si>
  <si>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</si>
  <si>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</si>
  <si>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</si>
  <si>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</si>
  <si>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</si>
  <si>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</si>
  <si>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</si>
  <si>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</si>
  <si>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</si>
  <si>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</si>
  <si>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</si>
  <si>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</si>
  <si>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</si>
  <si>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</si>
  <si>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</si>
  <si>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</si>
  <si>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</si>
  <si>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</si>
  <si>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</si>
  <si>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</si>
  <si>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</si>
  <si>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</si>
  <si>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</si>
  <si>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</si>
  <si>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</si>
  <si>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</si>
  <si>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</si>
  <si>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</si>
  <si>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</si>
  <si>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</si>
  <si>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</si>
  <si>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</si>
  <si>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</si>
  <si>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</si>
  <si>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</si>
  <si>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</si>
  <si>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</si>
  <si>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</si>
  <si>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</si>
  <si>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</si>
  <si>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</si>
  <si>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</si>
  <si>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</si>
  <si>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</si>
  <si>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</si>
  <si>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</si>
  <si>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</si>
  <si>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</si>
  <si>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</si>
  <si>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</si>
  <si>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</si>
  <si>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</si>
  <si>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</si>
  <si>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</si>
  <si>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</si>
  <si>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</si>
  <si>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</si>
  <si>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</si>
  <si>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</si>
  <si>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</si>
  <si>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</si>
  <si>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</si>
  <si>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</si>
  <si>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</si>
  <si>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</si>
  <si>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</si>
  <si>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</si>
  <si>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</si>
  <si>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</si>
  <si>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</si>
  <si>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</si>
  <si>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</si>
  <si>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</si>
  <si>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</si>
  <si>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</si>
  <si>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</si>
  <si>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</si>
  <si>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</si>
  <si>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</si>
  <si>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</si>
  <si>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</si>
  <si>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</si>
  <si>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</si>
  <si>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</si>
  <si>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</si>
  <si>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</si>
  <si>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</si>
  <si>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</si>
  <si>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</si>
  <si>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</si>
  <si>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</si>
  <si>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</si>
  <si>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</si>
  <si>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</si>
  <si>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</si>
  <si>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</si>
  <si>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</si>
  <si>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</si>
  <si>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</si>
  <si>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</si>
  <si>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</si>
  <si>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</si>
  <si>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</si>
  <si>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</si>
  <si>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</si>
  <si>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</si>
  <si>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</si>
  <si>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</si>
  <si>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</si>
  <si>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</si>
  <si>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</si>
  <si>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</si>
  <si>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</si>
  <si>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</si>
  <si>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</si>
  <si>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</si>
  <si>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</si>
  <si>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</si>
  <si>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</si>
  <si>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</si>
  <si>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</si>
  <si>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</si>
  <si>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</si>
  <si>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</si>
  <si>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</si>
  <si>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</si>
  <si>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</si>
  <si>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</si>
  <si>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</si>
  <si>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</si>
  <si>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</si>
  <si>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</si>
  <si>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</si>
  <si>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</si>
  <si>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</si>
  <si>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</si>
  <si>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</si>
  <si>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</si>
  <si>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</si>
  <si>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</si>
  <si>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</si>
  <si>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</si>
  <si>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</si>
  <si>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</si>
  <si>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</si>
  <si>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</si>
  <si>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</si>
  <si>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</si>
  <si>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</si>
  <si>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</si>
  <si>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</si>
  <si>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</si>
  <si>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</si>
  <si>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</si>
  <si>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</si>
  <si>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</si>
  <si>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</si>
  <si>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</si>
  <si>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</si>
  <si>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</si>
  <si>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</si>
  <si>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</si>
  <si>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</si>
  <si>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</si>
  <si>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</si>
  <si>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</si>
  <si>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</si>
  <si>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</si>
  <si>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</si>
  <si>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</si>
  <si>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</si>
  <si>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</si>
  <si>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</si>
  <si>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</si>
  <si>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</si>
  <si>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</si>
  <si>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</si>
  <si>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</si>
  <si>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</si>
  <si>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</si>
  <si>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</si>
  <si>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</si>
  <si>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</si>
  <si>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</si>
  <si>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</si>
  <si>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</si>
  <si>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</si>
  <si>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</si>
  <si>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</si>
  <si>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</si>
  <si>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</si>
  <si>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</si>
  <si>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</si>
  <si>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</si>
  <si>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</si>
  <si>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</si>
  <si>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</si>
  <si>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</si>
  <si>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</si>
  <si>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</si>
  <si>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</si>
  <si>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</si>
  <si>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</si>
  <si>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</si>
  <si>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</si>
  <si>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</si>
  <si>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</si>
  <si>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</si>
  <si>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</si>
  <si>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</si>
  <si>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</si>
  <si>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</si>
  <si>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</si>
  <si>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</si>
  <si>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</si>
  <si>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</si>
  <si>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</si>
  <si>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</si>
  <si>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</si>
  <si>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</si>
  <si>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</si>
  <si>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</si>
  <si>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</si>
  <si>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</si>
  <si>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</si>
  <si>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</si>
  <si>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</si>
  <si>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</si>
  <si>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</si>
  <si>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</si>
  <si>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</si>
  <si>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</si>
  <si>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</si>
  <si>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</si>
  <si>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</si>
  <si>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</si>
  <si>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</si>
  <si>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</si>
  <si>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</si>
  <si>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</si>
  <si>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</si>
  <si>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</si>
  <si>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</si>
  <si>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</si>
  <si>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</si>
  <si>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</si>
  <si>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</si>
  <si>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</si>
  <si>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</si>
  <si>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</si>
  <si>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</si>
  <si>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</si>
  <si>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</si>
  <si>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</si>
  <si>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</si>
  <si>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</si>
  <si>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</si>
  <si>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</si>
  <si>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</si>
  <si>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</si>
  <si>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</si>
  <si>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</si>
  <si>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</si>
  <si>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</si>
  <si>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</si>
  <si>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</si>
  <si>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</si>
  <si>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</si>
  <si>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</si>
  <si>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</si>
  <si>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</si>
  <si>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</si>
  <si>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</si>
  <si>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</si>
  <si>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</si>
  <si>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</si>
  <si>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</si>
  <si>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</si>
  <si>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</si>
  <si>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</si>
  <si>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</si>
  <si>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</si>
  <si>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</si>
  <si>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</si>
  <si>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</si>
  <si>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</si>
  <si>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</si>
  <si>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</si>
  <si>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</si>
  <si>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</si>
  <si>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</si>
  <si>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</si>
  <si>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</si>
  <si>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</si>
  <si>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</si>
  <si>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</si>
  <si>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</si>
  <si>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</si>
  <si>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</si>
  <si>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</si>
  <si>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</si>
  <si>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</si>
  <si>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</si>
  <si>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</si>
  <si>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</si>
  <si>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</si>
  <si>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</si>
  <si>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</si>
  <si>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</si>
  <si>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</si>
  <si>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</si>
  <si>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</si>
  <si>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</si>
  <si>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</si>
  <si>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</si>
  <si>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</si>
  <si>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</si>
  <si>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</si>
  <si>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</si>
  <si>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</si>
  <si>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</si>
  <si>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</si>
  <si>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</si>
  <si>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</si>
  <si>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</si>
  <si>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</si>
  <si>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</si>
  <si>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</si>
  <si>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</si>
  <si>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</si>
  <si>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</si>
  <si>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</si>
  <si>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</si>
  <si>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</si>
  <si>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</si>
  <si>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</si>
  <si>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</si>
  <si>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</si>
  <si>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</si>
  <si>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</si>
  <si>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</si>
  <si>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</si>
  <si>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</si>
  <si>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</si>
  <si>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</si>
  <si>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</si>
  <si>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</si>
  <si>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</si>
  <si>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</si>
  <si>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</si>
  <si>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</si>
  <si>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</si>
  <si>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</si>
  <si>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</si>
  <si>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</si>
  <si>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</si>
  <si>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</si>
  <si>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</si>
  <si>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</si>
  <si>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</si>
  <si>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</si>
  <si>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</si>
  <si>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</si>
  <si>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</si>
  <si>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</si>
  <si>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</si>
  <si>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</si>
  <si>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</si>
  <si>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</si>
  <si>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</si>
  <si>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</si>
  <si>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</si>
  <si>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</si>
  <si>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</si>
  <si>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</si>
  <si>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</si>
  <si>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</si>
  <si>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</si>
  <si>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</si>
  <si>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</si>
  <si>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</si>
  <si>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</si>
  <si>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</si>
  <si>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</si>
  <si>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</si>
  <si>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</si>
  <si>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</si>
  <si>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</si>
  <si>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</si>
  <si>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</si>
  <si>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</si>
  <si>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</si>
  <si>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</si>
  <si>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</si>
  <si>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</si>
  <si>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</si>
  <si>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</si>
  <si>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</si>
  <si>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</si>
  <si>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</si>
  <si>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</si>
  <si>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</si>
  <si>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</si>
  <si>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</si>
  <si>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</si>
  <si>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</si>
  <si>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</si>
  <si>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</si>
  <si>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</si>
  <si>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</si>
  <si>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</si>
  <si>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</si>
  <si>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</si>
  <si>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</si>
  <si>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</si>
  <si>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</si>
  <si>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</si>
  <si>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</si>
  <si>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</si>
  <si>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</si>
  <si>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</si>
  <si>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</si>
  <si>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</si>
  <si>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</si>
  <si>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</si>
  <si>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</si>
  <si>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</si>
  <si>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</si>
  <si>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</si>
  <si>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</si>
  <si>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</si>
  <si>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</si>
  <si>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</si>
  <si>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</si>
  <si>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</si>
  <si>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</si>
  <si>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</si>
  <si>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</si>
  <si>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</si>
  <si>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</si>
  <si>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</si>
  <si>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</si>
  <si>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</si>
  <si>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</si>
  <si>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</si>
  <si>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</si>
  <si>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</si>
  <si>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</si>
  <si>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</si>
  <si>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</si>
  <si>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</si>
  <si>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</si>
  <si>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</si>
  <si>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</si>
  <si>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</si>
  <si>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</si>
  <si>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</si>
  <si>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</si>
  <si>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</si>
  <si>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</si>
  <si>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</si>
  <si>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</si>
  <si>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</si>
  <si>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</si>
  <si>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</si>
  <si>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</si>
  <si>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</si>
  <si>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</si>
  <si>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</si>
  <si>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</si>
  <si>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</si>
  <si>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</si>
  <si>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</si>
  <si>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</si>
  <si>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</si>
  <si>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</si>
  <si>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</si>
  <si>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</si>
  <si>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</si>
  <si>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</si>
  <si>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</si>
  <si>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</si>
  <si>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</si>
  <si>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</si>
  <si>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</si>
  <si>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</si>
  <si>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</si>
  <si>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</si>
  <si>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</si>
  <si>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</si>
  <si>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</si>
  <si>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</si>
  <si>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</si>
  <si>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</si>
  <si>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</si>
  <si>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</si>
  <si>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</si>
  <si>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</si>
  <si>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</si>
  <si>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</si>
  <si>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</si>
  <si>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</si>
  <si>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</si>
  <si>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</si>
  <si>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</si>
  <si>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</si>
  <si>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</si>
  <si>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</si>
  <si>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</si>
  <si>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</si>
  <si>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</si>
  <si>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</si>
  <si>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</si>
  <si>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</si>
  <si>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</si>
  <si>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</si>
  <si>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</si>
  <si>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</si>
  <si>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</si>
  <si>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</si>
  <si>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</si>
  <si>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</si>
  <si>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</si>
  <si>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</si>
  <si>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</si>
  <si>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</si>
  <si>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</si>
  <si>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</si>
  <si>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</si>
  <si>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</si>
  <si>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</si>
  <si>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</si>
  <si>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</si>
  <si>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</si>
  <si>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</si>
  <si>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</si>
  <si>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</si>
  <si>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</si>
  <si>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</si>
  <si>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</si>
  <si>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</si>
  <si>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</si>
  <si>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</si>
  <si>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</si>
  <si>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</si>
  <si>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</si>
  <si>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</si>
  <si>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</si>
  <si>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</si>
  <si>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</si>
  <si>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</si>
  <si>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</si>
  <si>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</si>
  <si>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</si>
  <si>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</si>
  <si>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</si>
  <si>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</si>
  <si>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</si>
  <si>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</si>
  <si>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</si>
  <si>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</si>
  <si>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</si>
  <si>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</si>
  <si>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</si>
  <si>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</si>
  <si>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</si>
  <si>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</si>
  <si>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</si>
  <si>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</si>
  <si>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</si>
  <si>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</si>
  <si>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</si>
  <si>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</si>
  <si>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</si>
  <si>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</si>
  <si>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</si>
  <si>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</si>
  <si>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</si>
  <si>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</si>
  <si>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</si>
  <si>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</si>
  <si>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</si>
  <si>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</si>
  <si>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</si>
  <si>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</si>
  <si>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</si>
  <si>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</si>
  <si>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</si>
  <si>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</si>
  <si>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</si>
  <si>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</si>
  <si>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</si>
  <si>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</si>
  <si>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</si>
  <si>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</si>
  <si>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</si>
  <si>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</si>
  <si>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</si>
  <si>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</si>
  <si>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</si>
  <si>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</si>
  <si>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</si>
  <si>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</si>
  <si>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</si>
  <si>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</si>
  <si>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</si>
  <si>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</si>
  <si>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</si>
  <si>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</si>
  <si>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</si>
  <si>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</si>
  <si>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</si>
  <si>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</si>
  <si>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</si>
  <si>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</si>
  <si>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</si>
  <si>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</si>
  <si>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</si>
  <si>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</si>
  <si>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</si>
  <si>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</si>
  <si>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</si>
  <si>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</si>
  <si>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</si>
  <si>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</si>
  <si>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</si>
  <si>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</si>
  <si>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</si>
  <si>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</si>
  <si>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</si>
  <si>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</si>
  <si>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</si>
  <si>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</si>
  <si>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</si>
  <si>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</si>
  <si>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</si>
  <si>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</si>
  <si>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</si>
  <si>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</si>
  <si>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</si>
  <si>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</si>
  <si>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</si>
  <si>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</si>
  <si>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</si>
  <si>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</si>
  <si>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</si>
  <si>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</si>
  <si>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</si>
  <si>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</si>
  <si>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</si>
  <si>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</si>
  <si>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</si>
  <si>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</si>
  <si>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</si>
  <si>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</si>
  <si>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</si>
  <si>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</si>
  <si>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</si>
  <si>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</si>
  <si>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</si>
  <si>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</si>
  <si>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</si>
  <si>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</si>
  <si>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</si>
  <si>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</si>
  <si>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</si>
  <si>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</si>
  <si>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</si>
  <si>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</si>
  <si>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</si>
  <si>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</si>
  <si>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</si>
  <si>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</si>
  <si>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</si>
  <si>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</si>
  <si>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</si>
  <si>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</si>
  <si>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</si>
  <si>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</si>
  <si>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</si>
  <si>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</si>
  <si>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</si>
  <si>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</si>
  <si>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</si>
  <si>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</si>
  <si>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</si>
  <si>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</si>
  <si>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</si>
  <si>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</si>
  <si>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</si>
  <si>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</si>
  <si>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</si>
  <si>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</si>
  <si>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</si>
  <si>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</si>
  <si>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</si>
  <si>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</si>
  <si>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</si>
  <si>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</si>
  <si>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</si>
  <si>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</si>
  <si>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</si>
  <si>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</si>
  <si>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</si>
  <si>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</si>
  <si>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</si>
  <si>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</si>
  <si>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</si>
  <si>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</si>
  <si>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</si>
  <si>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</si>
  <si>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</si>
  <si>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</si>
  <si>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</si>
  <si>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</si>
  <si>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</si>
  <si>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</si>
  <si>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</si>
  <si>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</si>
  <si>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</si>
  <si>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</si>
  <si>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</si>
  <si>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</si>
  <si>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</si>
  <si>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</si>
  <si>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</si>
  <si>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</si>
  <si>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</si>
  <si>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</si>
  <si>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</si>
  <si>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</si>
  <si>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</si>
  <si>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</si>
  <si>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</si>
  <si>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</si>
  <si>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</si>
  <si>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</si>
  <si>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</si>
  <si>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</si>
  <si>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</si>
  <si>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</si>
  <si>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</si>
  <si>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</si>
  <si>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</si>
  <si>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</si>
  <si>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</si>
  <si>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</si>
  <si>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</si>
  <si>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</si>
  <si>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</si>
  <si>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</si>
  <si>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</si>
  <si>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</si>
  <si>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</si>
  <si>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</si>
  <si>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</si>
  <si>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</si>
  <si>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</si>
  <si>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</si>
  <si>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</si>
  <si>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</si>
  <si>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</si>
  <si>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</si>
  <si>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</si>
  <si>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</si>
  <si>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</si>
  <si>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</si>
  <si>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</si>
  <si>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</si>
  <si>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</si>
  <si>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</si>
  <si>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</si>
  <si>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</si>
  <si>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</si>
  <si>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</si>
  <si>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</si>
  <si>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</si>
  <si>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</si>
  <si>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</si>
  <si>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</si>
  <si>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</si>
  <si>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</si>
  <si>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</si>
  <si>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</si>
  <si>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</si>
  <si>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</si>
  <si>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</si>
  <si>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</si>
  <si>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</si>
  <si>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</si>
  <si>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</si>
  <si>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</si>
  <si>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</si>
  <si>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</si>
  <si>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</si>
  <si>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</si>
  <si>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</si>
  <si>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</si>
  <si>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</si>
  <si>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</si>
  <si>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</si>
  <si>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</si>
  <si>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</si>
  <si>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</si>
  <si>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</si>
  <si>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</si>
  <si>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</si>
  <si>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</si>
  <si>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</si>
  <si>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</si>
  <si>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</si>
  <si>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</si>
  <si>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</si>
  <si>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</si>
  <si>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</si>
  <si>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</si>
  <si>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</si>
  <si>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</si>
  <si>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</si>
  <si>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</si>
  <si>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</si>
  <si>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</si>
  <si>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</si>
  <si>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</si>
  <si>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</si>
  <si>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</si>
  <si>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</si>
  <si>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</si>
  <si>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</si>
  <si>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</si>
  <si>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</si>
  <si>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</si>
  <si>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</si>
  <si>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</si>
  <si>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</si>
  <si>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</si>
  <si>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</si>
  <si>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</si>
  <si>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</si>
  <si>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</si>
  <si>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</si>
  <si>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</si>
  <si>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</si>
  <si>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</si>
  <si>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</si>
  <si>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</si>
  <si>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</si>
  <si>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</si>
  <si>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</si>
  <si>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</si>
  <si>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</si>
  <si>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</si>
  <si>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</si>
  <si>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</si>
  <si>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</si>
  <si>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</si>
  <si>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</si>
  <si>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</si>
  <si>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</si>
  <si>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</si>
  <si>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</si>
  <si>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</si>
  <si>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</si>
  <si>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</si>
  <si>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</si>
  <si>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</si>
  <si>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</si>
  <si>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</si>
  <si>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</si>
  <si>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</si>
  <si>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</si>
  <si>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</si>
  <si>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</si>
  <si>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</si>
  <si>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</si>
  <si>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</si>
  <si>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</si>
  <si>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</si>
  <si>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</si>
  <si>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</si>
  <si>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</si>
  <si>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</si>
  <si>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</si>
  <si>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</si>
  <si>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</si>
  <si>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</si>
  <si>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</si>
  <si>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</si>
  <si>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</si>
  <si>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</si>
  <si>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</si>
  <si>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</si>
  <si>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</si>
  <si>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</si>
  <si>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</si>
  <si>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</si>
  <si>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</si>
  <si>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</si>
  <si>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</si>
  <si>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</si>
  <si>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</si>
  <si>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</si>
  <si>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</si>
  <si>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</si>
  <si>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</si>
  <si>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</si>
  <si>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</si>
  <si>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</si>
  <si>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</si>
  <si>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</si>
  <si>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</si>
  <si>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</si>
  <si>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</si>
  <si>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</si>
  <si>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</si>
  <si>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</si>
  <si>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</si>
  <si>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</si>
  <si>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</si>
  <si>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</si>
  <si>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</si>
  <si>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</si>
  <si>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</si>
  <si>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</si>
  <si>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</si>
  <si>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</si>
  <si>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</si>
  <si>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</si>
  <si>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</si>
  <si>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</si>
  <si>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</si>
  <si>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</si>
  <si>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</si>
  <si>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</si>
  <si>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</si>
  <si>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</si>
  <si>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</si>
  <si>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</si>
  <si>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</si>
  <si>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</si>
  <si>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</si>
  <si>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</si>
  <si>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</si>
  <si>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</si>
  <si>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</si>
  <si>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</si>
  <si>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</si>
  <si>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</si>
  <si>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</si>
  <si>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</si>
  <si>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</si>
  <si>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</si>
  <si>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</si>
  <si>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</si>
  <si>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</si>
  <si>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</si>
  <si>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</si>
  <si>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</si>
  <si>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</si>
  <si>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</si>
  <si>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</si>
  <si>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</si>
  <si>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</si>
  <si>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</si>
  <si>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</si>
  <si>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</si>
  <si>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</si>
  <si>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</si>
  <si>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</si>
  <si>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</si>
  <si>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</si>
  <si>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</si>
  <si>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</si>
  <si>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</si>
  <si>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</si>
  <si>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</si>
  <si>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</si>
  <si>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</si>
  <si>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</si>
  <si>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</si>
  <si>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</si>
  <si>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</si>
  <si>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</si>
  <si>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</si>
  <si>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</si>
  <si>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</si>
  <si>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</si>
  <si>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</si>
  <si>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</si>
  <si>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</si>
  <si>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</si>
  <si>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</si>
  <si>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</si>
  <si>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</si>
  <si>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</si>
  <si>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</si>
  <si>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</si>
  <si>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</si>
  <si>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</si>
  <si>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</si>
  <si>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</si>
  <si>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</si>
  <si>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</si>
  <si>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</si>
  <si>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</si>
  <si>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</si>
  <si>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</si>
  <si>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</si>
  <si>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</si>
  <si>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</si>
  <si>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</si>
  <si>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</si>
  <si>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</si>
  <si>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</si>
  <si>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</si>
  <si>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</si>
  <si>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</si>
  <si>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</si>
  <si>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</si>
  <si>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</si>
  <si>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</si>
  <si>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</si>
  <si>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</si>
  <si>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</si>
  <si>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</si>
  <si>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</si>
  <si>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</si>
  <si>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</si>
  <si>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</si>
  <si>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</si>
  <si>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</si>
  <si>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</si>
  <si>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</si>
  <si>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</si>
  <si>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</si>
  <si>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</si>
  <si>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</si>
  <si>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</si>
  <si>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</si>
  <si>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</si>
  <si>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</si>
  <si>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</si>
  <si>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</si>
  <si>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</si>
  <si>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</si>
  <si>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</si>
  <si>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</si>
  <si>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</si>
  <si>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</si>
  <si>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</si>
  <si>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</si>
  <si>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</si>
  <si>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</si>
  <si>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</si>
  <si>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</si>
  <si>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</si>
  <si>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</si>
  <si>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</si>
  <si>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</si>
  <si>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</si>
  <si>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</si>
  <si>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</si>
  <si>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</si>
  <si>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</si>
  <si>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</si>
  <si>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</si>
  <si>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</si>
  <si>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</si>
  <si>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</si>
  <si>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</si>
  <si>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</si>
  <si>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</si>
  <si>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</si>
  <si>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</si>
  <si>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</si>
  <si>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</si>
  <si>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</si>
  <si>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</si>
  <si>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</si>
  <si>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</si>
  <si>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</si>
  <si>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</si>
  <si>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</si>
  <si>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</si>
  <si>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</si>
  <si>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</si>
  <si>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</si>
  <si>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</si>
  <si>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</si>
  <si>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</si>
  <si>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</si>
  <si>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</si>
  <si>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</si>
  <si>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</si>
  <si>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</si>
  <si>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</si>
  <si>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</si>
  <si>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</si>
  <si>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</si>
  <si>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</si>
  <si>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</si>
  <si>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</si>
  <si>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</si>
  <si>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</si>
  <si>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</si>
  <si>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</si>
  <si>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</si>
  <si>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</si>
  <si>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</si>
  <si>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</si>
  <si>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</si>
  <si>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</si>
  <si>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</si>
  <si>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</si>
  <si>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</si>
  <si>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</si>
  <si>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</si>
  <si>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</si>
  <si>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</si>
  <si>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</si>
  <si>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</si>
  <si>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</si>
  <si>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</si>
  <si>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</si>
  <si>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</si>
  <si>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</si>
  <si>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</si>
  <si>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</si>
  <si>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</si>
  <si>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</si>
  <si>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</si>
  <si>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</si>
  <si>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</si>
  <si>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</si>
  <si>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</si>
  <si>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</si>
  <si>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</si>
  <si>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</si>
  <si>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</si>
  <si>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</si>
  <si>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</si>
  <si>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</si>
  <si>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</si>
  <si>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</si>
  <si>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</si>
  <si>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</si>
  <si>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</si>
  <si>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</si>
  <si>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</si>
  <si>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</si>
  <si>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</si>
  <si>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</si>
  <si>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</si>
  <si>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</si>
  <si>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</si>
  <si>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</si>
  <si>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</si>
  <si>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</si>
  <si>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</si>
  <si>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</si>
  <si>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</si>
  <si>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</si>
  <si>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</si>
  <si>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</si>
  <si>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</si>
  <si>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</si>
  <si>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</si>
  <si>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</si>
  <si>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</si>
  <si>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</si>
  <si>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</si>
  <si>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</si>
  <si>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</si>
  <si>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</si>
  <si>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</si>
  <si>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</si>
  <si>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</si>
  <si>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</si>
  <si>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</si>
  <si>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</si>
  <si>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</si>
  <si>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</si>
  <si>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</si>
  <si>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</si>
  <si>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</si>
  <si>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</si>
  <si>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</si>
  <si>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</si>
  <si>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</si>
  <si>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</si>
  <si>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</si>
  <si>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</si>
  <si>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</si>
  <si>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</si>
  <si>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</si>
  <si>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</si>
  <si>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</si>
  <si>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</si>
  <si>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</si>
  <si>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</si>
  <si>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</si>
  <si>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</si>
  <si>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</si>
  <si>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</si>
  <si>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</si>
  <si>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</si>
  <si>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</si>
  <si>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</si>
  <si>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</si>
  <si>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</si>
  <si>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</si>
  <si>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</si>
  <si>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</si>
  <si>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</si>
  <si>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</si>
  <si>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</si>
  <si>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</si>
  <si>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</si>
  <si>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</si>
  <si>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</si>
  <si>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</si>
  <si>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</si>
  <si>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</si>
  <si>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</si>
  <si>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</si>
  <si>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</si>
  <si>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</si>
  <si>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</si>
  <si>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</si>
  <si>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</si>
  <si>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</si>
  <si>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</si>
  <si>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</si>
  <si>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</si>
  <si>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</si>
  <si>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</si>
  <si>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</si>
  <si>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</si>
  <si>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</si>
  <si>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</si>
  <si>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</si>
  <si>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</si>
  <si>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</si>
  <si>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</si>
  <si>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</si>
  <si>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</si>
  <si>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</si>
  <si>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</si>
  <si>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</si>
  <si>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</si>
  <si>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</si>
  <si>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</si>
  <si>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</si>
  <si>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</si>
  <si>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</si>
  <si>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</si>
  <si>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</si>
  <si>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</si>
  <si>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</si>
  <si>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</si>
  <si>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</si>
  <si>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</si>
  <si>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</si>
  <si>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</si>
  <si>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</si>
  <si>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</si>
  <si>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</si>
  <si>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</si>
  <si>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</si>
  <si>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</si>
  <si>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</si>
  <si>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</si>
  <si>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</si>
  <si>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</si>
  <si>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</si>
  <si>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</si>
  <si>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</si>
  <si>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</si>
  <si>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</si>
  <si>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</si>
  <si>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</si>
  <si>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</si>
  <si>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</si>
  <si>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</si>
  <si>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</si>
  <si>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</si>
  <si>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</si>
  <si>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</si>
  <si>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</si>
  <si>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</si>
  <si>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</si>
  <si>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</si>
  <si>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</si>
  <si>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</si>
  <si>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</si>
  <si>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</si>
  <si>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</si>
  <si>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</si>
  <si>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</si>
  <si>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</si>
  <si>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</si>
  <si>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</si>
  <si>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</si>
  <si>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</si>
  <si>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</si>
  <si>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</si>
  <si>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</si>
  <si>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</si>
  <si>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</si>
  <si>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</si>
  <si>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</si>
  <si>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</si>
  <si>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</si>
  <si>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</si>
  <si>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</si>
  <si>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</si>
  <si>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</si>
  <si>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</si>
  <si>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</si>
  <si>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</si>
  <si>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</si>
  <si>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</si>
  <si>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</si>
  <si>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</si>
  <si>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</si>
  <si>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</si>
  <si>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</si>
  <si>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</si>
  <si>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</si>
  <si>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</si>
  <si>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</si>
  <si>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</si>
  <si>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</si>
  <si>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</si>
  <si>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</si>
  <si>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</si>
  <si>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</si>
  <si>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</si>
  <si>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</si>
  <si>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</si>
  <si>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</si>
  <si>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</si>
  <si>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</si>
  <si>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</si>
  <si>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</si>
  <si>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</si>
  <si>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</si>
  <si>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</si>
  <si>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</si>
  <si>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</si>
  <si>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</si>
  <si>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</si>
  <si>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</si>
  <si>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</si>
  <si>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</si>
  <si>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</si>
  <si>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</si>
  <si>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</si>
  <si>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</si>
  <si>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</si>
  <si>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</si>
  <si>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</si>
  <si>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</si>
  <si>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</si>
  <si>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</si>
  <si>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</si>
  <si>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</si>
  <si>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</si>
  <si>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</si>
  <si>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</si>
  <si>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</si>
  <si>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</si>
  <si>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</si>
  <si>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</si>
  <si>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</si>
  <si>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</si>
  <si>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</si>
  <si>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</si>
  <si>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</si>
  <si>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</si>
  <si>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</si>
  <si>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</si>
  <si>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</si>
  <si>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</si>
  <si>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</si>
  <si>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</si>
  <si>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</si>
  <si>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</si>
  <si>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</si>
  <si>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</si>
  <si>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</si>
  <si>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</si>
  <si>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</si>
  <si>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</si>
  <si>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</si>
  <si>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</si>
  <si>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</si>
  <si>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</si>
  <si>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</si>
  <si>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</si>
  <si>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</si>
  <si>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</si>
  <si>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</si>
  <si>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</si>
  <si>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</si>
  <si>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</si>
  <si>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</si>
  <si>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</si>
  <si>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</si>
  <si>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</si>
  <si>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</si>
  <si>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</si>
  <si>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</si>
  <si>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</si>
  <si>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</si>
  <si>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</si>
  <si>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</si>
  <si>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</si>
  <si>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</si>
  <si>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</si>
  <si>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</si>
  <si>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</si>
  <si>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</si>
  <si>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</si>
  <si>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</si>
  <si>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</si>
  <si>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</si>
  <si>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</si>
  <si>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</si>
  <si>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</si>
  <si>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</si>
  <si>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</si>
  <si>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</si>
  <si>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</si>
  <si>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</si>
  <si>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</si>
  <si>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</si>
  <si>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</si>
  <si>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</si>
  <si>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</si>
  <si>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</si>
  <si>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</si>
  <si>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</si>
  <si>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</si>
  <si>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</si>
  <si>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</si>
  <si>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</si>
  <si>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</si>
  <si>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</si>
  <si>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</si>
  <si>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</si>
  <si>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</si>
  <si>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</si>
  <si>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</si>
  <si>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</si>
  <si>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</si>
  <si>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</si>
  <si>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</si>
  <si>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</si>
  <si>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</si>
  <si>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</si>
  <si>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</si>
  <si>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</si>
  <si>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</si>
  <si>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</si>
  <si>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</si>
  <si>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</si>
  <si>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</si>
  <si>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</si>
  <si>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</si>
  <si>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</si>
  <si>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</si>
  <si>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</si>
  <si>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</si>
  <si>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</si>
  <si>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</si>
  <si>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</si>
  <si>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</si>
  <si>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</si>
  <si>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</si>
  <si>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</si>
  <si>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</si>
  <si>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</si>
  <si>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</si>
  <si>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</si>
  <si>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</si>
  <si>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</si>
  <si>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</si>
  <si>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</si>
  <si>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</si>
  <si>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</si>
  <si>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</si>
  <si>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</si>
  <si>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</si>
  <si>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</si>
  <si>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</si>
  <si>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</si>
  <si>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</si>
  <si>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</si>
  <si>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</si>
  <si>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</si>
  <si>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</si>
  <si>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</si>
  <si>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</si>
  <si>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</si>
  <si>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</si>
  <si>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</si>
  <si>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</si>
  <si>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</si>
  <si>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</si>
  <si>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</si>
  <si>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</si>
  <si>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</si>
  <si>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</si>
  <si>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</si>
  <si>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</si>
  <si>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</si>
  <si>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</si>
  <si>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</si>
  <si>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</si>
  <si>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</si>
  <si>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</si>
  <si>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</si>
  <si>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</si>
  <si>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</si>
  <si>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</si>
  <si>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</si>
  <si>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</si>
  <si>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</si>
  <si>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</si>
  <si>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</si>
  <si>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</si>
  <si>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</si>
  <si>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</si>
  <si>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</si>
  <si>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</si>
  <si>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</si>
  <si>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</si>
  <si>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</si>
  <si>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</si>
  <si>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</si>
  <si>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</si>
  <si>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</si>
  <si>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</si>
  <si>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</si>
  <si>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</si>
  <si>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</si>
  <si>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</si>
  <si>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</si>
  <si>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</si>
  <si>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</si>
  <si>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</si>
  <si>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</si>
  <si>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</si>
  <si>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</si>
  <si>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</si>
  <si>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</si>
  <si>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</si>
  <si>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</si>
  <si>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</si>
  <si>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</si>
  <si>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</si>
  <si>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</si>
  <si>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</si>
  <si>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</si>
  <si>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</si>
  <si>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</si>
  <si>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</si>
  <si>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</si>
  <si>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</si>
  <si>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</si>
  <si>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</si>
  <si>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</si>
  <si>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</si>
  <si>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</si>
  <si>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</si>
  <si>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</si>
  <si>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</si>
  <si>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</si>
  <si>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</si>
  <si>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</si>
  <si>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</si>
  <si>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</si>
  <si>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</si>
  <si>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</si>
  <si>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</si>
  <si>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</si>
  <si>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</si>
  <si>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</si>
  <si>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</si>
  <si>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</si>
  <si>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</si>
  <si>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</si>
  <si>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</si>
  <si>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</si>
  <si>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</si>
  <si>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</si>
  <si>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</si>
  <si>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</si>
  <si>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</si>
  <si>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</si>
  <si>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</si>
  <si>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</si>
  <si>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</si>
  <si>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</si>
  <si>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</si>
  <si>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</si>
  <si>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</si>
  <si>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</si>
  <si>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</si>
  <si>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</si>
  <si>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</si>
  <si>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</si>
  <si>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</si>
  <si>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</si>
  <si>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</si>
  <si>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</si>
  <si>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</si>
  <si>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</si>
  <si>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</si>
  <si>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</si>
  <si>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</si>
  <si>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</si>
  <si>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</si>
  <si>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</si>
  <si>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</si>
  <si>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</si>
  <si>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</si>
  <si>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</si>
  <si>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</si>
  <si>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</si>
  <si>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</si>
  <si>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</si>
  <si>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</si>
  <si>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</si>
  <si>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</si>
  <si>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</si>
  <si>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</si>
  <si>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</si>
  <si>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</si>
  <si>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</si>
  <si>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</si>
  <si>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</si>
  <si>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</si>
  <si>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</si>
  <si>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</si>
  <si>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</si>
  <si>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</si>
  <si>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</si>
  <si>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</si>
  <si>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</si>
  <si>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</si>
  <si>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</si>
  <si>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</si>
  <si>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</si>
  <si>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</si>
  <si>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</si>
  <si>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</si>
  <si>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</si>
  <si>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</si>
  <si>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</si>
  <si>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</si>
  <si>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</si>
  <si>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</si>
  <si>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</si>
  <si>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</si>
  <si>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</si>
  <si>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</si>
  <si>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</si>
  <si>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</si>
  <si>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</si>
  <si>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</si>
  <si>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</si>
  <si>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</si>
  <si>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</si>
  <si>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</si>
  <si>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</si>
  <si>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</si>
  <si>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</si>
  <si>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</si>
  <si>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</si>
  <si>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</si>
  <si>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</si>
  <si>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</si>
  <si>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</si>
  <si>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</si>
  <si>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</si>
  <si>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</si>
  <si>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</si>
  <si>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</si>
  <si>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</si>
  <si>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</si>
  <si>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</si>
  <si>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</si>
  <si>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</si>
  <si>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</si>
  <si>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</si>
  <si>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</si>
  <si>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</si>
  <si>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</si>
  <si>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</si>
  <si>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</si>
  <si>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</si>
  <si>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</si>
  <si>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</si>
  <si>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</si>
  <si>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</si>
  <si>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</si>
  <si>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</si>
  <si>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</si>
  <si>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</si>
  <si>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</si>
  <si>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</si>
  <si>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</si>
  <si>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</si>
  <si>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</si>
  <si>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</si>
  <si>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</si>
  <si>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</si>
  <si>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</si>
  <si>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</si>
  <si>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</si>
  <si>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</si>
  <si>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</si>
  <si>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</si>
  <si>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</si>
  <si>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</si>
  <si>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</si>
  <si>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</si>
  <si>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</si>
  <si>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</si>
  <si>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</si>
  <si>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</si>
  <si>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</si>
  <si>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</si>
  <si>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</si>
  <si>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</si>
  <si>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</si>
  <si>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</si>
  <si>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</si>
  <si>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</si>
  <si>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</si>
  <si>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</si>
  <si>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</si>
  <si>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</si>
  <si>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</si>
  <si>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</si>
  <si>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</si>
  <si>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</si>
  <si>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</si>
  <si>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</si>
  <si>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</si>
  <si>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</si>
  <si>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</si>
  <si>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</si>
  <si>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</si>
  <si>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</si>
  <si>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</si>
  <si>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</si>
  <si>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</si>
  <si>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</si>
  <si>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</si>
  <si>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</si>
  <si>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</si>
  <si>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</si>
  <si>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</si>
  <si>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</si>
  <si>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</si>
  <si>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</si>
  <si>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</si>
  <si>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</si>
  <si>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</si>
  <si>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</si>
  <si>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</si>
  <si>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</si>
  <si>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</si>
  <si>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</si>
  <si>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</si>
  <si>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</si>
  <si>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</si>
  <si>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</si>
  <si>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</si>
  <si>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</si>
  <si>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</si>
  <si>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</si>
  <si>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</si>
  <si>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</si>
  <si>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</si>
  <si>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</si>
  <si>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</si>
  <si>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</si>
  <si>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</si>
  <si>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</si>
  <si>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</si>
  <si>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</si>
  <si>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</si>
  <si>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</si>
  <si>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</si>
  <si>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</si>
  <si>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</si>
  <si>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</si>
  <si>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</si>
  <si>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</si>
  <si>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</si>
  <si>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</si>
  <si>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</si>
  <si>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</si>
  <si>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</si>
  <si>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</si>
  <si>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</si>
  <si>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</si>
  <si>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</si>
  <si>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</si>
  <si>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</si>
  <si>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</si>
  <si>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</si>
  <si>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</si>
  <si>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</si>
  <si>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</si>
  <si>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</si>
  <si>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</si>
  <si>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</si>
  <si>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</si>
  <si>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</si>
  <si>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</si>
  <si>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</si>
  <si>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</si>
  <si>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</si>
  <si>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</si>
  <si>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</si>
  <si>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</si>
  <si>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</si>
  <si>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</si>
  <si>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</si>
  <si>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</si>
  <si>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</si>
  <si>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</si>
  <si>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</si>
  <si>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</si>
  <si>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</si>
  <si>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</si>
  <si>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</si>
  <si>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</si>
  <si>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</si>
  <si>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</si>
  <si>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</si>
  <si>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</si>
  <si>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</si>
  <si>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</si>
  <si>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</si>
  <si>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</si>
  <si>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</si>
  <si>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</si>
  <si>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</si>
  <si>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</si>
  <si>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</si>
  <si>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</si>
  <si>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</si>
  <si>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</si>
  <si>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</si>
  <si>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</si>
  <si>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</si>
  <si>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</si>
  <si>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</si>
  <si>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</si>
  <si>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</si>
  <si>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</si>
  <si>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</si>
  <si>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</si>
  <si>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</si>
  <si>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</si>
  <si>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</si>
  <si>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</si>
  <si>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</si>
  <si>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</si>
  <si>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</si>
  <si>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</si>
  <si>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</si>
  <si>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</si>
  <si>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</si>
  <si>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</si>
  <si>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</si>
  <si>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</si>
  <si>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</si>
  <si>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</si>
  <si>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</si>
  <si>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</si>
  <si>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</si>
  <si>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</si>
  <si>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</si>
  <si>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</si>
  <si>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</si>
  <si>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</si>
  <si>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</si>
  <si>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</si>
  <si>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</si>
  <si>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</si>
  <si>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</si>
  <si>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</si>
  <si>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</si>
  <si>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</si>
  <si>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</si>
  <si>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</si>
  <si>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</si>
  <si>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</si>
  <si>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</si>
  <si>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</si>
  <si>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</si>
  <si>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</si>
  <si>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</si>
  <si>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</si>
  <si>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</si>
  <si>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</si>
  <si>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</si>
  <si>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</si>
  <si>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</si>
  <si>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</si>
  <si>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</si>
  <si>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</si>
  <si>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</si>
  <si>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</si>
  <si>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</si>
  <si>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</si>
  <si>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</si>
  <si>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</si>
  <si>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</si>
  <si>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</si>
  <si>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</si>
  <si>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</si>
  <si>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</si>
  <si>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</si>
  <si>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</si>
  <si>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</si>
  <si>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</si>
  <si>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</si>
  <si>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</si>
  <si>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</si>
  <si>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</si>
  <si>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</si>
  <si>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</si>
  <si>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</si>
  <si>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</si>
  <si>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</si>
  <si>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</si>
  <si>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</si>
  <si>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</si>
  <si>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</si>
  <si>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</si>
  <si>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</si>
  <si>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</si>
  <si>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</si>
  <si>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</si>
  <si>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</si>
  <si>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</si>
  <si>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</si>
  <si>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</si>
  <si>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</si>
  <si>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</si>
  <si>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</si>
  <si>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</si>
  <si>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</si>
  <si>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</si>
  <si>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</si>
  <si>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</si>
  <si>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</si>
  <si>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</si>
  <si>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</si>
  <si>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</si>
  <si>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</si>
  <si>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</si>
  <si>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</si>
  <si>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</si>
  <si>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</si>
  <si>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</si>
  <si>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</si>
  <si>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</si>
  <si>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</si>
  <si>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</si>
  <si>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</si>
  <si>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</si>
  <si>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</si>
  <si>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</si>
  <si>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</si>
  <si>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</si>
  <si>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</si>
  <si>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</si>
  <si>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</si>
  <si>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</si>
  <si>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</si>
  <si>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</si>
  <si>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</si>
  <si>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</si>
  <si>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</si>
  <si>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</si>
  <si>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</si>
  <si>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</si>
  <si>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</si>
  <si>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</si>
  <si>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</si>
  <si>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</si>
  <si>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</si>
  <si>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</si>
  <si>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</si>
  <si>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</si>
  <si>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</si>
  <si>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</si>
  <si>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</si>
  <si>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</si>
  <si>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</si>
  <si>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</si>
  <si>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</si>
  <si>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</si>
  <si>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</si>
  <si>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</si>
  <si>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</si>
  <si>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</si>
  <si>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</si>
  <si>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</si>
  <si>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</si>
  <si>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</si>
  <si>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</si>
  <si>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</si>
  <si>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</si>
  <si>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</si>
  <si>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</si>
  <si>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</si>
  <si>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</si>
  <si>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</si>
  <si>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</si>
  <si>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</si>
  <si>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</si>
  <si>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</si>
  <si>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</si>
  <si>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</si>
  <si>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</si>
  <si>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</si>
  <si>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</si>
  <si>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</si>
  <si>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</si>
  <si>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</si>
  <si>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</si>
  <si>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</si>
  <si>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</si>
  <si>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</si>
  <si>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</si>
  <si>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</si>
  <si>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</si>
  <si>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</si>
  <si>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</si>
  <si>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</si>
  <si>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</si>
  <si>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</si>
  <si>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</si>
  <si>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</si>
  <si>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</si>
  <si>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</si>
  <si>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</si>
  <si>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</si>
  <si>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</si>
  <si>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</si>
  <si>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</si>
  <si>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</si>
  <si>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</si>
  <si>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</si>
  <si>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</si>
  <si>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</si>
  <si>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</si>
  <si>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</si>
  <si>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</si>
  <si>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</si>
  <si>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</si>
  <si>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</si>
  <si>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</si>
  <si>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</si>
  <si>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</si>
  <si>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</si>
  <si>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</si>
  <si>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</si>
  <si>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</si>
  <si>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</si>
  <si>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</si>
  <si>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</si>
  <si>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</si>
  <si>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</si>
  <si>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</si>
  <si>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</si>
  <si>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</si>
  <si>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</si>
  <si>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</si>
  <si>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</si>
  <si>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</si>
  <si>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</si>
  <si>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</si>
  <si>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</si>
  <si>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</si>
  <si>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</si>
  <si>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</si>
  <si>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</si>
  <si>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</si>
  <si>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</si>
  <si>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</si>
  <si>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</si>
  <si>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</si>
  <si>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</si>
  <si>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</si>
  <si>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</si>
  <si>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</si>
  <si>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</si>
  <si>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</si>
  <si>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</si>
  <si>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</si>
  <si>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</si>
  <si>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</si>
  <si>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</si>
  <si>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</si>
  <si>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</si>
  <si>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</si>
  <si>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</si>
  <si>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</si>
  <si>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</si>
  <si>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</si>
  <si>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</si>
  <si>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</si>
  <si>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</si>
  <si>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</si>
  <si>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</si>
  <si>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</si>
  <si>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</si>
  <si>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</si>
  <si>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</si>
  <si>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</si>
  <si>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</si>
  <si>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</si>
  <si>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</si>
  <si>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</si>
  <si>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</si>
  <si>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</si>
  <si>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</si>
  <si>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</si>
  <si>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</si>
  <si>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</si>
  <si>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</si>
  <si>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</si>
  <si>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</si>
  <si>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</si>
  <si>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</si>
  <si>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</si>
  <si>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</si>
  <si>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</si>
  <si>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</si>
  <si>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</si>
  <si>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</si>
  <si>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</si>
  <si>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</si>
  <si>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</si>
  <si>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</si>
  <si>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</si>
  <si>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</si>
  <si>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</si>
  <si>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</si>
  <si>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</si>
  <si>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</si>
  <si>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</si>
  <si>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</si>
  <si>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</si>
  <si>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</si>
  <si>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</si>
  <si>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</si>
  <si>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</si>
  <si>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</si>
  <si>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</si>
  <si>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</si>
  <si>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</si>
  <si>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</si>
  <si>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</si>
  <si>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</si>
  <si>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</si>
  <si>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</si>
  <si>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</si>
  <si>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</si>
  <si>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</si>
  <si>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</si>
  <si>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</si>
  <si>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</si>
  <si>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</si>
  <si>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</si>
  <si>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</si>
  <si>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</si>
  <si>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</si>
  <si>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</si>
  <si>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</si>
  <si>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</si>
  <si>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</si>
  <si>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</si>
  <si>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</si>
  <si>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</si>
  <si>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</si>
  <si>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</si>
  <si>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</si>
  <si>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</si>
  <si>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</si>
  <si>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</si>
  <si>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</si>
  <si>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</si>
  <si>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</si>
  <si>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</si>
  <si>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</si>
  <si>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</si>
  <si>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</si>
  <si>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</si>
  <si>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</si>
  <si>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</si>
  <si>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</si>
  <si>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</si>
  <si>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</si>
  <si>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</si>
  <si>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</si>
  <si>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</si>
  <si>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</si>
  <si>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</si>
  <si>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</si>
  <si>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</si>
  <si>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</si>
  <si>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</si>
  <si>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</si>
  <si>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</si>
  <si>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</si>
  <si>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</si>
  <si>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</si>
  <si>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</si>
  <si>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</si>
  <si>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</si>
  <si>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</si>
  <si>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</si>
  <si>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</si>
  <si>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</si>
  <si>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</si>
  <si>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</si>
  <si>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</si>
  <si>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</si>
  <si>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</si>
  <si>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</si>
  <si>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</si>
  <si>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</si>
  <si>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</si>
  <si>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</si>
  <si>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</si>
  <si>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</si>
  <si>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</si>
  <si>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</si>
  <si>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</si>
  <si>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</si>
  <si>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</si>
  <si>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</si>
  <si>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</si>
  <si>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</si>
  <si>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</si>
  <si>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</si>
  <si>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</si>
  <si>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</si>
  <si>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</si>
  <si>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</si>
  <si>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</si>
  <si>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</si>
  <si>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</si>
  <si>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</si>
  <si>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</si>
  <si>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</si>
  <si>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</si>
  <si>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</si>
  <si>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</si>
  <si>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</si>
  <si>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</si>
  <si>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</si>
  <si>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</si>
  <si>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</si>
  <si>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</si>
  <si>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</si>
  <si>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</si>
  <si>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</si>
  <si>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</si>
  <si>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</si>
  <si>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</si>
  <si>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</si>
  <si>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</si>
  <si>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</si>
  <si>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</si>
  <si>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</si>
  <si>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</si>
  <si>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</si>
  <si>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</si>
  <si>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</si>
  <si>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</si>
  <si>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</si>
  <si>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</si>
  <si>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</si>
  <si>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</si>
  <si>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</si>
  <si>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</si>
  <si>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</si>
  <si>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</si>
  <si>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</si>
  <si>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</si>
  <si>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</si>
  <si>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</si>
  <si>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</si>
  <si>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</si>
  <si>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</si>
  <si>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</si>
  <si>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</si>
  <si>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</si>
  <si>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</si>
  <si>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</si>
  <si>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</si>
  <si>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</si>
  <si>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</si>
  <si>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</si>
  <si>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</si>
  <si>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</si>
  <si>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</si>
  <si>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</si>
  <si>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</si>
  <si>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</si>
  <si>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</si>
  <si>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</si>
  <si>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</si>
  <si>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</si>
  <si>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</si>
  <si>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</si>
  <si>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</si>
  <si>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</si>
  <si>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</si>
  <si>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</si>
  <si>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</si>
  <si>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</si>
  <si>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</si>
  <si>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</si>
  <si>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</si>
  <si>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</si>
  <si>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</si>
  <si>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</si>
  <si>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</si>
  <si>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</si>
  <si>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</si>
  <si>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</si>
  <si>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</si>
  <si>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</si>
  <si>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</si>
  <si>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</si>
  <si>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</si>
  <si>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</si>
  <si>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</si>
  <si>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</si>
  <si>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</si>
  <si>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</si>
  <si>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</si>
  <si>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</si>
  <si>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</si>
  <si>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</si>
  <si>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</si>
  <si>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</si>
  <si>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</si>
  <si>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</si>
  <si>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</si>
  <si>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</si>
  <si>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</si>
  <si>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</si>
  <si>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</si>
  <si>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</si>
  <si>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</si>
  <si>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</si>
  <si>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</si>
  <si>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</si>
  <si>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</si>
  <si>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</si>
  <si>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</si>
  <si>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</si>
  <si>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</si>
  <si>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</si>
  <si>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</si>
  <si>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</si>
  <si>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</si>
  <si>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</si>
  <si>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</si>
  <si>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</si>
  <si>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</si>
  <si>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</si>
  <si>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</si>
  <si>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</si>
  <si>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</si>
  <si>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</si>
  <si>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</si>
  <si>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</si>
  <si>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</si>
  <si>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</si>
  <si>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</si>
  <si>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</si>
  <si>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</si>
  <si>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</si>
  <si>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</si>
  <si>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</si>
  <si>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</si>
  <si>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</si>
  <si>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</si>
  <si>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</si>
  <si>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</si>
  <si>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</si>
  <si>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</si>
  <si>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</si>
  <si>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</si>
  <si>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</si>
  <si>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</si>
  <si>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</si>
  <si>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</si>
  <si>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</si>
  <si>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</si>
  <si>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</si>
  <si>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</si>
  <si>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</si>
  <si>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</si>
  <si>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</si>
  <si>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</si>
  <si>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</si>
  <si>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</si>
  <si>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</si>
  <si>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</si>
  <si>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</si>
  <si>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</si>
  <si>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</si>
  <si>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</si>
  <si>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</si>
  <si>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</si>
  <si>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</si>
  <si>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</si>
  <si>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</si>
  <si>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</si>
  <si>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</si>
  <si>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</si>
  <si>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</si>
  <si>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</si>
  <si>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</si>
  <si>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</si>
  <si>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</si>
  <si>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</si>
  <si>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</si>
  <si>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</si>
  <si>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</si>
  <si>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</si>
  <si>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</si>
  <si>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</si>
  <si>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</si>
  <si>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</si>
  <si>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</si>
  <si>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</si>
  <si>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</si>
  <si>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</si>
  <si>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</si>
  <si>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</si>
  <si>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</si>
  <si>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</si>
  <si>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</si>
  <si>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</si>
  <si>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</si>
  <si>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</si>
  <si>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</si>
  <si>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</si>
  <si>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</si>
  <si>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</si>
  <si>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</si>
  <si>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</si>
  <si>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</si>
  <si>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</si>
  <si>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</si>
  <si>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</si>
  <si>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</si>
  <si>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</si>
  <si>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</si>
  <si>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</si>
  <si>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</si>
  <si>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</si>
  <si>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</si>
  <si>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</si>
  <si>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</si>
  <si>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</si>
  <si>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</si>
  <si>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</si>
  <si>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</si>
  <si>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</si>
  <si>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</si>
  <si>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</si>
  <si>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</si>
  <si>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</si>
  <si>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</si>
  <si>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</si>
  <si>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</si>
  <si>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</si>
  <si>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</si>
  <si>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</si>
  <si>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</si>
  <si>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</si>
  <si>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</si>
  <si>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</si>
  <si>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</si>
  <si>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</si>
  <si>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</si>
  <si>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</si>
  <si>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</si>
  <si>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</si>
  <si>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</si>
  <si>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</si>
  <si>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</si>
  <si>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</si>
  <si>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</si>
  <si>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</si>
  <si>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</si>
  <si>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</si>
  <si>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</si>
  <si>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</si>
  <si>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</si>
  <si>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</si>
  <si>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</si>
  <si>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</si>
  <si>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</si>
  <si>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</si>
  <si>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</si>
  <si>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</si>
  <si>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</si>
  <si>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</si>
  <si>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</si>
  <si>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</si>
  <si>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</si>
  <si>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</si>
  <si>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</si>
  <si>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</si>
  <si>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</si>
  <si>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</si>
  <si>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</si>
  <si>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</si>
  <si>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</si>
  <si>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</si>
  <si>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</si>
  <si>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</si>
  <si>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</si>
  <si>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</si>
  <si>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</si>
  <si>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</si>
  <si>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</si>
  <si>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</si>
  <si>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</si>
  <si>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</si>
  <si>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</si>
  <si>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</si>
  <si>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</si>
  <si>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</si>
  <si>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</si>
  <si>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</si>
  <si>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</si>
  <si>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</si>
  <si>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</si>
  <si>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</si>
  <si>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</si>
  <si>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</si>
  <si>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</si>
  <si>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</si>
  <si>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</si>
  <si>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</si>
  <si>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</si>
  <si>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</si>
  <si>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</si>
  <si>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</si>
  <si>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</si>
  <si>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</si>
  <si>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</si>
  <si>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</si>
  <si>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</si>
  <si>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</si>
  <si>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</si>
  <si>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</si>
  <si>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</si>
  <si>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</si>
  <si>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</si>
  <si>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</si>
  <si>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</si>
  <si>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</si>
  <si>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</si>
  <si>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</si>
  <si>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</si>
  <si>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</si>
  <si>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</si>
  <si>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</si>
  <si>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</si>
  <si>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</si>
  <si>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</si>
  <si>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</si>
  <si>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</si>
  <si>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</si>
  <si>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</si>
  <si>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</si>
  <si>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</si>
  <si>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</si>
  <si>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</si>
  <si>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</si>
  <si>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</si>
  <si>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</si>
  <si>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</si>
  <si>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</si>
  <si>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</si>
  <si>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</si>
  <si>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</si>
  <si>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</si>
  <si>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</si>
  <si>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</si>
  <si>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</si>
  <si>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</si>
  <si>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</si>
  <si>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</si>
  <si>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</si>
  <si>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</si>
  <si>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</si>
  <si>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</si>
  <si>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</si>
  <si>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</si>
  <si>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</si>
  <si>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</si>
  <si>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</si>
  <si>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</si>
  <si>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</si>
  <si>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</si>
  <si>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</si>
  <si>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</si>
  <si>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</si>
  <si>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</si>
  <si>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</si>
  <si>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</si>
  <si>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</si>
  <si>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</si>
  <si>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</si>
  <si>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</si>
  <si>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</si>
  <si>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</si>
  <si>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</si>
  <si>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</si>
  <si>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</si>
  <si>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</si>
  <si>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</si>
  <si>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</si>
  <si>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</si>
  <si>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</si>
  <si>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</si>
  <si>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</si>
  <si>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</si>
  <si>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</si>
  <si>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</si>
  <si>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</si>
  <si>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</si>
  <si>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</si>
  <si>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</si>
  <si>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</si>
  <si>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</si>
  <si>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</si>
  <si>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</si>
  <si>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</si>
  <si>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</si>
  <si>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</si>
  <si>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</si>
  <si>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</si>
  <si>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</si>
  <si>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</si>
  <si>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</si>
  <si>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</si>
  <si>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</si>
  <si>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</si>
  <si>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</si>
  <si>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</si>
  <si>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</si>
  <si>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</si>
  <si>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</si>
  <si>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</si>
  <si>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</si>
  <si>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</si>
  <si>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</si>
  <si>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</si>
  <si>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</si>
  <si>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</si>
  <si>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</si>
  <si>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</si>
  <si>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</si>
  <si>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</si>
  <si>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</si>
  <si>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</si>
  <si>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</si>
  <si>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</si>
  <si>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</si>
  <si>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</si>
  <si>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</si>
  <si>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</si>
  <si>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</si>
  <si>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</si>
  <si>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</si>
  <si>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</si>
  <si>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</si>
  <si>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</si>
  <si>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</si>
  <si>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</si>
  <si>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</si>
  <si>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</si>
  <si>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</si>
  <si>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</si>
  <si>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</si>
  <si>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</si>
  <si>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</si>
  <si>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</si>
  <si>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</si>
  <si>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</si>
  <si>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</si>
  <si>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</si>
  <si>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</si>
  <si>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</si>
  <si>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</si>
  <si>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</si>
  <si>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</si>
  <si>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</si>
  <si>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</si>
  <si>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</si>
  <si>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</si>
  <si>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</si>
  <si>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</si>
  <si>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</si>
  <si>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</si>
  <si>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</si>
  <si>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</si>
  <si>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</si>
  <si>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</si>
  <si>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</si>
  <si>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</si>
  <si>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</si>
  <si>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</si>
  <si>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</si>
  <si>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</si>
  <si>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</si>
  <si>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</si>
  <si>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</si>
  <si>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</si>
  <si>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</si>
  <si>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</si>
  <si>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</si>
  <si>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</si>
  <si>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</si>
  <si>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</si>
  <si>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</si>
  <si>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</si>
  <si>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</si>
  <si>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</si>
  <si>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</si>
  <si>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</si>
  <si>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</si>
  <si>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</si>
  <si>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</si>
  <si>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</si>
  <si>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</si>
  <si>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</si>
  <si>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</si>
  <si>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</si>
  <si>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</si>
  <si>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</si>
  <si>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</si>
  <si>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</si>
  <si>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</si>
  <si>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</si>
  <si>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</si>
  <si>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</si>
  <si>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</si>
  <si>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</si>
  <si>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</si>
  <si>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</si>
  <si>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</si>
  <si>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</si>
  <si>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</si>
  <si>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</si>
  <si>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</si>
  <si>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</si>
  <si>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</si>
  <si>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</si>
  <si>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</si>
  <si>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</si>
  <si>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</si>
  <si>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</si>
  <si>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</si>
  <si>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</si>
  <si>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</si>
  <si>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</si>
  <si>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</si>
  <si>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</si>
  <si>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</si>
  <si>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</si>
  <si>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</si>
  <si>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</si>
  <si>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</si>
  <si>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</si>
  <si>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</si>
  <si>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</si>
  <si>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</si>
  <si>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</si>
  <si>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</si>
  <si>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</si>
  <si>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</si>
  <si>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</si>
  <si>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</si>
  <si>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</si>
  <si>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</si>
  <si>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</si>
  <si>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</si>
  <si>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</si>
  <si>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</si>
  <si>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</si>
  <si>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</si>
  <si>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</si>
  <si>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</si>
  <si>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</si>
  <si>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</si>
  <si>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</si>
  <si>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</si>
  <si>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</si>
  <si>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</si>
  <si>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</si>
  <si>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</si>
  <si>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</si>
  <si>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</si>
  <si>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</si>
  <si>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</si>
  <si>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</si>
  <si>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</si>
  <si>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</si>
  <si>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</si>
  <si>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</si>
  <si>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</si>
  <si>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</si>
  <si>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</si>
  <si>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</si>
  <si>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</si>
  <si>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</si>
  <si>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</si>
  <si>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</si>
  <si>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</si>
  <si>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</si>
  <si>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</si>
  <si>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</si>
  <si>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</si>
  <si>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</si>
  <si>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</si>
  <si>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</si>
  <si>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</si>
  <si>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</si>
  <si>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</si>
  <si>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</si>
  <si>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</si>
  <si>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</si>
  <si>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</si>
  <si>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</si>
  <si>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</si>
  <si>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</si>
  <si>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</si>
  <si>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</si>
  <si>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</si>
  <si>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</si>
  <si>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</si>
  <si>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</si>
  <si>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</si>
  <si>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</si>
  <si>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</si>
  <si>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</si>
  <si>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</si>
  <si>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</si>
  <si>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</si>
  <si>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</si>
  <si>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</si>
  <si>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</si>
  <si>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</si>
  <si>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</si>
  <si>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</si>
  <si>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</si>
  <si>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</si>
  <si>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</si>
  <si>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</si>
  <si>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</si>
  <si>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</si>
  <si>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</si>
  <si>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</si>
  <si>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</si>
  <si>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</si>
  <si>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</si>
  <si>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</si>
  <si>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</si>
  <si>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</si>
  <si>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</si>
  <si>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</si>
  <si>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</si>
  <si>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</si>
  <si>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</si>
  <si>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</si>
  <si>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</si>
  <si>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</si>
  <si>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</si>
  <si>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</si>
  <si>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</si>
  <si>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</si>
  <si>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</si>
  <si>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</si>
  <si>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</si>
  <si>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</si>
  <si>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</si>
  <si>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</si>
  <si>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</si>
  <si>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</si>
  <si>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</si>
  <si>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</si>
  <si>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</si>
  <si>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</si>
  <si>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</si>
  <si>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</si>
  <si>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</si>
  <si>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</si>
  <si>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</si>
  <si>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</si>
  <si>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</si>
  <si>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</si>
  <si>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</si>
  <si>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</si>
  <si>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</si>
  <si>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</si>
  <si>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</si>
  <si>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</si>
  <si>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</si>
  <si>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</si>
  <si>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</si>
  <si>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</si>
  <si>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</si>
  <si>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</si>
  <si>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</si>
  <si>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</si>
  <si>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</si>
  <si>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</si>
  <si>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</si>
  <si>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</si>
  <si>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</si>
  <si>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</si>
  <si>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</si>
  <si>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</si>
  <si>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</si>
  <si>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</si>
  <si>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</si>
  <si>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</si>
  <si>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</si>
  <si>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</si>
  <si>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</si>
  <si>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</si>
  <si>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</si>
  <si>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</si>
  <si>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</si>
  <si>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</si>
  <si>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</si>
  <si>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</si>
  <si>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</si>
  <si>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</si>
  <si>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</si>
  <si>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</si>
  <si>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</si>
  <si>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</si>
  <si>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</si>
  <si>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</si>
  <si>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</si>
  <si>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</si>
  <si>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</si>
  <si>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</si>
  <si>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</si>
  <si>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</si>
  <si>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</si>
  <si>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</si>
  <si>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</si>
  <si>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</si>
  <si>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</si>
  <si>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</si>
  <si>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</si>
  <si>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</si>
  <si>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</si>
  <si>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</si>
  <si>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</si>
  <si>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</si>
  <si>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</si>
  <si>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</si>
  <si>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</si>
  <si>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</si>
  <si>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</si>
  <si>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</si>
  <si>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</si>
  <si>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</si>
  <si>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</si>
  <si>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</si>
  <si>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</si>
  <si>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</si>
  <si>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</si>
  <si>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</si>
  <si>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</si>
  <si>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</si>
  <si>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</si>
  <si>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</si>
  <si>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</si>
  <si>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</si>
  <si>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</si>
  <si>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</si>
  <si>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</si>
  <si>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</si>
  <si>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</si>
  <si>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</si>
  <si>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</si>
  <si>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</si>
  <si>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</si>
  <si>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</si>
  <si>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</si>
  <si>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</si>
  <si>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</si>
  <si>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</si>
  <si>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</si>
  <si>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</si>
  <si>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</si>
  <si>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</si>
  <si>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</si>
  <si>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</si>
  <si>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</si>
  <si>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</si>
  <si>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</si>
  <si>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</si>
  <si>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</si>
  <si>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</si>
  <si>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</si>
  <si>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</si>
  <si>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</si>
  <si>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</si>
  <si>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</si>
  <si>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</si>
  <si>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</si>
  <si>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</si>
  <si>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</si>
  <si>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</si>
  <si>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</si>
  <si>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</si>
  <si>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</si>
  <si>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</si>
  <si>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</si>
  <si>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</si>
  <si>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</si>
  <si>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</si>
  <si>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</si>
  <si>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</si>
  <si>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</si>
  <si>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</si>
  <si>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</si>
  <si>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</si>
  <si>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</si>
  <si>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</si>
  <si>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</si>
  <si>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</si>
  <si>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</si>
  <si>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</si>
  <si>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</si>
  <si>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</si>
  <si>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</si>
  <si>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</si>
  <si>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</si>
  <si>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</si>
  <si>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</si>
  <si>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</si>
  <si>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</si>
  <si>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</si>
  <si>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</si>
  <si>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</si>
  <si>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</si>
  <si>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</si>
  <si>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</si>
  <si>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</si>
  <si>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</si>
  <si>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</si>
  <si>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</si>
  <si>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</si>
  <si>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</si>
  <si>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</si>
  <si>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</si>
  <si>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</si>
  <si>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</si>
  <si>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</si>
  <si>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</si>
  <si>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</si>
  <si>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</si>
  <si>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</si>
  <si>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</si>
  <si>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</si>
  <si>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</si>
  <si>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</si>
  <si>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</si>
  <si>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</si>
  <si>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</si>
  <si>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</si>
  <si>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</si>
  <si>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</si>
  <si>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</si>
  <si>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</si>
  <si>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</si>
  <si>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</si>
  <si>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</si>
  <si>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</si>
  <si>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</si>
  <si>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</si>
  <si>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</si>
  <si>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</si>
  <si>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</si>
  <si>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</si>
  <si>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</si>
  <si>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</si>
  <si>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</si>
  <si>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</si>
  <si>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</si>
  <si>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</si>
  <si>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</si>
  <si>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</si>
  <si>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</si>
  <si>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</si>
  <si>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</si>
  <si>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</si>
  <si>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</si>
  <si>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</si>
  <si>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</si>
  <si>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</si>
  <si>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</si>
  <si>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</si>
  <si>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</si>
  <si>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</si>
  <si>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</si>
  <si>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</si>
  <si>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</si>
  <si>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</si>
  <si>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</si>
  <si>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</si>
  <si>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</si>
  <si>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</si>
  <si>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</si>
  <si>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</si>
  <si>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</si>
  <si>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</si>
  <si>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</si>
  <si>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</si>
  <si>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</si>
  <si>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</si>
  <si>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</si>
  <si>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</si>
  <si>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</si>
  <si>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</si>
  <si>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</si>
  <si>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</si>
  <si>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</si>
  <si>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</si>
  <si>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</si>
  <si>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</si>
  <si>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</si>
  <si>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</si>
  <si>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</si>
  <si>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</si>
  <si>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</si>
  <si>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</si>
  <si>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</si>
  <si>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</si>
  <si>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</si>
  <si>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</si>
  <si>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</si>
  <si>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</si>
  <si>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</si>
  <si>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</si>
  <si>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</si>
  <si>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</si>
  <si>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</si>
  <si>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</si>
  <si>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</si>
  <si>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</si>
  <si>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</si>
  <si>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</si>
  <si>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</si>
  <si>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</si>
  <si>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</si>
  <si>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</si>
  <si>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</si>
  <si>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</si>
  <si>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</si>
  <si>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</si>
  <si>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</si>
  <si>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</si>
  <si>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</si>
  <si>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</si>
  <si>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</si>
  <si>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</si>
  <si>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</si>
  <si>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</si>
  <si>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</si>
  <si>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</si>
  <si>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</si>
  <si>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</si>
  <si>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</si>
  <si>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</si>
  <si>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</si>
  <si>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</si>
  <si>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</si>
  <si>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</si>
  <si>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</si>
  <si>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</si>
  <si>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</si>
  <si>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</si>
  <si>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</si>
  <si>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</si>
  <si>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</si>
  <si>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</si>
  <si>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</si>
  <si>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</si>
  <si>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</si>
  <si>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</si>
  <si>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</si>
  <si>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</si>
  <si>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</si>
  <si>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</si>
  <si>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</si>
  <si>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</si>
  <si>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</si>
  <si>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</si>
  <si>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</si>
  <si>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</si>
  <si>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</si>
  <si>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</si>
  <si>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</si>
  <si>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</si>
  <si>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</si>
  <si>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</si>
  <si>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</si>
  <si>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</si>
  <si>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</si>
  <si>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</si>
  <si>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</si>
  <si>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</si>
  <si>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</si>
  <si>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</si>
  <si>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</si>
  <si>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</si>
  <si>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</si>
  <si>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</si>
  <si>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</si>
  <si>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</si>
  <si>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</si>
  <si>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</si>
  <si>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</si>
  <si>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</si>
  <si>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</si>
  <si>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</si>
  <si>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</si>
  <si>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</si>
  <si>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</si>
  <si>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</si>
  <si>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</si>
  <si>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</si>
  <si>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</si>
  <si>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</si>
  <si>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</si>
  <si>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</si>
  <si>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</si>
  <si>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</si>
  <si>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</si>
  <si>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</si>
  <si>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</si>
  <si>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</si>
  <si>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</si>
  <si>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</si>
  <si>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</si>
  <si>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</si>
  <si>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</si>
  <si>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</si>
  <si>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</si>
  <si>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</si>
  <si>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</si>
  <si>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</si>
  <si>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</si>
  <si>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</si>
  <si>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</si>
  <si>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</si>
  <si>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</si>
  <si>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</si>
  <si>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</si>
  <si>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</si>
  <si>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</si>
  <si>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</si>
  <si>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</si>
  <si>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</si>
  <si>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</si>
  <si>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</si>
  <si>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</si>
  <si>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</si>
  <si>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</si>
  <si>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</si>
  <si>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</si>
  <si>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</si>
  <si>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</si>
  <si>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</si>
  <si>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</si>
  <si>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</si>
  <si>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</si>
  <si>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</si>
  <si>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</si>
  <si>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</si>
  <si>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</si>
  <si>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</si>
  <si>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</si>
  <si>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</si>
  <si>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</si>
  <si>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</si>
  <si>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</si>
  <si>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</si>
  <si>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</si>
  <si>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</si>
  <si>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</si>
  <si>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</si>
  <si>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</si>
  <si>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</si>
  <si>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</si>
  <si>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</si>
  <si>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</si>
  <si>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</si>
  <si>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</si>
  <si>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</si>
  <si>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</si>
  <si>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</si>
  <si>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</si>
  <si>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</si>
  <si>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</si>
  <si>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</si>
  <si>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</si>
  <si>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</si>
  <si>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</si>
  <si>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</si>
  <si>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</si>
  <si>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</si>
  <si>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</si>
  <si>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</si>
  <si>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</si>
  <si>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</si>
  <si>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</si>
  <si>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</si>
  <si>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</si>
  <si>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</si>
  <si>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</si>
  <si>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</si>
  <si>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</si>
  <si>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</si>
  <si>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</si>
  <si>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</si>
  <si>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</si>
  <si>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</si>
  <si>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</si>
  <si>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</si>
  <si>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</si>
  <si>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</si>
  <si>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</si>
  <si>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</si>
  <si>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</si>
  <si>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</si>
  <si>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</si>
  <si>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</si>
  <si>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</si>
  <si>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</si>
  <si>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</si>
  <si>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</si>
  <si>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</si>
  <si>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</si>
  <si>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</si>
  <si>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</si>
  <si>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</si>
  <si>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</si>
  <si>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</si>
  <si>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</si>
  <si>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</si>
  <si>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</si>
  <si>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</si>
  <si>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</si>
  <si>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</si>
  <si>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</si>
  <si>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</si>
  <si>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</si>
  <si>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</si>
  <si>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</si>
  <si>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</si>
  <si>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</si>
  <si>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</si>
  <si>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</si>
  <si>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</si>
  <si>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</si>
  <si>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</si>
  <si>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</si>
  <si>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</si>
  <si>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</si>
  <si>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</si>
  <si>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</si>
  <si>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</si>
  <si>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</si>
  <si>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</si>
  <si>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</si>
  <si>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</si>
  <si>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</si>
  <si>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</si>
  <si>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</si>
  <si>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</si>
  <si>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</si>
  <si>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</si>
  <si>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</si>
  <si>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</si>
  <si>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</si>
  <si>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</si>
  <si>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</si>
  <si>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</si>
  <si>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</si>
  <si>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</si>
  <si>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</si>
  <si>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</si>
  <si>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</si>
  <si>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</si>
  <si>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</si>
  <si>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</si>
  <si>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</si>
  <si>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</si>
  <si>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</si>
  <si>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</si>
  <si>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</si>
  <si>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</si>
  <si>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</si>
  <si>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</si>
  <si>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</si>
  <si>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</si>
  <si>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</si>
  <si>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</si>
  <si>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</si>
  <si>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</si>
  <si>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</si>
  <si>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</si>
  <si>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</si>
  <si>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</si>
  <si>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</si>
  <si>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</si>
  <si>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</si>
  <si>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</si>
  <si>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</si>
  <si>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</si>
  <si>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</si>
  <si>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</si>
  <si>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</si>
  <si>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</si>
  <si>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</si>
  <si>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</si>
  <si>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</si>
  <si>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</si>
  <si>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</si>
  <si>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</si>
  <si>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</si>
  <si>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</si>
  <si>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</si>
  <si>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</si>
  <si>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</si>
  <si>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</si>
  <si>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</si>
  <si>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</si>
  <si>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</si>
  <si>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</si>
  <si>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</si>
  <si>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</si>
  <si>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</si>
  <si>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</si>
  <si>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</si>
  <si>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</si>
  <si>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</si>
  <si>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</si>
  <si>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</si>
  <si>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</si>
  <si>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</si>
  <si>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</si>
  <si>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</si>
  <si>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</si>
  <si>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</si>
  <si>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</si>
  <si>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</si>
  <si>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</si>
  <si>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</si>
  <si>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</si>
  <si>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</si>
  <si>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</si>
  <si>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</si>
  <si>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</si>
  <si>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</si>
  <si>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</si>
  <si>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</si>
  <si>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</si>
  <si>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</si>
  <si>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</si>
  <si>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</si>
  <si>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</si>
  <si>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</si>
  <si>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</si>
  <si>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</si>
  <si>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</si>
  <si>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</si>
  <si>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</si>
  <si>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</si>
  <si>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</si>
  <si>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</si>
  <si>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</si>
  <si>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</si>
  <si>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</si>
  <si>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</si>
  <si>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</si>
  <si>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</si>
  <si>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</si>
  <si>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</si>
  <si>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</si>
  <si>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</si>
  <si>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</si>
  <si>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</si>
  <si>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</si>
  <si>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</si>
  <si>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</si>
  <si>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</si>
  <si>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</si>
  <si>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</si>
  <si>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</si>
  <si>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</si>
  <si>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</si>
  <si>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</si>
  <si>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</si>
  <si>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</si>
  <si>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</si>
  <si>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</si>
  <si>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</si>
  <si>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</si>
  <si>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</si>
  <si>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</si>
  <si>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</si>
  <si>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</si>
  <si>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</si>
  <si>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</si>
  <si>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</si>
  <si>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</si>
  <si>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</si>
  <si>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</si>
  <si>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</si>
  <si>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</si>
  <si>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</si>
  <si>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</si>
  <si>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</si>
  <si>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</si>
  <si>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</si>
  <si>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</si>
  <si>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</si>
  <si>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</si>
  <si>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</si>
  <si>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</si>
  <si>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</si>
  <si>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</si>
  <si>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</si>
  <si>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</si>
  <si>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</si>
  <si>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</si>
  <si>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</si>
  <si>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</si>
  <si>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</si>
  <si>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</si>
  <si>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</si>
  <si>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</si>
  <si>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</si>
  <si>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</si>
  <si>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</si>
  <si>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</si>
  <si>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</si>
  <si>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</si>
  <si>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</si>
  <si>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</si>
  <si>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</si>
  <si>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</si>
  <si>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</si>
  <si>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</si>
  <si>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</si>
  <si>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</si>
  <si>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</si>
  <si>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</si>
  <si>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</si>
  <si>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</si>
  <si>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</si>
  <si>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</si>
  <si>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</si>
  <si>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</si>
  <si>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</si>
  <si>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</si>
  <si>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</si>
  <si>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</si>
  <si>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</si>
  <si>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</si>
  <si>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</si>
  <si>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</si>
  <si>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</si>
  <si>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</si>
  <si>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</si>
  <si>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</si>
  <si>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</si>
  <si>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</si>
  <si>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</si>
  <si>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</si>
  <si>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</si>
  <si>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</si>
  <si>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</si>
  <si>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</si>
  <si>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</si>
  <si>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</si>
  <si>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</si>
  <si>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</si>
  <si>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</si>
  <si>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</si>
  <si>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</si>
  <si>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</si>
  <si>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</si>
  <si>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</si>
  <si>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</si>
  <si>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</si>
  <si>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</si>
  <si>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</si>
  <si>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</si>
  <si>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</si>
  <si>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</si>
  <si>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</si>
  <si>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</si>
  <si>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</si>
  <si>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</si>
  <si>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</si>
  <si>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</si>
  <si>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</si>
  <si>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</si>
  <si>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</si>
  <si>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</si>
  <si>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</si>
  <si>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</si>
  <si>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</si>
  <si>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</si>
  <si>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</si>
  <si>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</si>
  <si>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</si>
  <si>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</si>
  <si>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</si>
  <si>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</si>
  <si>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</si>
  <si>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</si>
  <si>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</si>
  <si>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</si>
  <si>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</si>
  <si>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</si>
  <si>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</si>
  <si>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</si>
  <si>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</si>
  <si>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</si>
  <si>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</si>
  <si>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</si>
  <si>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</si>
  <si>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</si>
  <si>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</si>
  <si>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</si>
  <si>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</si>
  <si>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</si>
  <si>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</si>
  <si>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</si>
  <si>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</si>
  <si>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</si>
  <si>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</si>
  <si>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</si>
  <si>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</si>
  <si>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</si>
  <si>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</si>
  <si>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</si>
  <si>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</si>
  <si>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</si>
  <si>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</si>
  <si>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</si>
  <si>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</si>
  <si>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</si>
  <si>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</si>
  <si>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</si>
  <si>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</si>
  <si>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</si>
  <si>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</si>
  <si>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</si>
  <si>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</si>
  <si>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</si>
  <si>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</si>
  <si>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</si>
  <si>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</si>
  <si>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</si>
  <si>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</si>
  <si>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</si>
  <si>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</si>
  <si>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</si>
  <si>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</si>
  <si>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</si>
  <si>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</si>
  <si>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</si>
  <si>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</si>
  <si>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</si>
  <si>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</si>
  <si>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</si>
  <si>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</si>
  <si>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</si>
  <si>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</si>
  <si>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</si>
  <si>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</si>
  <si>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</si>
  <si>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</si>
  <si>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</si>
  <si>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</si>
  <si>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</si>
  <si>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</si>
  <si>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</si>
  <si>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</si>
  <si>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</si>
  <si>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</si>
  <si>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</si>
  <si>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</si>
  <si>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</si>
  <si>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</si>
  <si>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</si>
  <si>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</si>
  <si>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</si>
  <si>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</si>
  <si>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</si>
  <si>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</si>
  <si>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</si>
  <si>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</si>
  <si>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</si>
  <si>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</si>
  <si>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</si>
  <si>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</si>
  <si>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</si>
  <si>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</si>
  <si>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</si>
  <si>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</si>
  <si>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</si>
  <si>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</si>
  <si>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</si>
  <si>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</si>
  <si>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</si>
  <si>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</si>
  <si>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</si>
  <si>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</si>
  <si>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</si>
  <si>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</si>
  <si>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</si>
  <si>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</si>
  <si>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</si>
  <si>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</si>
  <si>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</si>
  <si>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</si>
  <si>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</si>
  <si>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</si>
  <si>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</si>
  <si>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</si>
  <si>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</si>
  <si>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</si>
  <si>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</si>
  <si>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</si>
  <si>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</si>
  <si>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</si>
  <si>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</si>
  <si>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</si>
  <si>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</si>
  <si>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</si>
  <si>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</si>
  <si>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</si>
  <si>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</si>
  <si>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</si>
  <si>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</si>
  <si>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</si>
  <si>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</si>
  <si>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</si>
  <si>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</si>
  <si>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</si>
  <si>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</si>
  <si>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</si>
  <si>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</si>
  <si>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</si>
  <si>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</si>
  <si>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</si>
  <si>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</si>
  <si>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</si>
  <si>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</si>
  <si>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</si>
  <si>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</si>
  <si>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</si>
  <si>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</si>
  <si>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</si>
  <si>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</si>
  <si>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</si>
  <si>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</si>
  <si>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</si>
  <si>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</si>
  <si>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</si>
  <si>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</si>
  <si>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</si>
  <si>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</si>
  <si>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</si>
  <si>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</si>
  <si>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</si>
  <si>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</si>
  <si>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</si>
  <si>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</si>
  <si>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</si>
  <si>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</si>
  <si>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</si>
  <si>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</si>
  <si>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</si>
  <si>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</si>
  <si>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</si>
  <si>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</si>
  <si>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</si>
  <si>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</si>
  <si>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</si>
  <si>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</si>
  <si>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</si>
  <si>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</si>
  <si>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</si>
  <si>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</si>
  <si>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</si>
  <si>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</si>
  <si>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</si>
  <si>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</si>
  <si>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</si>
  <si>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</si>
  <si>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</si>
  <si>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</si>
  <si>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</si>
  <si>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</si>
  <si>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</si>
  <si>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</si>
  <si>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</si>
  <si>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</si>
  <si>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</si>
  <si>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</si>
  <si>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</si>
  <si>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</si>
  <si>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</si>
  <si>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</si>
  <si>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</si>
  <si>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</si>
  <si>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</si>
  <si>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</si>
  <si>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</si>
  <si>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</si>
  <si>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</si>
  <si>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</si>
  <si>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</si>
  <si>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</si>
  <si>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</si>
  <si>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</si>
  <si>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</si>
  <si>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</si>
  <si>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</si>
  <si>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</si>
  <si>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</si>
  <si>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</si>
  <si>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</si>
  <si>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</si>
  <si>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</si>
  <si>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</si>
  <si>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</si>
  <si>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</si>
  <si>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</si>
  <si>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</si>
  <si>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</si>
  <si>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</si>
  <si>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</si>
  <si>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</si>
  <si>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</si>
  <si>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</si>
  <si>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</si>
  <si>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</si>
  <si>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</si>
  <si>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</si>
  <si>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</si>
  <si>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</si>
  <si>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</si>
  <si>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</si>
  <si>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</si>
  <si>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</si>
  <si>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</si>
  <si>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</si>
  <si>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</si>
  <si>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</si>
  <si>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</si>
  <si>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</si>
  <si>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</si>
  <si>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</si>
  <si>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</si>
  <si>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</si>
  <si>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</si>
  <si>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</si>
  <si>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</si>
  <si>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</si>
  <si>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</si>
  <si>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</si>
  <si>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</si>
  <si>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</si>
  <si>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</si>
  <si>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</si>
  <si>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</si>
  <si>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</si>
  <si>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</si>
  <si>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</si>
  <si>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</si>
  <si>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</si>
  <si>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</si>
  <si>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</si>
  <si>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</si>
  <si>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</si>
  <si>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</si>
  <si>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</si>
  <si>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</si>
  <si>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</si>
  <si>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</si>
  <si>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</si>
  <si>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</si>
  <si>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</si>
  <si>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</si>
  <si>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</si>
  <si>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</si>
  <si>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</si>
  <si>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</si>
  <si>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</si>
  <si>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</si>
  <si>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</si>
  <si>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</si>
  <si>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</si>
  <si>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</si>
  <si>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</si>
  <si>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</si>
  <si>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</si>
  <si>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</si>
  <si>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</si>
  <si>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</si>
  <si>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</si>
  <si>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</si>
  <si>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</si>
  <si>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</si>
  <si>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</si>
  <si>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</si>
  <si>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</si>
  <si>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</si>
  <si>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</si>
  <si>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</si>
  <si>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</si>
  <si>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</si>
  <si>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</si>
  <si>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</si>
  <si>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</si>
  <si>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</si>
  <si>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</si>
  <si>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</si>
  <si>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</si>
  <si>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</si>
  <si>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</si>
  <si>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</si>
  <si>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</si>
  <si>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</si>
  <si>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</si>
  <si>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</si>
  <si>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</si>
  <si>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</si>
  <si>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</si>
  <si>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</si>
  <si>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</si>
  <si>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</si>
  <si>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</si>
  <si>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</si>
  <si>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</si>
  <si>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</si>
  <si>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</si>
  <si>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</si>
  <si>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</si>
  <si>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</si>
  <si>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</si>
  <si>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</si>
  <si>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</si>
  <si>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</si>
  <si>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</si>
  <si>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</si>
  <si>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</si>
  <si>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</si>
  <si>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</si>
  <si>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</si>
  <si>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</si>
  <si>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</si>
  <si>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</si>
  <si>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</si>
  <si>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</si>
  <si>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</si>
  <si>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</si>
  <si>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</si>
  <si>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</si>
  <si>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</si>
  <si>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</si>
  <si>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</si>
  <si>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</si>
  <si>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</si>
  <si>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</si>
  <si>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</si>
  <si>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</si>
  <si>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</si>
  <si>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</si>
  <si>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</si>
  <si>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</si>
  <si>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</si>
  <si>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</si>
  <si>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</si>
  <si>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</si>
  <si>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</si>
  <si>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</si>
  <si>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</si>
  <si>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</si>
  <si>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</si>
  <si>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</si>
  <si>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</si>
  <si>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</si>
  <si>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</si>
  <si>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</si>
  <si>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</si>
  <si>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</si>
  <si>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</si>
  <si>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</si>
  <si>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</si>
  <si>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</si>
  <si>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</si>
  <si>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</si>
  <si>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</si>
  <si>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</si>
  <si>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</si>
  <si>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</si>
  <si>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</si>
  <si>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</si>
  <si>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</si>
  <si>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</si>
  <si>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</si>
  <si>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</si>
  <si>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</si>
  <si>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</si>
  <si>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</si>
  <si>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</si>
  <si>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</si>
  <si>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</si>
  <si>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</si>
  <si>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</si>
  <si>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</si>
  <si>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</si>
  <si>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</si>
  <si>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</si>
  <si>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</si>
  <si>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</si>
  <si>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</si>
  <si>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</si>
  <si>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</si>
  <si>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</si>
  <si>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</si>
  <si>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</si>
  <si>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</si>
  <si>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</si>
  <si>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</si>
  <si>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</si>
  <si>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</si>
  <si>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</si>
  <si>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</si>
  <si>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</si>
  <si>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</si>
  <si>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</si>
  <si>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</si>
  <si>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</si>
  <si>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</si>
  <si>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</si>
  <si>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</si>
  <si>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</si>
  <si>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</si>
  <si>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</si>
  <si>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</si>
  <si>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</si>
  <si>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</si>
  <si>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</si>
  <si>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</si>
  <si>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</si>
  <si>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</si>
  <si>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</si>
  <si>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</si>
  <si>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</si>
  <si>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</si>
  <si>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</si>
  <si>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</si>
  <si>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</si>
  <si>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</si>
  <si>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</si>
  <si>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</si>
  <si>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</si>
  <si>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</si>
  <si>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</si>
  <si>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</si>
  <si>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</si>
  <si>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</si>
  <si>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</si>
  <si>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</si>
  <si>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</si>
  <si>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</si>
  <si>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</si>
  <si>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</si>
  <si>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</si>
  <si>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</si>
  <si>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</si>
  <si>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</si>
  <si>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</si>
  <si>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</si>
  <si>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</si>
  <si>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</si>
  <si>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</si>
  <si>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</si>
  <si>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</si>
  <si>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</si>
  <si>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</si>
  <si>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</si>
  <si>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</si>
  <si>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</si>
  <si>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</si>
  <si>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</si>
  <si>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</si>
  <si>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</si>
  <si>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</si>
  <si>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</si>
  <si>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</si>
  <si>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</si>
  <si>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</si>
  <si>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</si>
  <si>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</si>
  <si>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</si>
  <si>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</si>
  <si>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</si>
  <si>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</si>
  <si>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</si>
  <si>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</si>
  <si>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</si>
  <si>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</si>
  <si>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</si>
  <si>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</si>
  <si>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</si>
  <si>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</si>
  <si>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</si>
  <si>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</si>
  <si>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</si>
  <si>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</si>
  <si>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</si>
  <si>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</si>
  <si>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</si>
  <si>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</si>
  <si>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</si>
  <si>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</si>
  <si>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</si>
  <si>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</si>
  <si>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</si>
  <si>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</si>
  <si>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</si>
  <si>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</si>
  <si>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</si>
  <si>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</si>
  <si>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</si>
  <si>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</si>
  <si>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</si>
  <si>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</si>
  <si>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</si>
  <si>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</si>
  <si>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</si>
  <si>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</si>
  <si>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</si>
  <si>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</si>
  <si>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</si>
  <si>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</si>
  <si>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</si>
  <si>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</si>
  <si>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</si>
  <si>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</si>
  <si>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</si>
  <si>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</si>
  <si>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</si>
  <si>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</si>
  <si>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</si>
  <si>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</si>
  <si>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</si>
  <si>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</si>
  <si>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</si>
  <si>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</si>
  <si>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</si>
  <si>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</si>
  <si>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</si>
  <si>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</si>
  <si>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</si>
  <si>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</si>
  <si>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</si>
  <si>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</si>
  <si>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</si>
  <si>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</si>
  <si>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</si>
  <si>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</si>
  <si>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</si>
  <si>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</si>
  <si>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</si>
  <si>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</si>
  <si>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</si>
  <si>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</si>
  <si>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</si>
  <si>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</si>
  <si>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</si>
  <si>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</si>
  <si>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</si>
  <si>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</si>
  <si>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</si>
  <si>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</si>
  <si>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</si>
  <si>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</si>
  <si>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</si>
  <si>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</si>
  <si>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</si>
  <si>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</si>
  <si>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</si>
  <si>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</si>
  <si>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</si>
  <si>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</si>
  <si>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</si>
  <si>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</si>
  <si>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</si>
  <si>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</si>
  <si>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</si>
  <si>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</si>
  <si>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</si>
  <si>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</si>
  <si>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</si>
  <si>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</si>
  <si>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</si>
  <si>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</si>
  <si>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</si>
  <si>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</si>
  <si>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</si>
  <si>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</si>
  <si>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</si>
  <si>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</si>
  <si>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</si>
  <si>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</si>
  <si>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</si>
  <si>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</si>
  <si>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</si>
  <si>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</si>
  <si>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</si>
  <si>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</si>
  <si>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</si>
  <si>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</si>
  <si>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</si>
  <si>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</si>
  <si>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</si>
  <si>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</si>
  <si>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</si>
  <si>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</si>
  <si>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</si>
  <si>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</si>
  <si>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</si>
  <si>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</si>
  <si>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</si>
  <si>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</si>
  <si>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</si>
  <si>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</si>
  <si>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</si>
  <si>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</si>
  <si>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</si>
  <si>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</si>
  <si>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</si>
  <si>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</si>
  <si>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</si>
  <si>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</si>
  <si>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</si>
  <si>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</si>
  <si>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</si>
  <si>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</si>
  <si>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</si>
  <si>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</si>
  <si>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</si>
  <si>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</si>
  <si>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</si>
  <si>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</si>
  <si>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</si>
  <si>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</si>
  <si>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</si>
  <si>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</si>
  <si>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</si>
  <si>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</si>
  <si>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</si>
  <si>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</si>
  <si>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</si>
  <si>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</si>
  <si>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</si>
  <si>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</si>
  <si>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</si>
  <si>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</si>
  <si>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</si>
  <si>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</si>
  <si>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</si>
  <si>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</si>
  <si>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</si>
  <si>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</si>
  <si>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</si>
  <si>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</si>
  <si>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</si>
  <si>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</si>
  <si>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</si>
  <si>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</si>
  <si>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</si>
  <si>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</si>
  <si>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</si>
  <si>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</si>
  <si>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</si>
  <si>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</si>
  <si>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</si>
  <si>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</si>
  <si>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</si>
  <si>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</si>
  <si>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</si>
  <si>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</si>
  <si>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</si>
  <si>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</si>
  <si>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</si>
  <si>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</si>
  <si>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</si>
  <si>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</si>
  <si>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</si>
  <si>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Successful Outcome </t>
  </si>
  <si>
    <t>Number of Backers</t>
  </si>
  <si>
    <t>Unsuccessful Outcome</t>
  </si>
  <si>
    <t>Successful Campaign</t>
  </si>
  <si>
    <t>Mean_backers</t>
  </si>
  <si>
    <t>Median_backers</t>
  </si>
  <si>
    <t>Max_backers</t>
  </si>
  <si>
    <t>Min_backers</t>
  </si>
  <si>
    <t>Variance_backers</t>
  </si>
  <si>
    <t>STDEV_backers</t>
  </si>
  <si>
    <t>Unsuccessful Campaign</t>
  </si>
  <si>
    <t>Interquartile range</t>
  </si>
  <si>
    <t>First quartile</t>
  </si>
  <si>
    <t>Third Quartile</t>
  </si>
  <si>
    <t>Q1 - 1.5IQR</t>
  </si>
  <si>
    <t>Q3+1.5IQR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</si>
</sst>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[StarterBook_AP.xlsx]Pivot_Category!PivotTable1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2-47DB-929C-671DD07D61AF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2-47DB-929C-671DD07D61AF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2-47DB-929C-671DD07D61AF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2-47DB-929C-671DD07D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0287"/>
        <c:axId val="2003528863"/>
      </c:barChart>
      <c:catAx>
        <c:axId val="279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28863"/>
        <c:crosses val="autoZero"/>
        <c:auto val="1"/>
        <c:lblAlgn val="ctr"/>
        <c:lblOffset val="100"/>
        <c:noMultiLvlLbl val="0"/>
      </c:catAx>
      <c:valAx>
        <c:axId val="200352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8-4F8B-9A05-615DFD8E4174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8-4F8B-9A05-615DFD8E4174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8-4F8B-9A05-615DFD8E4174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38-4F8B-9A05-615DFD8E4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97647"/>
        <c:axId val="5613151"/>
      </c:barChart>
      <c:catAx>
        <c:axId val="117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151"/>
        <c:crosses val="autoZero"/>
        <c:auto val="1"/>
        <c:lblAlgn val="ctr"/>
        <c:lblOffset val="100"/>
        <c:noMultiLvlLbl val="0"/>
      </c:catAx>
      <c:valAx>
        <c:axId val="561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[StarterBook_AP.xlsx]Pivot_Date!PivotTable4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F-4359-8B17-5F59069BEB7E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F-4359-8B17-5F59069BEB7E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F-4359-8B17-5F59069BEB7E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F-4359-8B17-5F59069B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3695"/>
        <c:axId val="15533823"/>
      </c:lineChart>
      <c:catAx>
        <c:axId val="132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3823"/>
        <c:crosses val="autoZero"/>
        <c:auto val="1"/>
        <c:lblAlgn val="ctr"/>
        <c:lblOffset val="100"/>
        <c:noMultiLvlLbl val="0"/>
      </c:catAx>
      <c:valAx>
        <c:axId val="155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E-4DD3-A091-EC393F3D3FF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E-4DD3-A091-EC393F3D3FF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E-4DD3-A091-EC393F3D3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168559"/>
        <c:axId val="1931235999"/>
      </c:lineChart>
      <c:catAx>
        <c:axId val="170616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235999"/>
        <c:crosses val="autoZero"/>
        <c:auto val="1"/>
        <c:lblAlgn val="ctr"/>
        <c:lblOffset val="100"/>
        <c:noMultiLvlLbl val="0"/>
      </c:catAx>
      <c:valAx>
        <c:axId val="193123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16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</a:t>
          </a:r>
        </a:p>
      </cx:txPr>
    </cx:title>
    <cx:plotArea>
      <cx:plotAreaRegion>
        <cx:series layoutId="boxWhisker" uniqueId="{52B948F9-6487-427F-BCB6-085496A22E77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Campaigns</a:t>
          </a:r>
        </a:p>
      </cx:txPr>
    </cx:title>
    <cx:plotArea>
      <cx:plotAreaRegion>
        <cx:series layoutId="boxWhisker" uniqueId="{D60A810C-BD15-40F7-B0F1-30B144B9AF67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 min="-5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9525</xdr:rowOff>
    </xdr:from>
    <xdr:to>
      <xdr:col>18</xdr:col>
      <xdr:colOff>228599</xdr:colOff>
      <xdr:row>25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4CB88-81CC-4125-B176-97D85CC4A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171450</xdr:rowOff>
    </xdr:from>
    <xdr:to>
      <xdr:col>12</xdr:col>
      <xdr:colOff>857249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F6B0F-8496-4B43-B2F2-EF3162E4E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95250</xdr:rowOff>
    </xdr:from>
    <xdr:to>
      <xdr:col>18</xdr:col>
      <xdr:colOff>152399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3660F-C3EC-48A3-9D9A-AEF49A2CB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514348</xdr:colOff>
      <xdr:row>18</xdr:row>
      <xdr:rowOff>57150</xdr:rowOff>
    </xdr:from>
    <xdr:to>
      <xdr:col>12</xdr:col>
      <xdr:colOff>495300</xdr:colOff>
      <xdr:row>44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C59A5-157E-4C32-A38B-65D02B5BC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17</xdr:row>
      <xdr:rowOff>57150</xdr:rowOff>
    </xdr:from>
    <xdr:to>
      <xdr:col>13</xdr:col>
      <xdr:colOff>561975</xdr:colOff>
      <xdr:row>31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AA4B36A-7C62-419B-A4FB-5A519D3E9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6650" y="3295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581025</xdr:colOff>
      <xdr:row>17</xdr:row>
      <xdr:rowOff>38100</xdr:rowOff>
    </xdr:from>
    <xdr:to>
      <xdr:col>21</xdr:col>
      <xdr:colOff>19050</xdr:colOff>
      <xdr:row>31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F56F651-E27B-4F63-B97D-C73D4EB52C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87300" y="3276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" refreshedDate="43967.733342708336" createdVersion="6" refreshedVersion="6" minRefreshableVersion="3" recordCount="4114" xr:uid="{A612EC62-7D1B-4A84-8128-367B85E1949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" refreshedDate="43967.746262615743" createdVersion="6" refreshedVersion="6" minRefreshableVersion="3" recordCount="4114" xr:uid="{BD3915F8-5DD7-42B7-89A1-40143134BE0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2AAEC-F2BB-40E7-9D65-F0BFBF0822C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1298A-62DC-41D2-A196-0B5F9BF38F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C2E3C-F72B-47C0-A227-EF270111406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EB69-8A9E-49B0-8806-57945DB00111}">
  <sheetPr codeName="Sheet1"/>
  <dimension ref="A1:F14"/>
  <sheetViews>
    <sheetView workbookViewId="0">
      <selection activeCell="B29" sqref="B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8324</v>
      </c>
    </row>
    <row r="3" spans="1:6" x14ac:dyDescent="0.25">
      <c r="A3" s="5" t="s">
        <v>8323</v>
      </c>
      <c r="B3" s="5" t="s">
        <v>8322</v>
      </c>
    </row>
    <row r="4" spans="1:6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335C4-A064-48BB-868E-3C1D98B9B320}">
  <sheetPr codeName="Sheet2"/>
  <dimension ref="A1:F47"/>
  <sheetViews>
    <sheetView workbookViewId="0">
      <selection activeCell="K31" sqref="K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8324</v>
      </c>
    </row>
    <row r="2" spans="1:6" x14ac:dyDescent="0.25">
      <c r="A2" s="5" t="s">
        <v>8308</v>
      </c>
      <c r="B2" t="s">
        <v>8324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8326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CFBE5-FEFB-4464-A9BD-A53C34EFF082}">
  <sheetPr codeName="Sheet3"/>
  <dimension ref="A1:F18"/>
  <sheetViews>
    <sheetView workbookViewId="0">
      <selection activeCell="K26" sqref="K26:K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8324</v>
      </c>
    </row>
    <row r="2" spans="1:6" x14ac:dyDescent="0.25">
      <c r="A2" s="5" t="s">
        <v>8379</v>
      </c>
      <c r="B2" t="s">
        <v>8324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3.42578125" bestFit="1" customWidth="1"/>
    <col min="18" max="18" width="17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IFERROR(AVERAGE(E2/L2), 0)</f>
        <v>63.917582417582416</v>
      </c>
      <c r="Q2" t="str">
        <f>LEFT(N2, SEARCH("/",N2)-1)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IFERROR(AVERAGE(E3/L3), 0)</f>
        <v>185.48101265822785</v>
      </c>
      <c r="Q3" t="str">
        <f t="shared" ref="Q3:Q66" si="2">LEFT(N3, SEARCH("/",N3)-1)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IFERROR(AVERAGE(E67/L67), 0)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>
        <f t="shared" ref="P131:P194" si="13">IFERROR(AVERAGE(E131/L131), 0)</f>
        <v>0</v>
      </c>
      <c r="Q131" t="str">
        <f t="shared" ref="Q131:Q194" si="14">LEFT(N131, SEARCH("/",N131)-1)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>
        <f t="shared" ref="P195:P258" si="19">IFERROR(AVERAGE(E195/L195), 0)</f>
        <v>0</v>
      </c>
      <c r="Q195" t="str">
        <f t="shared" ref="Q195:Q258" si="20">LEFT(N195, SEARCH("/",N195)-1)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IFERROR(AVERAGE(E259/L259), 0)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IFERROR(AVERAGE(E323/L323), 0)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IFERROR(AVERAGE(E387/L387), 0)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IFERROR(AVERAGE(E451/L451), 0)</f>
        <v>9</v>
      </c>
      <c r="Q451" t="str">
        <f t="shared" ref="Q451:Q514" si="44">LEFT(N451, SEARCH("/",N451)-1)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IFERROR(AVERAGE(E515/L515), 0)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IFERROR(AVERAGE(E579/L579), 0)</f>
        <v>10</v>
      </c>
      <c r="Q579" t="str">
        <f t="shared" ref="Q579:Q642" si="56">LEFT(N579, SEARCH("/",N579)-1)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IFERROR(AVERAGE(E643/L643), 0)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IFERROR(AVERAGE(E707/L707), 0)</f>
        <v>195.4</v>
      </c>
      <c r="Q707" t="str">
        <f t="shared" ref="Q707:Q770" si="68">LEFT(N707, SEARCH("/",N707)-1)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IFERROR(AVERAGE(E771/L771), 0)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IFERROR(AVERAGE(E835/L835), 0)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>
        <f t="shared" ref="P899:P962" si="85">IFERROR(AVERAGE(E899/L899), 0)</f>
        <v>0</v>
      </c>
      <c r="Q899" t="str">
        <f t="shared" ref="Q899:Q962" si="86">LEFT(N899, SEARCH("/",N899)-1)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IFERROR(AVERAGE(E963/L963), 0)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IFERROR(AVERAGE(E1027/L1027), 0)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IFERROR(AVERAGE(E1091/L1091), 0)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IFERROR(AVERAGE(E1155/L1155), 0)</f>
        <v>50</v>
      </c>
      <c r="Q1155" t="str">
        <f t="shared" ref="Q1155:Q1218" si="110">LEFT(N1155, SEARCH("/",N1155)-1)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IFERROR(AVERAGE(E1219/L1219), 0)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IFERROR(AVERAGE(E1283/L1283), 0)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IFERROR(AVERAGE(E1347/L1347), 0)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>
        <f t="shared" ref="P1411:P1474" si="133">IFERROR(AVERAGE(E1411/L1411), 0)</f>
        <v>0</v>
      </c>
      <c r="Q1411" t="str">
        <f t="shared" ref="Q1411:Q1474" si="134">LEFT(N1411, SEARCH("/",N1411)-1)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IFERROR(AVERAGE(E1475/L1475), 0)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IFERROR(AVERAGE(E1539/L1539), 0)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IFERROR(AVERAGE(E1603/L1603), 0)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IFERROR(AVERAGE(E1667/L1667), 0)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>
        <f t="shared" ref="P1731:P1794" si="163">IFERROR(AVERAGE(E1731/L1731), 0)</f>
        <v>0</v>
      </c>
      <c r="Q1731" t="str">
        <f t="shared" ref="Q1731:Q1794" si="164">LEFT(N1731, SEARCH("/",N1731)-1)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IFERROR(AVERAGE(E1795/L1795), 0)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IFERROR(AVERAGE(E1859/L1859), 0)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IFERROR(AVERAGE(E1923/L1923), 0)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IFERROR(AVERAGE(E1987/L1987), 0)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IFERROR(AVERAGE(E2051/L2051), 0)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IFERROR(AVERAGE(E2115/L2115), 0)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IFERROR(AVERAGE(E2179/L2179), 0)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IFERROR(AVERAGE(E2243/L2243), 0)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IFERROR(AVERAGE(E2307/L2307), 0)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>
        <f t="shared" ref="P2371:P2434" si="223">IFERROR(AVERAGE(E2371/L2371), 0)</f>
        <v>0</v>
      </c>
      <c r="Q2371" t="str">
        <f t="shared" ref="Q2371:Q2434" si="224">LEFT(N2371, SEARCH("/",N2371)-1)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>
        <f t="shared" ref="P2435:P2498" si="229">IFERROR(AVERAGE(E2435/L2435), 0)</f>
        <v>0</v>
      </c>
      <c r="Q2435" t="str">
        <f t="shared" ref="Q2435:Q2498" si="230">LEFT(N2435, SEARCH("/",N2435)-1)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IFERROR(AVERAGE(E2499/L2499), 0)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>
        <f t="shared" ref="P2563:P2626" si="241">IFERROR(AVERAGE(E2563/L2563), 0)</f>
        <v>0</v>
      </c>
      <c r="Q2563" t="str">
        <f t="shared" ref="Q2563:Q2626" si="242">LEFT(N2563, SEARCH("/",N2563)-1)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IFERROR(AVERAGE(E2627/L2627), 0)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IFERROR(AVERAGE(E2691/L2691), 0)</f>
        <v>1</v>
      </c>
      <c r="Q2691" t="str">
        <f t="shared" ref="Q2691:Q2754" si="254">LEFT(N2691, SEARCH("/",N2691)-1)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IFERROR(AVERAGE(E2755/L2755), 0)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IFERROR(AVERAGE(E2819/L2819), 0)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>
        <f t="shared" ref="P2883:P2946" si="271">IFERROR(AVERAGE(E2883/L2883), 0)</f>
        <v>0</v>
      </c>
      <c r="Q2883" t="str">
        <f t="shared" ref="Q2883:Q2946" si="272">LEFT(N2883, SEARCH("/",N2883)-1)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>
        <f t="shared" ref="P2947:P3010" si="277">IFERROR(AVERAGE(E2947/L2947), 0)</f>
        <v>0</v>
      </c>
      <c r="Q2947" t="str">
        <f t="shared" ref="Q2947:Q3010" si="278">LEFT(N2947, SEARCH("/",N2947)-1)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IFERROR(AVERAGE(E3011/L3011), 0)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IFERROR(AVERAGE(E3075/L3075), 0)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IFERROR(AVERAGE(E3139/L3139), 0)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IFERROR(AVERAGE(E3203/L3203), 0)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IFERROR(AVERAGE(E3267/L3267), 0)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IFERROR(AVERAGE(E3331/L3331), 0)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IFERROR(AVERAGE(E3395/L3395), 0)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IFERROR(AVERAGE(E3459/L3459), 0)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IFERROR(AVERAGE(E3523/L3523), 0)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IFERROR(AVERAGE(E3587/L3587), 0)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IFERROR(AVERAGE(E3651/L3651), 0)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IFERROR(AVERAGE(E3715/L3715), 0)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IFERROR(AVERAGE(E3779/L3779), 0)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IFERROR(AVERAGE(E3843/L3843), 0)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IFERROR(AVERAGE(E3907/L3907), 0)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IFERROR(AVERAGE(E3971/L3971), 0)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IFERROR(AVERAGE(E4035/L4035), 0)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>
        <f t="shared" ref="P4099:P4115" si="385">IFERROR(AVERAGE(E4099/L4099), 0)</f>
        <v>0</v>
      </c>
      <c r="Q4099" t="str">
        <f t="shared" ref="Q4099:Q4115" si="386">LEFT(N4099, SEARCH("/",N4099)-1)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4115" xr:uid="{0E524608-8C9C-4CF8-B732-26FA2E440C54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B5A3-7934-4925-8CCA-CF9BD3D0B5A2}">
  <sheetPr codeName="Sheet5"/>
  <dimension ref="A1:H13"/>
  <sheetViews>
    <sheetView workbookViewId="0">
      <selection activeCell="M15" sqref="M14:M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8389</v>
      </c>
      <c r="B3">
        <f>COUNTIFS(goal, "&gt;=1000", goal, "&lt;=4999", state, "successful")</f>
        <v>932</v>
      </c>
      <c r="C3">
        <f>COUNTIFS(goal, "&gt;=1000", goal, "&lt;=4999", state, "failed")</f>
        <v>420</v>
      </c>
      <c r="D3">
        <f>COUNTIFS(goal, "&gt;=1000", goal, "&lt;=4999", state, "canceled")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8390</v>
      </c>
      <c r="B4">
        <f>COUNTIFS(goal, "&gt;=5000", goal, "&lt;=9999", state, "successful")</f>
        <v>381</v>
      </c>
      <c r="C4">
        <f>COUNTIFS(goal, "&gt;=5000", goal, "&lt;=9999", state, "failed")</f>
        <v>283</v>
      </c>
      <c r="D4">
        <f>COUNTIFS(goal, "&gt;=5000", goal, "&lt;=9999", state, 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8391</v>
      </c>
      <c r="B5">
        <f>COUNTIFS(goal, "&gt;=10000", goal, "&lt;=14999", state, "successful")</f>
        <v>168</v>
      </c>
      <c r="C5">
        <f>COUNTIFS(goal, "&gt;=10000", goal, "&lt;=14999", state, "failed")</f>
        <v>144</v>
      </c>
      <c r="D5">
        <f>COUNTIFS(goal, "&gt;=10000", goal, "&lt;=14999", state, 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COUNTIFS(goal, "&gt;=15000", goal, "&lt;=19999", state, "successful")</f>
        <v>94</v>
      </c>
      <c r="C6">
        <f>COUNTIFS(goal, "&gt;=15000", goal, "&lt;=19999", state, "failed")</f>
        <v>90</v>
      </c>
      <c r="D6">
        <f>COUNTIFS(goal, "&gt;=15000", goal, "&lt;=19999", state, 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COUNTIFS(goal, "&gt;=20000", goal, "&lt;=24999", state, "successful")</f>
        <v>62</v>
      </c>
      <c r="C7">
        <f>COUNTIFS(goal, "&gt;=20000", goal, "&lt;=24999", state, "failed")</f>
        <v>72</v>
      </c>
      <c r="D7">
        <f>COUNTIFS(goal, "&gt;=20000", goal, "&lt;=24999", state, 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COUNTIFS(goal, "&gt;=25000", goal, "&lt;=29999", state, "successful")</f>
        <v>55</v>
      </c>
      <c r="C8">
        <f>COUNTIFS(goal, "&gt;=25000", goal, "&lt;=29999", state, "failed")</f>
        <v>64</v>
      </c>
      <c r="D8">
        <f>COUNTIFS(goal, "&gt;=25000", goal, "&lt;=29999", state, 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COUNTIFS(goal, "&gt;=30000", goal, "&lt;=34999", state, "successful")</f>
        <v>32</v>
      </c>
      <c r="C9">
        <f>COUNTIFS(goal, "&gt;=30000", goal, "&lt;=34999", state, "failed")</f>
        <v>37</v>
      </c>
      <c r="D9">
        <f>COUNTIFS(goal, "&gt;=30000", goal, "&lt;=34999", state, 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COUNTIFS(goal, "&gt;=35000", goal, "&lt;=39999", state, "successful")</f>
        <v>26</v>
      </c>
      <c r="C10">
        <f>COUNTIFS(goal, "&gt;=35000", goal, "&lt;=39999", state, "failed")</f>
        <v>22</v>
      </c>
      <c r="D10">
        <f>COUNTIFS(goal, "&gt;=35000", goal, "&lt;=39999", state, 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COUNTIFS(goal, "&gt;=40000", goal, "&lt;=44999", state, "successful")</f>
        <v>21</v>
      </c>
      <c r="C11">
        <f>COUNTIFS(goal, "&gt;=40000", goal, "&lt;=44999", state, "failed")</f>
        <v>16</v>
      </c>
      <c r="D11">
        <f>COUNTIFS(goal, "&gt;=40000", goal, "&lt;=44999", state, 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COUNTIFS(goal, "&gt;=45000", goal, "&lt;=49999", state, "successful")</f>
        <v>6</v>
      </c>
      <c r="C12">
        <f>COUNTIFS(goal, "&gt;=45000", goal, "&lt;=49999", state, "failed")</f>
        <v>11</v>
      </c>
      <c r="D12">
        <f>COUNTIFS(goal, "&gt;=45000", goal, "&lt;=49999", state, 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8399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12466-294A-4FB0-A0C4-D6908AF863C8}">
  <sheetPr codeName="Sheet6"/>
  <dimension ref="A1:Q2186"/>
  <sheetViews>
    <sheetView workbookViewId="0">
      <selection activeCell="T10" sqref="T10"/>
    </sheetView>
  </sheetViews>
  <sheetFormatPr defaultRowHeight="15" x14ac:dyDescent="0.25"/>
  <cols>
    <col min="1" max="1" width="19.42578125" bestFit="1" customWidth="1"/>
    <col min="2" max="2" width="18" bestFit="1" customWidth="1"/>
    <col min="5" max="5" width="21.42578125" bestFit="1" customWidth="1"/>
    <col min="6" max="6" width="18" bestFit="1" customWidth="1"/>
    <col min="11" max="11" width="22" bestFit="1" customWidth="1"/>
    <col min="12" max="12" width="9.5703125" bestFit="1" customWidth="1"/>
    <col min="16" max="16" width="22.140625" bestFit="1" customWidth="1"/>
  </cols>
  <sheetData>
    <row r="1" spans="1:17" x14ac:dyDescent="0.25">
      <c r="A1" t="s">
        <v>8400</v>
      </c>
      <c r="B1" t="s">
        <v>8401</v>
      </c>
      <c r="E1" t="s">
        <v>8402</v>
      </c>
      <c r="F1" t="s">
        <v>8401</v>
      </c>
    </row>
    <row r="2" spans="1:17" x14ac:dyDescent="0.25">
      <c r="A2" t="s">
        <v>8219</v>
      </c>
      <c r="B2">
        <v>182</v>
      </c>
      <c r="E2" t="s">
        <v>8221</v>
      </c>
      <c r="F2">
        <v>0</v>
      </c>
      <c r="K2" s="11" t="s">
        <v>8403</v>
      </c>
      <c r="P2" s="11" t="s">
        <v>8410</v>
      </c>
    </row>
    <row r="3" spans="1:17" x14ac:dyDescent="0.25">
      <c r="A3" t="s">
        <v>8219</v>
      </c>
      <c r="B3">
        <v>79</v>
      </c>
      <c r="E3" t="s">
        <v>8221</v>
      </c>
      <c r="F3">
        <v>1</v>
      </c>
      <c r="K3" t="s">
        <v>8404</v>
      </c>
      <c r="L3" s="12">
        <f>AVERAGE(Backers_Successful)</f>
        <v>194.42517162471395</v>
      </c>
      <c r="P3" t="s">
        <v>8404</v>
      </c>
      <c r="Q3" s="12">
        <f>AVERAGE(Backers_failed)</f>
        <v>17.709803921568628</v>
      </c>
    </row>
    <row r="4" spans="1:17" x14ac:dyDescent="0.25">
      <c r="A4" t="s">
        <v>8219</v>
      </c>
      <c r="B4">
        <v>35</v>
      </c>
      <c r="E4" t="s">
        <v>8221</v>
      </c>
      <c r="F4">
        <v>10</v>
      </c>
      <c r="K4" t="s">
        <v>8405</v>
      </c>
      <c r="L4" s="7">
        <f>MEDIAN(Backers_Successful)</f>
        <v>62</v>
      </c>
      <c r="P4" t="s">
        <v>8405</v>
      </c>
      <c r="Q4">
        <f>MEDIAN(Backers_failed)</f>
        <v>4</v>
      </c>
    </row>
    <row r="5" spans="1:17" x14ac:dyDescent="0.25">
      <c r="A5" t="s">
        <v>8219</v>
      </c>
      <c r="B5">
        <v>150</v>
      </c>
      <c r="E5" t="s">
        <v>8221</v>
      </c>
      <c r="F5">
        <v>0</v>
      </c>
      <c r="K5" t="s">
        <v>8407</v>
      </c>
      <c r="L5" s="7">
        <f>MIN(Backers_Successful)</f>
        <v>1</v>
      </c>
      <c r="P5" t="s">
        <v>8407</v>
      </c>
      <c r="Q5">
        <f>MIN(Backers_failed)</f>
        <v>0</v>
      </c>
    </row>
    <row r="6" spans="1:17" x14ac:dyDescent="0.25">
      <c r="A6" t="s">
        <v>8219</v>
      </c>
      <c r="B6">
        <v>284</v>
      </c>
      <c r="E6" t="s">
        <v>8221</v>
      </c>
      <c r="F6">
        <v>7</v>
      </c>
      <c r="K6" t="s">
        <v>8406</v>
      </c>
      <c r="L6" s="7">
        <f>MAX(Backers_Successful)</f>
        <v>26457</v>
      </c>
      <c r="P6" t="s">
        <v>8406</v>
      </c>
      <c r="Q6">
        <f>MAX(Backers_failed)</f>
        <v>1293</v>
      </c>
    </row>
    <row r="7" spans="1:17" x14ac:dyDescent="0.25">
      <c r="A7" t="s">
        <v>8219</v>
      </c>
      <c r="B7">
        <v>47</v>
      </c>
      <c r="E7" t="s">
        <v>8221</v>
      </c>
      <c r="F7">
        <v>0</v>
      </c>
      <c r="K7" t="s">
        <v>8408</v>
      </c>
      <c r="L7" s="7">
        <f>_xlfn.VAR.P(Backers_Successful)</f>
        <v>712840.9867348104</v>
      </c>
      <c r="P7" t="s">
        <v>8408</v>
      </c>
      <c r="Q7" s="12">
        <f>_xlfn.VAR.P(Backers_failed)</f>
        <v>3773.2216685890044</v>
      </c>
    </row>
    <row r="8" spans="1:17" x14ac:dyDescent="0.25">
      <c r="A8" t="s">
        <v>8219</v>
      </c>
      <c r="B8">
        <v>58</v>
      </c>
      <c r="E8" t="s">
        <v>8221</v>
      </c>
      <c r="F8">
        <v>1</v>
      </c>
      <c r="K8" t="s">
        <v>8409</v>
      </c>
      <c r="L8" s="12">
        <f>_xlfn.STDEV.P(Backers_Successful)</f>
        <v>844.29910975602149</v>
      </c>
      <c r="P8" t="s">
        <v>8409</v>
      </c>
      <c r="Q8" s="12">
        <f>_xlfn.STDEV.P(Backers_failed)</f>
        <v>61.426555076684906</v>
      </c>
    </row>
    <row r="9" spans="1:17" x14ac:dyDescent="0.25">
      <c r="A9" t="s">
        <v>8219</v>
      </c>
      <c r="B9">
        <v>57</v>
      </c>
      <c r="E9" t="s">
        <v>8221</v>
      </c>
      <c r="F9">
        <v>2</v>
      </c>
      <c r="K9" t="s">
        <v>8412</v>
      </c>
      <c r="L9">
        <f>_xlfn.QUARTILE.EXC(Backers_Successful,1)</f>
        <v>29</v>
      </c>
      <c r="P9" t="s">
        <v>8412</v>
      </c>
      <c r="Q9">
        <f>_xlfn.QUARTILE.EXC(Backers_failed,1)</f>
        <v>1</v>
      </c>
    </row>
    <row r="10" spans="1:17" x14ac:dyDescent="0.25">
      <c r="A10" t="s">
        <v>8219</v>
      </c>
      <c r="B10">
        <v>12</v>
      </c>
      <c r="E10" t="s">
        <v>8221</v>
      </c>
      <c r="F10">
        <v>3</v>
      </c>
      <c r="K10" t="s">
        <v>8413</v>
      </c>
      <c r="L10">
        <f>_xlfn.QUARTILE.EXC(Backers_Successful,3)</f>
        <v>141</v>
      </c>
      <c r="P10" t="s">
        <v>8413</v>
      </c>
      <c r="Q10">
        <f>_xlfn.QUARTILE.EXC(Backers_failed,3)</f>
        <v>12</v>
      </c>
    </row>
    <row r="11" spans="1:17" x14ac:dyDescent="0.25">
      <c r="A11" t="s">
        <v>8219</v>
      </c>
      <c r="B11">
        <v>20</v>
      </c>
      <c r="E11" t="s">
        <v>8221</v>
      </c>
      <c r="F11">
        <v>10</v>
      </c>
      <c r="K11" t="s">
        <v>8411</v>
      </c>
      <c r="L11">
        <f>L10-L9</f>
        <v>112</v>
      </c>
      <c r="P11" t="s">
        <v>8411</v>
      </c>
      <c r="Q11">
        <f>Q10-Q9</f>
        <v>11</v>
      </c>
    </row>
    <row r="12" spans="1:17" x14ac:dyDescent="0.25">
      <c r="A12" t="s">
        <v>8219</v>
      </c>
      <c r="B12">
        <v>19</v>
      </c>
      <c r="E12" t="s">
        <v>8221</v>
      </c>
      <c r="F12">
        <v>10</v>
      </c>
      <c r="K12" t="s">
        <v>8414</v>
      </c>
      <c r="L12">
        <f>L9-(1.5*L11)</f>
        <v>-139</v>
      </c>
      <c r="P12" t="s">
        <v>8414</v>
      </c>
      <c r="Q12">
        <f>Q9-(1.5*Q11)</f>
        <v>-15.5</v>
      </c>
    </row>
    <row r="13" spans="1:17" x14ac:dyDescent="0.25">
      <c r="A13" t="s">
        <v>8219</v>
      </c>
      <c r="B13">
        <v>75</v>
      </c>
      <c r="E13" t="s">
        <v>8221</v>
      </c>
      <c r="F13">
        <v>1</v>
      </c>
      <c r="K13" t="s">
        <v>8415</v>
      </c>
      <c r="L13">
        <f>L10+(1.5*L11)</f>
        <v>309</v>
      </c>
      <c r="P13" t="s">
        <v>8415</v>
      </c>
      <c r="Q13">
        <f>Q10+(1.5*Q11)</f>
        <v>28.5</v>
      </c>
    </row>
    <row r="14" spans="1:17" x14ac:dyDescent="0.25">
      <c r="A14" t="s">
        <v>8219</v>
      </c>
      <c r="B14">
        <v>827</v>
      </c>
      <c r="E14" t="s">
        <v>8221</v>
      </c>
      <c r="F14">
        <v>0</v>
      </c>
    </row>
    <row r="15" spans="1:17" x14ac:dyDescent="0.25">
      <c r="A15" t="s">
        <v>8219</v>
      </c>
      <c r="B15">
        <v>51</v>
      </c>
      <c r="E15" t="s">
        <v>8221</v>
      </c>
      <c r="F15">
        <v>0</v>
      </c>
    </row>
    <row r="16" spans="1:17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E2:E1531">
    <cfRule type="containsText" dxfId="3" priority="1" operator="containsText" text="live">
      <formula>NOT(ISERROR(SEARCH("live",E2)))</formula>
    </cfRule>
    <cfRule type="containsText" dxfId="2" priority="2" operator="containsText" text="canceled">
      <formula>NOT(ISERROR(SEARCH("canceled",E2)))</formula>
    </cfRule>
    <cfRule type="containsText" dxfId="1" priority="3" operator="containsText" text="failed">
      <formula>NOT(ISERROR(SEARCH("failed",E2)))</formula>
    </cfRule>
    <cfRule type="containsText" dxfId="0" priority="4" operator="containsText" text="successful">
      <formula>NOT(ISERROR(SEARCH("successful",E2)))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Pivot_Category</vt:lpstr>
      <vt:lpstr>Pivot_Sub-Category</vt:lpstr>
      <vt:lpstr>Pivot_Date</vt:lpstr>
      <vt:lpstr>Sheet1</vt:lpstr>
      <vt:lpstr>Bonus</vt:lpstr>
      <vt:lpstr>Bonus Stat. Analysis</vt:lpstr>
      <vt:lpstr>backers_count</vt:lpstr>
      <vt:lpstr>Backers_failed</vt:lpstr>
      <vt:lpstr>Backers_Successful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</cp:lastModifiedBy>
  <dcterms:created xsi:type="dcterms:W3CDTF">2017-04-20T15:17:24Z</dcterms:created>
  <dcterms:modified xsi:type="dcterms:W3CDTF">2020-05-20T23:47:19Z</dcterms:modified>
</cp:coreProperties>
</file>