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man/Desktop/"/>
    </mc:Choice>
  </mc:AlternateContent>
  <xr:revisionPtr revIDLastSave="0" documentId="13_ncr:1_{FAE39AD1-2E2C-A649-B34D-F4313E8B0F19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Crowdfunding" sheetId="1" r:id="rId1"/>
    <sheet name="A-Category" sheetId="12" r:id="rId2"/>
    <sheet name="B-SubCategory" sheetId="13" r:id="rId3"/>
    <sheet name="C-DateConversion" sheetId="9" r:id="rId4"/>
    <sheet name="D-GoalAnalysis" sheetId="10" r:id="rId5"/>
    <sheet name="E-StatisticalAnalysis" sheetId="11" r:id="rId6"/>
  </sheets>
  <definedNames>
    <definedName name="_xlnm._FilterDatabase" localSheetId="0" hidden="1">Crowdfunding!$G$1:$G$1001</definedName>
  </definedNames>
  <calcPr calcId="191029"/>
  <pivotCaches>
    <pivotCache cacheId="12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4" i="10"/>
  <c r="F5" i="10"/>
  <c r="F6" i="10"/>
  <c r="F7" i="10"/>
  <c r="F8" i="10"/>
  <c r="F9" i="10"/>
  <c r="F10" i="10"/>
  <c r="F11" i="10"/>
  <c r="F12" i="10"/>
  <c r="F13" i="10"/>
  <c r="F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2" i="10"/>
  <c r="B3" i="10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2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J7" i="11"/>
  <c r="J6" i="11"/>
  <c r="J5" i="11"/>
  <c r="J4" i="11"/>
  <c r="J3" i="11"/>
  <c r="I6" i="11"/>
  <c r="I7" i="11"/>
  <c r="I5" i="11"/>
  <c r="I4" i="11"/>
  <c r="I3" i="11"/>
  <c r="J2" i="11"/>
  <c r="I2" i="11"/>
  <c r="S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<sst xmlns="http://schemas.openxmlformats.org/spreadsheetml/2006/main" count="7062" uniqueCount="2113">
  <si>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</si>
  <si>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</si>
  <si>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</si>
  <si>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</si>
  <si>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</si>
  <si>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</si>
  <si>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</si>
  <si>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</si>
  <si>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</si>
  <si>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</si>
  <si>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</si>
  <si>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</si>
  <si>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</si>
  <si>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</si>
  <si>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</si>
  <si>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</si>
  <si>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</si>
  <si>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</si>
  <si>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</si>
  <si>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</si>
  <si>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</si>
  <si>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</si>
  <si>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</si>
  <si>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</si>
  <si>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</si>
  <si>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</si>
  <si>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</si>
  <si>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</si>
  <si>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</si>
  <si>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</si>
  <si>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</si>
  <si>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</si>
  <si>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</si>
  <si>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</si>
  <si>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</si>
  <si>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</si>
  <si>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</si>
  <si>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</si>
  <si>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</si>
  <si>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</si>
  <si>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</si>
  <si>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</si>
  <si>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</si>
  <si>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</si>
  <si>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</si>
  <si>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</si>
  <si>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</si>
  <si>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</si>
  <si>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</si>
  <si>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</si>
  <si>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</si>
  <si>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</si>
  <si>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</si>
  <si>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</si>
  <si>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</si>
  <si>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</si>
  <si>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</si>
  <si>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</si>
  <si>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</si>
  <si>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</si>
  <si>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</si>
  <si>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</si>
  <si>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</si>
  <si>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</si>
  <si>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</si>
  <si>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</si>
  <si>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</si>
  <si>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</si>
  <si>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</si>
  <si>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</si>
  <si>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</si>
  <si>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</si>
  <si>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</si>
  <si>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</si>
  <si>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</si>
  <si>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</si>
  <si>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</si>
  <si>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</si>
  <si>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</si>
  <si>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</si>
  <si>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</si>
  <si>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</si>
  <si>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</si>
  <si>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</si>
  <si>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</si>
  <si>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</si>
  <si>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</si>
  <si>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</si>
  <si>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</si>
  <si>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</si>
  <si>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</si>
  <si>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</si>
  <si>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</si>
  <si>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</si>
  <si>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</si>
  <si>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</si>
  <si>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</si>
  <si>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</si>
  <si>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</si>
  <si>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</si>
  <si>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</si>
  <si>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</si>
  <si>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</si>
  <si>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</si>
  <si>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</si>
  <si>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</si>
  <si>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</si>
  <si>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</si>
  <si>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</si>
  <si>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</si>
  <si>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</si>
  <si>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</si>
  <si>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</si>
  <si>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</si>
  <si>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</si>
  <si>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</si>
  <si>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</si>
  <si>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</si>
  <si>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</si>
  <si>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</si>
  <si>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</si>
  <si>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</si>
  <si>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</si>
  <si>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</si>
  <si>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</si>
  <si>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</si>
  <si>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</si>
  <si>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</si>
  <si>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</si>
  <si>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</si>
  <si>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</si>
  <si>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</si>
  <si>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</si>
  <si>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</si>
  <si>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</si>
  <si>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</si>
  <si>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</si>
  <si>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</si>
  <si>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</si>
  <si>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</si>
  <si>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</si>
  <si>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</si>
  <si>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</si>
  <si>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</si>
  <si>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</si>
  <si>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</si>
  <si>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</si>
  <si>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</si>
  <si>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</si>
  <si>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</si>
  <si>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</si>
  <si>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</si>
  <si>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</si>
  <si>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</si>
  <si>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</si>
  <si>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</si>
  <si>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</si>
  <si>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</si>
  <si>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</si>
  <si>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</si>
  <si>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</si>
  <si>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</si>
  <si>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</si>
  <si>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</si>
  <si>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</si>
  <si>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</si>
  <si>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</si>
  <si>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</si>
  <si>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</si>
  <si>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</si>
  <si>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</si>
  <si>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</si>
  <si>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</si>
  <si>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</si>
  <si>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</si>
  <si>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</si>
  <si>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</si>
  <si>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</si>
  <si>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</si>
  <si>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</si>
  <si>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</si>
  <si>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</si>
  <si>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</si>
  <si>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</si>
  <si>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</si>
  <si>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</si>
  <si>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</si>
  <si>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</si>
  <si>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</si>
  <si>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</si>
  <si>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</si>
  <si>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</si>
  <si>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</si>
  <si>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</si>
  <si>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</si>
  <si>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</si>
  <si>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</si>
  <si>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</si>
  <si>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</si>
  <si>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</si>
  <si>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</si>
  <si>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</si>
  <si>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</si>
  <si>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</si>
  <si>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</si>
  <si>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</si>
  <si>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</si>
  <si>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</si>
  <si>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</si>
  <si>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</si>
  <si>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</si>
  <si>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</si>
  <si>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</si>
  <si>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</si>
  <si>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</si>
  <si>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</si>
  <si>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</si>
  <si>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</si>
  <si>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</si>
  <si>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</si>
  <si>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</si>
  <si>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</si>
  <si>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</si>
  <si>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</si>
  <si>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</si>
  <si>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</si>
  <si>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</si>
  <si>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</si>
  <si>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</si>
  <si>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</si>
  <si>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</si>
  <si>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</si>
  <si>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</si>
  <si>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</si>
  <si>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</si>
  <si>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</si>
  <si>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</si>
  <si>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</si>
  <si>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</si>
  <si>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</si>
  <si>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</si>
  <si>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</si>
  <si>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</si>
  <si>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</si>
  <si>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</si>
  <si>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</si>
  <si>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</si>
  <si>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</si>
  <si>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</si>
  <si>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</si>
  <si>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</si>
  <si>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</si>
  <si>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</si>
  <si>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</si>
  <si>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</si>
  <si>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</si>
  <si>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</si>
  <si>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</si>
  <si>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</si>
  <si>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</si>
  <si>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</si>
  <si>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</si>
  <si>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</si>
  <si>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</si>
  <si>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</si>
  <si>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</si>
  <si>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</si>
  <si>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</si>
  <si>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</si>
  <si>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</si>
  <si>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</si>
  <si>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</si>
  <si>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</si>
  <si>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</si>
  <si>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</si>
  <si>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</si>
  <si>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</si>
  <si>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</si>
  <si>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</si>
  <si>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</si>
  <si>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</si>
  <si>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</si>
  <si>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</si>
  <si>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</si>
  <si>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</si>
  <si>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</si>
  <si>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</si>
  <si>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</si>
  <si>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</si>
  <si>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</si>
  <si>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</si>
  <si>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</si>
  <si>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</si>
  <si>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</si>
  <si>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</si>
  <si>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</si>
  <si>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</si>
  <si>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</si>
  <si>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</si>
  <si>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</si>
  <si>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</si>
  <si>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</si>
  <si>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</si>
  <si>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</si>
  <si>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</si>
  <si>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</si>
  <si>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</si>
  <si>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</si>
  <si>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</si>
  <si>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</si>
  <si>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</si>
  <si>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</si>
  <si>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</si>
  <si>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</si>
  <si>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</si>
  <si>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</si>
  <si>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</si>
  <si>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</si>
  <si>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</si>
  <si>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</si>
  <si>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</si>
  <si>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</si>
  <si>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</si>
  <si>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</si>
  <si>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</si>
  <si>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</si>
  <si>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</si>
  <si>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</si>
  <si>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</si>
  <si>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</si>
  <si>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</si>
  <si>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</si>
  <si>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</si>
  <si>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</si>
  <si>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</si>
  <si>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</si>
  <si>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</si>
  <si>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</si>
  <si>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</si>
  <si>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</si>
  <si>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</si>
  <si>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</si>
  <si>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</si>
  <si>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</si>
  <si>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</si>
  <si>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</si>
  <si>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</si>
  <si>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</si>
  <si>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</si>
  <si>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</si>
  <si>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</si>
  <si>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</si>
  <si>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</si>
  <si>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</si>
  <si>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</si>
  <si>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</si>
  <si>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</si>
  <si>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</si>
  <si>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</si>
  <si>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</si>
  <si>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</si>
  <si>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</si>
  <si>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</si>
  <si>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</si>
  <si>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</si>
  <si>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</si>
  <si>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</si>
  <si>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</si>
  <si>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</si>
  <si>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</si>
  <si>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</si>
  <si>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</si>
  <si>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</si>
  <si>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</si>
  <si>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</si>
  <si>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</si>
  <si>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</si>
  <si>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</si>
  <si>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</si>
  <si>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</si>
  <si>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</si>
  <si>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</si>
  <si>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</si>
  <si>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</si>
  <si>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</si>
  <si>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</si>
  <si>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</si>
  <si>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</si>
  <si>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</si>
  <si>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</si>
  <si>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</si>
  <si>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</si>
  <si>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</si>
  <si>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</si>
  <si>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</si>
  <si>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</si>
  <si>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</si>
  <si>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</si>
  <si>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</si>
  <si>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</si>
  <si>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</si>
  <si>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</si>
  <si>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</si>
  <si>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</si>
  <si>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</si>
  <si>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</si>
  <si>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</si>
  <si>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</si>
  <si>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</si>
  <si>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</si>
  <si>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</si>
  <si>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</si>
  <si>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</si>
  <si>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</si>
  <si>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</si>
  <si>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</si>
  <si>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</si>
  <si>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</si>
  <si>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</si>
  <si>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</si>
  <si>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</si>
  <si>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</si>
  <si>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</si>
  <si>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</si>
  <si>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</si>
  <si>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</si>
  <si>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</si>
  <si>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</si>
  <si>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</si>
  <si>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</si>
  <si>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</si>
  <si>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</si>
  <si>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</si>
  <si>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</si>
  <si>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</si>
  <si>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</si>
  <si>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</si>
  <si>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</si>
  <si>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</si>
  <si>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</si>
  <si>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</si>
  <si>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</si>
  <si>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</si>
  <si>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</si>
  <si>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</si>
  <si>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</si>
  <si>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</si>
  <si>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</si>
  <si>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</si>
  <si>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</si>
  <si>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</si>
  <si>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</si>
  <si>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</si>
  <si>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</si>
  <si>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</si>
  <si>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</si>
  <si>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</si>
  <si>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</si>
  <si>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</si>
  <si>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</si>
  <si>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</si>
  <si>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</si>
  <si>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</si>
  <si>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</si>
  <si>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</si>
  <si>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</si>
  <si>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</si>
  <si>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</si>
  <si>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</si>
  <si>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</si>
  <si>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</si>
  <si>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</si>
  <si>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</si>
  <si>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</si>
  <si>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</si>
  <si>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</si>
  <si>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</si>
  <si>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</si>
  <si>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</si>
  <si>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</si>
  <si>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</si>
  <si>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</si>
  <si>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</si>
  <si>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</si>
  <si>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</si>
  <si>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</si>
  <si>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</si>
  <si>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</si>
  <si>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</si>
  <si>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</si>
  <si>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</si>
  <si>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</si>
  <si>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</si>
  <si>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</si>
  <si>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</si>
  <si>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</si>
  <si>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</si>
  <si>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</si>
  <si>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</si>
  <si>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</si>
  <si>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</si>
  <si>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</si>
  <si>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</si>
  <si>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</si>
  <si>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</si>
  <si>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</si>
  <si>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</si>
  <si>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</si>
  <si>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</si>
  <si>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</si>
  <si>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</si>
  <si>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</si>
  <si>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</si>
  <si>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</si>
  <si>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</si>
  <si>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</si>
  <si>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</si>
  <si>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</si>
  <si>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</si>
  <si>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</si>
  <si>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</si>
  <si>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</si>
  <si>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</si>
  <si>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</si>
  <si>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</si>
  <si>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</si>
  <si>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</si>
  <si>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</si>
  <si>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</si>
  <si>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</si>
  <si>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</si>
  <si>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</si>
  <si>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</si>
  <si>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</si>
  <si>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</si>
  <si>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</si>
  <si>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</si>
  <si>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</si>
  <si>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</si>
  <si>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</si>
  <si>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</si>
  <si>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</si>
  <si>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</si>
  <si>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</si>
  <si>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</si>
  <si>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</si>
  <si>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</si>
  <si>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</si>
  <si>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</si>
  <si>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</si>
  <si>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</si>
  <si>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</si>
  <si>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</si>
  <si>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</si>
  <si>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</si>
  <si>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</si>
  <si>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</si>
  <si>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</si>
  <si>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</si>
  <si>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</si>
  <si>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</si>
  <si>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</si>
  <si>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</si>
  <si>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</si>
  <si>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</si>
  <si>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</si>
  <si>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</si>
  <si>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</si>
  <si>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</si>
  <si>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</si>
  <si>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</si>
  <si>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</si>
  <si>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</si>
  <si>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</si>
  <si>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</si>
  <si>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</si>
  <si>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</si>
  <si>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</si>
  <si>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</si>
  <si>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</si>
  <si>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</si>
  <si>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</si>
  <si>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</si>
  <si>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</si>
  <si>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</si>
  <si>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</si>
  <si>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</si>
  <si>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</si>
  <si>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</si>
  <si>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</si>
  <si>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</si>
  <si>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</si>
  <si>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</si>
  <si>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</si>
  <si>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</si>
  <si>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</si>
  <si>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</si>
  <si>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</si>
  <si>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</si>
  <si>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</si>
  <si>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</si>
  <si>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</si>
  <si>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</si>
  <si>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</si>
  <si>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</si>
  <si>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</si>
  <si>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</si>
  <si>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</si>
  <si>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</si>
  <si>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</si>
  <si>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</si>
  <si>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</si>
  <si>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</si>
  <si>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</si>
  <si>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</si>
  <si>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</si>
  <si>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</si>
  <si>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</si>
  <si>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</si>
  <si>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</si>
  <si>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</si>
  <si>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</si>
  <si>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</si>
  <si>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</si>
  <si>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</si>
  <si>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</si>
  <si>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</si>
  <si>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</si>
  <si>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</si>
  <si>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</si>
  <si>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</si>
  <si>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</si>
  <si>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</si>
  <si>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</si>
  <si>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</si>
  <si>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</si>
  <si>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</si>
  <si>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</si>
  <si>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</si>
  <si>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</si>
  <si>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</si>
  <si>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</si>
  <si>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</si>
  <si>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</si>
  <si>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</si>
  <si>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</si>
  <si>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</si>
  <si>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</si>
  <si>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</si>
  <si>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</si>
  <si>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</si>
  <si>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</si>
  <si>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</si>
  <si>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</si>
  <si>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</si>
  <si>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</si>
  <si>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</si>
  <si>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</si>
  <si>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</si>
  <si>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</si>
  <si>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</si>
  <si>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</si>
  <si>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</si>
  <si>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</si>
  <si>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</si>
  <si>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</si>
  <si>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</si>
  <si>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</si>
  <si>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</si>
  <si>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</si>
  <si>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</si>
  <si>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</si>
  <si>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</si>
  <si>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</si>
  <si>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</si>
  <si>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</si>
  <si>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</si>
  <si>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</si>
  <si>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</si>
  <si>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</si>
  <si>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</si>
  <si>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</si>
  <si>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</si>
  <si>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</si>
  <si>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</si>
  <si>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</si>
  <si>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</si>
  <si>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</si>
  <si>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</si>
  <si>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</si>
  <si>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</si>
  <si>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</si>
  <si>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</si>
  <si>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</si>
  <si>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</si>
  <si>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</si>
  <si>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</si>
  <si>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</si>
  <si>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</si>
  <si>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</si>
  <si>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</si>
  <si>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</si>
  <si>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</si>
  <si>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</si>
  <si>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</si>
  <si>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</si>
  <si>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</si>
  <si>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</si>
  <si>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</si>
  <si>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</si>
  <si>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</si>
  <si>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</si>
  <si>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</si>
  <si>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</si>
  <si>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</si>
  <si>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</si>
  <si>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</si>
  <si>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</si>
  <si>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</si>
  <si>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</si>
  <si>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</si>
  <si>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</si>
  <si>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</si>
  <si>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</si>
  <si>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</si>
  <si>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</si>
  <si>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</si>
  <si>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</si>
  <si>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</si>
  <si>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</si>
  <si>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</si>
  <si>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</si>
  <si>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</si>
  <si>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</si>
  <si>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</si>
  <si>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</si>
  <si>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</si>
  <si>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</si>
  <si>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</si>
  <si>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</si>
  <si>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</si>
  <si>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</si>
  <si>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</si>
  <si>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</si>
  <si>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</si>
  <si>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</si>
  <si>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</si>
  <si>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</si>
  <si>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</si>
  <si>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</si>
  <si>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</si>
  <si>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</si>
  <si>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</si>
  <si>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</si>
  <si>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</si>
  <si>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</si>
  <si>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</si>
  <si>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</si>
  <si>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</si>
  <si>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</si>
  <si>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</si>
  <si>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</si>
  <si>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</si>
  <si>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</si>
  <si>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</si>
  <si>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</si>
  <si>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</si>
  <si>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</si>
  <si>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</si>
  <si>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</si>
  <si>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</si>
  <si>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</si>
  <si>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</si>
  <si>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</si>
  <si>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</si>
  <si>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</si>
  <si>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</si>
  <si>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</si>
  <si>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</si>
  <si>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</si>
  <si>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</si>
  <si>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</si>
  <si>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</si>
  <si>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</si>
  <si>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</si>
  <si>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</si>
  <si>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</si>
  <si>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</si>
  <si>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</si>
  <si>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</si>
  <si>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</si>
  <si>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</si>
  <si>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</si>
  <si>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</si>
  <si>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</si>
  <si>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</si>
  <si>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</si>
  <si>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</si>
  <si>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</si>
  <si>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</si>
  <si>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</si>
  <si>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</si>
  <si>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</si>
  <si>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</si>
  <si>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</si>
  <si>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</si>
  <si>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</si>
  <si>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</si>
  <si>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</si>
  <si>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</si>
  <si>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</si>
  <si>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</si>
  <si>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</si>
  <si>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</si>
  <si>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</si>
  <si>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</si>
  <si>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</si>
  <si>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</si>
  <si>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</si>
  <si>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</si>
  <si>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</si>
  <si>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</si>
  <si>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</si>
  <si>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</si>
  <si>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</si>
  <si>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</si>
  <si>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</si>
  <si>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</si>
  <si>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</si>
  <si>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</si>
  <si>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</si>
  <si>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</si>
  <si>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</si>
  <si>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</si>
  <si>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</si>
  <si>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</si>
  <si>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</si>
  <si>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</si>
  <si>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</si>
  <si>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</si>
  <si>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</si>
  <si>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</si>
  <si>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</si>
  <si>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</si>
  <si>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</si>
  <si>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</si>
  <si>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</si>
  <si>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</si>
  <si>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</si>
  <si>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</si>
  <si>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</si>
  <si>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</si>
  <si>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</si>
  <si>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</si>
  <si>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</si>
  <si>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</si>
  <si>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</si>
  <si>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</si>
  <si>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</si>
  <si>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</si>
  <si>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</si>
  <si>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</si>
  <si>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</si>
  <si>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</si>
  <si>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</si>
  <si>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</si>
  <si>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</si>
  <si>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</si>
  <si>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</si>
  <si>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</si>
  <si>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</si>
  <si>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</si>
  <si>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</si>
  <si>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</si>
  <si>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</si>
  <si>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</si>
  <si>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</si>
  <si>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</si>
  <si>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</si>
  <si>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</si>
  <si>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</si>
  <si>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</si>
  <si>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</si>
  <si>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</si>
  <si>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</si>
  <si>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</si>
  <si>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</si>
  <si>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</si>
  <si>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</si>
  <si>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</si>
  <si>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</si>
  <si>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</si>
  <si>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</si>
  <si>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</si>
  <si>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</si>
  <si>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</si>
  <si>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</si>
  <si>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</si>
  <si>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</si>
  <si>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</si>
  <si>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</si>
  <si>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</si>
  <si>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</si>
  <si>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</si>
  <si>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</si>
  <si>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</si>
  <si>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</si>
  <si>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</si>
  <si>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</si>
  <si>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</si>
  <si>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</si>
  <si>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</si>
  <si>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</si>
  <si>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</si>
  <si>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</si>
  <si>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</si>
  <si>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</si>
  <si>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</si>
  <si>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</si>
  <si>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</si>
  <si>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</si>
  <si>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</si>
  <si>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</si>
  <si>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</si>
  <si>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</si>
  <si>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</si>
  <si>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</si>
  <si>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</si>
  <si>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</si>
  <si>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</si>
  <si>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</si>
  <si>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</si>
  <si>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</si>
  <si>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</si>
  <si>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</si>
  <si>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</si>
  <si>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</si>
  <si>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</si>
  <si>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</si>
  <si>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</si>
  <si>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</si>
  <si>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</si>
  <si>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</si>
  <si>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</si>
  <si>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</si>
  <si>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</si>
  <si>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</si>
  <si>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</si>
  <si>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</si>
  <si>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</si>
  <si>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</si>
  <si>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</si>
  <si>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</si>
  <si>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</si>
  <si>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</si>
  <si>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</si>
  <si>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</si>
  <si>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</si>
  <si>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</si>
  <si>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</si>
  <si>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</si>
  <si>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</si>
  <si>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</si>
  <si>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</si>
  <si>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</si>
  <si>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</si>
  <si>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</si>
  <si>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</si>
  <si>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</si>
  <si>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</si>
  <si>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</si>
  <si>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</si>
  <si>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</si>
  <si>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</si>
  <si>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</si>
  <si>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</si>
  <si>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</si>
  <si>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</si>
  <si>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</si>
  <si>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</si>
  <si>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</si>
  <si>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</si>
  <si>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</si>
  <si>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</si>
  <si>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</si>
  <si>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</si>
  <si>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</si>
  <si>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</si>
  <si>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</si>
  <si>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</si>
  <si>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</si>
  <si>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</si>
  <si>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</si>
  <si>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</si>
  <si>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</si>
  <si>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</si>
  <si>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</si>
  <si>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</si>
  <si>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</si>
  <si>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</si>
  <si>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</si>
  <si>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</si>
  <si>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</si>
  <si>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</si>
  <si>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</si>
  <si>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</si>
  <si>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</si>
  <si>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</si>
  <si>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</si>
  <si>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</si>
  <si>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</si>
  <si>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</si>
  <si>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</si>
  <si>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</si>
  <si>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</si>
  <si>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</si>
  <si>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</si>
  <si>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</si>
  <si>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</si>
  <si>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</si>
  <si>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</si>
  <si>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</si>
  <si>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</si>
  <si>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</si>
  <si>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</si>
  <si>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</si>
  <si>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</si>
  <si>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</si>
  <si>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</si>
  <si>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</si>
  <si>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</si>
  <si>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</si>
  <si>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</si>
  <si>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</si>
  <si>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</si>
  <si>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</si>
  <si>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</si>
  <si>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</si>
  <si>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</si>
  <si>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</si>
  <si>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</si>
  <si>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</si>
  <si>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</si>
  <si>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</si>
  <si>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</si>
  <si>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</si>
  <si>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</si>
  <si>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</si>
  <si>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</si>
  <si>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</si>
  <si>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</si>
  <si>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</si>
  <si>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</si>
  <si>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</si>
  <si>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</si>
  <si>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</si>
  <si>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</si>
  <si>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</si>
  <si>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</si>
  <si>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</si>
  <si>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</si>
  <si>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</si>
  <si>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</si>
  <si>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</si>
  <si>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</si>
  <si>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</si>
  <si>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</si>
  <si>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</si>
  <si>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</si>
  <si>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</si>
  <si>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</si>
  <si>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</si>
  <si>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</si>
  <si>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</si>
  <si>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</si>
  <si>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</si>
  <si>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</si>
  <si>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</si>
  <si>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</si>
  <si>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</si>
  <si>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</si>
  <si>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</si>
  <si>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</si>
  <si>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</si>
  <si>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</si>
  <si>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</si>
  <si>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</si>
  <si>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</si>
  <si>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</si>
  <si>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</si>
  <si>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</si>
  <si>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</si>
  <si>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</si>
  <si>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</si>
  <si>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</si>
  <si>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</si>
  <si>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</si>
  <si>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</si>
  <si>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</si>
  <si>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</si>
  <si>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</si>
  <si>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</si>
  <si>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</si>
  <si>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</si>
  <si>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</si>
  <si>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</si>
  <si>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</si>
  <si>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</si>
  <si>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</si>
  <si>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</si>
  <si>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</si>
  <si>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</si>
  <si>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</si>
  <si>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</si>
  <si>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</si>
  <si>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</si>
  <si>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</si>
  <si>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</si>
  <si>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</si>
  <si>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</si>
  <si>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</si>
  <si>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</si>
  <si>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</si>
  <si>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</si>
  <si>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</si>
  <si>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</si>
  <si>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</si>
  <si>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</si>
  <si>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</si>
  <si>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</si>
  <si>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</si>
  <si>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</si>
  <si>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</si>
  <si>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</si>
  <si>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</si>
  <si>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</si>
  <si>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</si>
  <si>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</si>
  <si>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</si>
  <si>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</si>
  <si>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</si>
  <si>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</si>
  <si>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</si>
  <si>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</si>
  <si>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</si>
  <si>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</si>
  <si>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</si>
  <si>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</si>
  <si>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</si>
  <si>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</si>
  <si>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</si>
  <si>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</si>
  <si>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</si>
  <si>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</si>
  <si>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</si>
  <si>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</si>
  <si>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</si>
  <si>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</si>
  <si>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</si>
  <si>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</si>
  <si>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</si>
  <si>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</si>
  <si>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</si>
  <si>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</si>
  <si>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</si>
  <si>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</si>
  <si>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</si>
  <si>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</si>
  <si>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</si>
  <si>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</si>
  <si>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</si>
  <si>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</si>
  <si>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</si>
  <si>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</si>
  <si>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</si>
  <si>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</si>
  <si>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</si>
  <si>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</si>
  <si>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</si>
  <si>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</si>
  <si>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</si>
  <si>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</si>
  <si>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</si>
  <si>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</si>
  <si>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</si>
  <si>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</si>
  <si>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</si>
  <si>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</si>
  <si>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</si>
  <si>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</si>
  <si>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</si>
  <si>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</si>
  <si>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</si>
  <si>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</si>
  <si>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</si>
  <si>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</si>
  <si>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</si>
  <si>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</si>
  <si>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</si>
  <si>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</si>
  <si>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</si>
  <si>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</si>
  <si>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</si>
  <si>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</si>
  <si>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</si>
  <si>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</si>
  <si>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</si>
  <si>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</si>
  <si>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</si>
  <si>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</si>
  <si>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</si>
  <si>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</si>
  <si>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</si>
  <si>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</si>
  <si>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</si>
  <si>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</si>
  <si>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</si>
  <si>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</si>
  <si>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</si>
  <si>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</si>
  <si>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</si>
  <si>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</si>
  <si>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</si>
  <si>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</si>
  <si>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</si>
  <si>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</si>
  <si>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</si>
  <si>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</si>
  <si>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</si>
  <si>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</si>
  <si>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</si>
  <si>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</si>
  <si>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</si>
  <si>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</si>
  <si>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</si>
  <si>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</si>
  <si>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</si>
  <si>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</si>
  <si>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</si>
  <si>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</si>
  <si>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</si>
  <si>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</si>
  <si>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</si>
  <si>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</si>
  <si>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</si>
  <si>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</si>
  <si>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</si>
  <si>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</si>
  <si>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</si>
  <si>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</si>
  <si>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</si>
  <si>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</si>
  <si>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</si>
  <si>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</si>
  <si>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</si>
  <si>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</si>
  <si>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</si>
  <si>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</si>
  <si>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</si>
  <si>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</si>
  <si>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</si>
  <si>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</si>
  <si>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</si>
  <si>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</si>
  <si>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</si>
  <si>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</si>
  <si>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</si>
  <si>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</si>
  <si>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</si>
  <si>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</si>
  <si>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</si>
  <si>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</si>
  <si>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</si>
  <si>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</si>
  <si>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</si>
  <si>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</si>
  <si>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</si>
  <si>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</si>
  <si>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</si>
  <si>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</si>
  <si>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</si>
  <si>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</si>
  <si>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</si>
  <si>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</si>
  <si>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</si>
  <si>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</si>
  <si>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</si>
  <si>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</si>
  <si>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</si>
  <si>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</si>
  <si>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</si>
  <si>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</si>
  <si>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</si>
  <si>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</si>
  <si>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</si>
  <si>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</si>
  <si>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</si>
  <si>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</si>
  <si>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</si>
  <si>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</si>
  <si>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</si>
  <si>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</si>
  <si>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</si>
  <si>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</si>
  <si>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</si>
  <si>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</si>
  <si>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</si>
  <si>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</si>
  <si>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</si>
  <si>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</si>
  <si>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</si>
  <si>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</si>
  <si>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</si>
  <si>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</si>
  <si>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</si>
  <si>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</si>
  <si>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</si>
  <si>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</si>
  <si>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</si>
  <si>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</si>
  <si>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</si>
  <si>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</si>
  <si>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</si>
  <si>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</si>
  <si>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</si>
  <si>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</si>
  <si>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</si>
  <si>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</si>
  <si>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</si>
  <si>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</si>
  <si>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</si>
  <si>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</si>
  <si>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</si>
  <si>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</si>
  <si>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</si>
  <si>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</si>
  <si>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</si>
  <si>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</si>
  <si>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</si>
  <si>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</si>
  <si>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</si>
  <si>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</si>
  <si>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</si>
  <si>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</si>
  <si>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</si>
  <si>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</si>
  <si>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</si>
  <si>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</si>
  <si>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</si>
  <si>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</si>
  <si>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</si>
  <si>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</si>
  <si>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</si>
  <si>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</si>
  <si>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</si>
  <si>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</si>
  <si>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</si>
  <si>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</si>
  <si>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</si>
  <si>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</si>
  <si>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</si>
  <si>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</si>
  <si>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</si>
  <si>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</si>
  <si>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</si>
  <si>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</si>
  <si>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</si>
  <si>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</si>
  <si>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</si>
  <si>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</si>
  <si>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</si>
  <si>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</si>
  <si>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</si>
  <si>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</si>
  <si>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</si>
  <si>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</si>
  <si>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</si>
  <si>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</si>
  <si>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</si>
  <si>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</si>
  <si>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</si>
  <si>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</si>
  <si>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</si>
  <si>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</si>
  <si>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</si>
  <si>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</si>
  <si>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</si>
  <si>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</si>
  <si>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</si>
  <si>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</si>
  <si>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</si>
  <si>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</si>
  <si>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</si>
  <si>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</si>
  <si>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</si>
  <si>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</si>
  <si>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</si>
  <si>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</si>
  <si>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</si>
  <si>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</si>
  <si>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</si>
  <si>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</si>
  <si>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</si>
  <si>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</si>
  <si>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</si>
  <si>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</si>
  <si>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</si>
  <si>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</si>
  <si>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</si>
  <si>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</si>
  <si>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</si>
  <si>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</si>
  <si>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</si>
  <si>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</si>
  <si>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</si>
  <si>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</si>
  <si>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</si>
  <si>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</si>
  <si>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</si>
  <si>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</si>
  <si>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</si>
  <si>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</si>
  <si>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</si>
  <si>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</si>
  <si>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</si>
  <si>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</si>
  <si>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</si>
  <si>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</si>
  <si>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</si>
  <si>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</si>
  <si>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</si>
  <si>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</si>
  <si>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</si>
  <si>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</si>
  <si>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</si>
  <si>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</si>
  <si>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</si>
  <si>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</si>
  <si>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</si>
  <si>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</si>
  <si>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</si>
  <si>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</si>
  <si>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</si>
  <si>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</si>
  <si>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</si>
  <si>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</si>
  <si>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</si>
  <si>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</si>
  <si>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</si>
  <si>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</si>
  <si>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</si>
  <si>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</si>
  <si>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</si>
  <si>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</si>
  <si>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</si>
  <si>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</si>
  <si>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</si>
  <si>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</si>
  <si>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</si>
  <si>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</si>
  <si>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</si>
  <si>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</si>
  <si>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</si>
  <si>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</si>
  <si>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</si>
  <si>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</si>
  <si>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</si>
  <si>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</si>
  <si>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</si>
  <si>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</si>
  <si>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</si>
  <si>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</si>
  <si>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</si>
  <si>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</si>
  <si>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</si>
  <si>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</si>
  <si>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</si>
  <si>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</si>
  <si>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</si>
  <si>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</si>
  <si>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</si>
  <si>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</si>
  <si>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</si>
  <si>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</si>
  <si>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</si>
  <si>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</si>
  <si>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</si>
  <si>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</si>
  <si>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</si>
  <si>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</si>
  <si>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</si>
  <si>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</si>
  <si>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</si>
  <si>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</si>
  <si>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</si>
  <si>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</si>
  <si>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</si>
  <si>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</si>
  <si>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</si>
  <si>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</si>
  <si>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</si>
  <si>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</si>
  <si>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</si>
  <si>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</si>
  <si>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</si>
  <si>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</si>
  <si>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</si>
  <si>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</si>
  <si>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</si>
  <si>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</si>
  <si>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</si>
  <si>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</si>
  <si>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</si>
  <si>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</si>
  <si>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</si>
  <si>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</si>
  <si>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</si>
  <si>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</si>
  <si>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</si>
  <si>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</si>
  <si>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</si>
  <si>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</si>
  <si>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</si>
  <si>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</si>
  <si>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</si>
  <si>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</si>
  <si>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</si>
  <si>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</si>
  <si>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</si>
  <si>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</si>
  <si>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</si>
  <si>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</si>
  <si>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</si>
  <si>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</si>
  <si>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</si>
  <si>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</si>
  <si>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</si>
  <si>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</si>
  <si>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</si>
  <si>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</si>
  <si>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</si>
  <si>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</si>
  <si>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</si>
  <si>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</si>
  <si>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</si>
  <si>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</si>
  <si>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</si>
  <si>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</si>
  <si>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</si>
  <si>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</si>
  <si>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</si>
  <si>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</si>
  <si>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</si>
  <si>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</si>
  <si>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</si>
  <si>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</si>
  <si>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</si>
  <si>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</si>
  <si>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</si>
  <si>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</si>
  <si>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</si>
  <si>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</si>
  <si>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</si>
  <si>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</si>
  <si>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</si>
  <si>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</si>
  <si>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</si>
  <si>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</si>
  <si>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</si>
  <si>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</si>
  <si>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</si>
  <si>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</si>
  <si>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</si>
  <si>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</si>
  <si>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</si>
  <si>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</si>
  <si>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</si>
  <si>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</si>
  <si>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</si>
  <si>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</si>
  <si>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</si>
  <si>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</si>
  <si>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</si>
  <si>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</si>
  <si>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</si>
  <si>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</si>
  <si>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</si>
  <si>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</si>
  <si>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</si>
  <si>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</si>
  <si>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</si>
  <si>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</si>
  <si>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</si>
  <si>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</si>
  <si>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</si>
  <si>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</si>
  <si>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</si>
  <si>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</si>
  <si>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</si>
  <si>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</si>
  <si>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</si>
  <si>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</si>
  <si>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</si>
  <si>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</si>
  <si>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</si>
  <si>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</si>
  <si>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</si>
  <si>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</si>
  <si>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</si>
  <si>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</si>
  <si>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</si>
  <si>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</si>
  <si>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</si>
  <si>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</si>
  <si>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</si>
  <si>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</si>
  <si>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</si>
  <si>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</si>
  <si>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</si>
  <si>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</si>
  <si>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</si>
  <si>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</si>
  <si>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</si>
  <si>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</si>
  <si>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</si>
  <si>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</si>
  <si>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</si>
  <si>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</si>
  <si>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</si>
  <si>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</si>
  <si>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</si>
  <si>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</si>
  <si>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</si>
  <si>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</si>
  <si>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</si>
  <si>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</si>
  <si>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</si>
  <si>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</si>
  <si>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</si>
  <si>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</si>
  <si>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</si>
  <si>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</si>
  <si>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</si>
  <si>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</si>
  <si>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</si>
  <si>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</si>
  <si>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</si>
  <si>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</si>
  <si>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</si>
  <si>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</si>
  <si>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</si>
  <si>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</si>
  <si>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</si>
  <si>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</si>
  <si>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</si>
  <si>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</si>
  <si>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</si>
  <si>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</si>
  <si>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</si>
  <si>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</si>
  <si>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</si>
  <si>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</si>
  <si>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</si>
  <si>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</si>
  <si>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</si>
  <si>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</si>
  <si>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</si>
  <si>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</si>
  <si>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</si>
  <si>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</si>
  <si>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</si>
  <si>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</si>
  <si>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</si>
  <si>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</si>
  <si>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</si>
  <si>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</si>
  <si>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</si>
  <si>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</si>
  <si>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</si>
  <si>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</si>
  <si>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</si>
  <si>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</si>
  <si>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</si>
  <si>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</si>
  <si>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</si>
  <si>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</si>
  <si>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</si>
  <si>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</si>
  <si>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</si>
  <si>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</si>
  <si>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</si>
  <si>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</si>
  <si>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</si>
  <si>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</si>
  <si>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</si>
  <si>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</si>
  <si>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</si>
  <si>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</si>
  <si>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</si>
  <si>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</si>
  <si>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</si>
  <si>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</si>
  <si>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</si>
  <si>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</si>
  <si>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</si>
  <si>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</si>
  <si>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</si>
  <si>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</si>
  <si>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</si>
  <si>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</si>
  <si>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</si>
  <si>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</si>
  <si>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</si>
  <si>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</si>
  <si>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</si>
  <si>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</si>
  <si>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</si>
  <si>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</si>
  <si>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</si>
  <si>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</si>
  <si>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</si>
  <si>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</si>
  <si>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</si>
  <si>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</si>
  <si>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</si>
  <si>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</si>
  <si>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</si>
  <si>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</si>
  <si>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</si>
  <si>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</si>
  <si>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</si>
  <si>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</si>
  <si>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</si>
  <si>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</si>
  <si>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</si>
  <si>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</si>
  <si>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</si>
  <si>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</si>
  <si>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</si>
  <si>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</si>
  <si>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</si>
  <si>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</si>
  <si>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</si>
  <si>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</si>
  <si>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</si>
  <si>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</si>
  <si>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</si>
  <si>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</si>
  <si>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</si>
  <si>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</si>
  <si>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</si>
  <si>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</si>
  <si>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</si>
  <si>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</si>
  <si>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</si>
  <si>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</si>
  <si>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</si>
  <si>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</si>
  <si>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</si>
  <si>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</si>
  <si>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</si>
  <si>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</si>
  <si>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</si>
  <si>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</si>
  <si>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</si>
  <si>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</si>
  <si>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</si>
  <si>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</si>
  <si>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</si>
  <si>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</si>
  <si>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</si>
  <si>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</si>
  <si>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</si>
  <si>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</si>
  <si>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</si>
  <si>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</si>
  <si>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</si>
  <si>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</si>
  <si>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</si>
  <si>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</si>
  <si>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</si>
  <si>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</si>
  <si>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</si>
  <si>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</si>
  <si>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</si>
  <si>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</si>
  <si>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</si>
  <si>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</si>
  <si>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</si>
  <si>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</si>
  <si>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</si>
  <si>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</si>
  <si>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</si>
  <si>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</si>
  <si>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</si>
  <si>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</si>
  <si>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</si>
  <si>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</si>
  <si>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</si>
  <si>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</si>
  <si>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</si>
  <si>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</si>
  <si>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</si>
  <si>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</si>
  <si>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</si>
  <si>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</si>
  <si>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</si>
  <si>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</si>
  <si>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</si>
  <si>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</si>
  <si>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</si>
  <si>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</si>
  <si>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</si>
  <si>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</si>
  <si>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</si>
  <si>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</si>
  <si>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</si>
  <si>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</si>
  <si>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</si>
  <si>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</si>
  <si>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</si>
  <si>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</si>
  <si>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</si>
  <si>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</si>
  <si>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</si>
  <si>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</si>
  <si>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</si>
  <si>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</si>
  <si>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</si>
  <si>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</si>
  <si>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</si>
  <si>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</si>
  <si>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</si>
  <si>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</si>
  <si>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</si>
  <si>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</si>
  <si>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</si>
  <si>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</si>
  <si>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</si>
  <si>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</si>
  <si>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</si>
  <si>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</si>
  <si>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</si>
  <si>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</si>
  <si>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</si>
  <si>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</si>
  <si>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</si>
  <si>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</si>
  <si>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</si>
  <si>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</si>
  <si>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</si>
  <si>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</si>
  <si>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</si>
  <si>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</si>
  <si>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</si>
  <si>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</si>
  <si>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</si>
  <si>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</si>
  <si>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</si>
  <si>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</si>
  <si>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</si>
  <si>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</si>
  <si>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</si>
  <si>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</si>
  <si>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</si>
  <si>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</si>
  <si>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</si>
  <si>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</si>
  <si>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</si>
  <si>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</si>
  <si>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</si>
  <si>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</si>
  <si>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</si>
  <si>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</si>
  <si>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</si>
  <si>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</si>
  <si>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</si>
  <si>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</si>
  <si>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</si>
  <si>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</si>
  <si>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</si>
  <si>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</si>
  <si>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</si>
  <si>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</si>
  <si>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</si>
  <si>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</si>
  <si>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</si>
  <si>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</si>
  <si>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</si>
  <si>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</si>
  <si>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</si>
  <si>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</si>
  <si>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</si>
  <si>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</si>
  <si>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</si>
  <si>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</si>
  <si>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</si>
  <si>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</si>
  <si>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</si>
  <si>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</si>
  <si>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</si>
  <si>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</si>
  <si>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</si>
  <si>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</si>
  <si>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</si>
  <si>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</si>
  <si>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</si>
  <si>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</si>
  <si>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</si>
  <si>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</si>
  <si>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</si>
  <si>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</si>
  <si>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</si>
  <si>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</si>
  <si>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</si>
  <si>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</si>
  <si>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</si>
  <si>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</si>
  <si>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</si>
  <si>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</si>
  <si>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</si>
  <si>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</si>
  <si>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</si>
  <si>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</si>
  <si>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</si>
  <si>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</si>
  <si>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</si>
  <si>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</si>
  <si>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</si>
  <si>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</si>
  <si>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</si>
  <si>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</si>
  <si>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</si>
  <si>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</si>
  <si>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</si>
  <si>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</si>
  <si>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</si>
  <si>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</si>
  <si>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</si>
  <si>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</si>
  <si>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</si>
  <si>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</si>
  <si>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</si>
  <si>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</si>
  <si>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</si>
  <si>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</si>
  <si>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</si>
  <si>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</si>
  <si>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</si>
  <si>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</si>
  <si>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</si>
  <si>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</si>
  <si>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</si>
  <si>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</si>
  <si>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</si>
  <si>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</si>
  <si>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</si>
  <si>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</si>
  <si>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</si>
  <si>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</si>
  <si>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</si>
  <si>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</si>
  <si>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</si>
  <si>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</si>
  <si>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</si>
  <si>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</si>
  <si>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</si>
  <si>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</si>
  <si>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</si>
  <si>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</si>
  <si>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</si>
  <si>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</si>
  <si>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</si>
  <si>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</si>
  <si>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</si>
  <si>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</si>
  <si>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</si>
  <si>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</si>
  <si>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</si>
  <si>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</si>
  <si>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</si>
  <si>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</si>
  <si>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</si>
  <si>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</si>
  <si>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</si>
  <si>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</si>
  <si>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</si>
  <si>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</si>
  <si>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</si>
  <si>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</si>
  <si>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</si>
  <si>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</si>
  <si>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</si>
  <si>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</si>
  <si>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</si>
  <si>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</si>
  <si>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</si>
  <si>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</si>
  <si>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</si>
  <si>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</si>
  <si>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</si>
  <si>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</si>
  <si>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</si>
  <si>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</si>
  <si>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</si>
  <si>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</si>
  <si>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</si>
  <si>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</si>
  <si>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</si>
  <si>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</si>
  <si>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</si>
  <si>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</si>
  <si>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</si>
  <si>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</si>
  <si>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</si>
  <si>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</si>
  <si>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</si>
  <si>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</si>
  <si>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</si>
  <si>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</si>
  <si>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</si>
  <si>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</si>
  <si>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</si>
  <si>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</si>
  <si>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</si>
  <si>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</si>
  <si>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</si>
  <si>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</si>
  <si>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</si>
  <si>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</si>
  <si>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</si>
  <si>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</si>
  <si>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</si>
  <si>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</si>
  <si>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</si>
  <si>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</si>
  <si>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</si>
  <si>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</si>
  <si>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</si>
  <si>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</si>
  <si>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</si>
  <si>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</si>
  <si>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</si>
  <si>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</si>
  <si>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</si>
  <si>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</si>
  <si>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</si>
  <si>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</si>
  <si>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</si>
  <si>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</si>
  <si>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</si>
  <si>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</si>
  <si>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</si>
  <si>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</si>
  <si>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</si>
  <si>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</si>
  <si>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</si>
  <si>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</si>
  <si>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</si>
  <si>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</si>
  <si>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</si>
  <si>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</si>
  <si>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</si>
  <si>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</si>
  <si>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</si>
  <si>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</si>
  <si>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</si>
  <si>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</si>
  <si>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</si>
  <si>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</si>
  <si>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</si>
  <si>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</si>
  <si>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</si>
  <si>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</si>
  <si>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</si>
  <si>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</si>
  <si>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</si>
  <si>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</si>
  <si>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</si>
  <si>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</si>
  <si>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</si>
  <si>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</si>
  <si>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</si>
  <si>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</si>
  <si>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</si>
  <si>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</si>
  <si>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</si>
  <si>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</si>
  <si>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</si>
  <si>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Canceled 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</si>
  <si>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</si>
  <si>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</si>
  <si>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</si>
  <si>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</si>
  <si>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</si>
  <si>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</si>
  <si>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</si>
  <si>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</si>
  <si>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</si>
  <si>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</si>
  <si>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</si>
  <si>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</si>
  <si>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</si>
  <si>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</si>
  <si>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</si>
  <si>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</si>
  <si>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successful </t>
  </si>
  <si>
    <t>mean</t>
  </si>
  <si>
    <t>median</t>
  </si>
  <si>
    <t>minimum</t>
  </si>
  <si>
    <t>maximum</t>
  </si>
  <si>
    <t>variance</t>
  </si>
  <si>
    <t>standard deviation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</si>
</sst>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9" fontId="0" fillId="0" borderId="0" xfId="0" applyNumberFormat="1"/>
    <xf numFmtId="9" fontId="0" fillId="0" borderId="0" xfId="42" applyFont="1"/>
    <xf numFmtId="0" fontId="20" fillId="0" borderId="0" xfId="0" applyFont="1"/>
    <xf numFmtId="0" fontId="16" fillId="0" borderId="0" xfId="0" applyFont="1"/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AE4D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[CrowdfundingBook_AK.xlsx]A-Category!PivotTable5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0-1A46-9FA8-AEE9D45E1FAD}"/>
            </c:ext>
          </c:extLst>
        </c:ser>
        <c:ser>
          <c:idx val="1"/>
          <c:order val="1"/>
          <c:tx>
            <c:strRef>
              <c:f>'A-Category'!$C$3:$C$4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0-1A46-9FA8-AEE9D45E1FAD}"/>
            </c:ext>
          </c:extLst>
        </c:ser>
        <c:ser>
          <c:idx val="2"/>
          <c:order val="2"/>
          <c:tx>
            <c:strRef>
              <c:f>'A-Category'!$D$3:$D$4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0-1A46-9FA8-AEE9D45E1FAD}"/>
            </c:ext>
          </c:extLst>
        </c:ser>
        <c:ser>
          <c:idx val="3"/>
          <c:order val="3"/>
          <c:tx>
            <c:strRef>
              <c:f>'A-Category'!$E$3:$E$4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0-1A46-9FA8-AEE9D45E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240176"/>
        <c:axId val="1939231840"/>
      </c:barChart>
      <c:catAx>
        <c:axId val="19352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31840"/>
        <c:crosses val="autoZero"/>
        <c:auto val="1"/>
        <c:lblAlgn val="ctr"/>
        <c:lblOffset val="100"/>
        <c:noMultiLvlLbl val="0"/>
      </c:catAx>
      <c:valAx>
        <c:axId val="19392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[CrowdfundingBook_AK.xlsx]B-SubCategory!PivotTable6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'B-SubCategory'!$B$6:$B$30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0-AF4F-AA1E-74C32A503947}"/>
            </c:ext>
          </c:extLst>
        </c:ser>
        <c:ser>
          <c:idx val="1"/>
          <c:order val="1"/>
          <c:tx>
            <c:strRef>
              <c:f>'B-SubCategory'!$C$4:$C$5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'B-SubCategory'!$C$6:$C$30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0-AF4F-AA1E-74C32A503947}"/>
            </c:ext>
          </c:extLst>
        </c:ser>
        <c:ser>
          <c:idx val="2"/>
          <c:order val="2"/>
          <c:tx>
            <c:strRef>
              <c:f>'B-SubCategory'!$D$4:$D$5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'B-SubCategory'!$D$6:$D$30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0-AF4F-AA1E-74C32A503947}"/>
            </c:ext>
          </c:extLst>
        </c:ser>
        <c:ser>
          <c:idx val="3"/>
          <c:order val="3"/>
          <c:tx>
            <c:strRef>
              <c:f>'B-SubCategory'!$E$4:$E$5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'B-SubCategory'!$E$6:$E$30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0-AF4F-AA1E-74C32A50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819024"/>
        <c:axId val="1939966608"/>
      </c:barChart>
      <c:catAx>
        <c:axId val="19408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966608"/>
        <c:crosses val="autoZero"/>
        <c:auto val="1"/>
        <c:lblAlgn val="ctr"/>
        <c:lblOffset val="100"/>
        <c:noMultiLvlLbl val="0"/>
      </c:catAx>
      <c:valAx>
        <c:axId val="19399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[CrowdfundingBook_AK.xlsx]C-DateConversion!PivotTable4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'C-DateConversion'!$B$4:$B$5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'C-DateConversion'!$A$6:$A$18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'C-DateConversion'!$B$6:$B$18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C-8B47-B48D-27D7E990143F}"/>
            </c:ext>
          </c:extLst>
        </c:ser>
        <c:ser>
          <c:idx val="1"/>
          <c:order val="1"/>
          <c:tx>
            <c:strRef>
              <c:f>'C-DateConversion'!$C$4:$C$5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'C-DateConversion'!$A$6:$A$18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'C-DateConversion'!$C$6:$C$18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AC-8B47-B48D-27D7E990143F}"/>
            </c:ext>
          </c:extLst>
        </c:ser>
        <c:ser>
          <c:idx val="2"/>
          <c:order val="2"/>
          <c:tx>
            <c:strRef>
              <c:f>'C-DateConversion'!$D$4:$D$5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'C-DateConversion'!$A$6:$A$18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'C-DateConversion'!$D$6:$D$18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AC-8B47-B48D-27D7E990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04463"/>
        <c:axId val="333706735"/>
      </c:lineChart>
      <c:catAx>
        <c:axId val="3337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6735"/>
        <c:crosses val="autoZero"/>
        <c:auto val="1"/>
        <c:lblAlgn val="ctr"/>
        <c:lblOffset val="100"/>
        <c:noMultiLvlLbl val="0"/>
      </c:catAx>
      <c:valAx>
        <c:axId val="3337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'D-GoalAnalysis'!$F$1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'D-GoalAnalysis'!$A$2:$A$13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'D-GoalAnalysis'!$F$2:$F$13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1-F845-A7A7-95F001D2707F}"/>
            </c:ext>
          </c:extLst>
        </c:ser>
        <c:ser>
          <c:idx val="1"/>
          <c:order val="1"/>
          <c:tx>
            <c:strRef>
              <c:f>'D-GoalAnalysis'!$G$1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'D-GoalAnalysis'!$A$2:$A$13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'D-GoalAnalysis'!$G$2:$G$13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1-F845-A7A7-95F001D2707F}"/>
            </c:ext>
          </c:extLst>
        </c:ser>
        <c:ser>
          <c:idx val="2"/>
          <c:order val="2"/>
          <c:tx>
            <c:strRef>
              <c:f>'D-GoalAnalysis'!$H$1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'D-GoalAnalysis'!$A$2:$A$13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'D-GoalAnalysis'!$H$2:$H$13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1-F845-A7A7-95F001D27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857552"/>
        <c:axId val="2115951072"/>
      </c:lineChart>
      <c:catAx>
        <c:axId val="21158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51072"/>
        <c:crosses val="autoZero"/>
        <c:auto val="1"/>
        <c:lblAlgn val="ctr"/>
        <c:lblOffset val="100"/>
        <c:noMultiLvlLbl val="0"/>
      </c:catAx>
      <c:valAx>
        <c:axId val="21159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114300</xdr:rowOff>
    </xdr:from>
    <xdr:to>
      <xdr:col>17</xdr:col>
      <xdr:colOff>152400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1DEB3-2F58-DFE2-4527-EE6A9CDBF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29B87-3F9C-3D5A-D36D-FD6F618B1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44450</xdr:rowOff>
    </xdr:from>
    <xdr:to>
      <xdr:col>22</xdr:col>
      <xdr:colOff>495300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9CC9C-19F3-0E93-1E27-90AB0455C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14</xdr:row>
      <xdr:rowOff>0</xdr:rowOff>
    </xdr:from>
    <xdr:to>
      <xdr:col>8</xdr:col>
      <xdr:colOff>50800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3F203-36F8-A87E-3F3B-0878F963F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" refreshedDate="45255.771982407408" createdVersion="8" refreshedVersion="8" minRefreshableVersion="3" recordCount="1000" xr:uid="{961EFF9E-D2C6-2646-8A22-2BB86747F9EF}">
  <cacheSource type="worksheet">
    <worksheetSource ref="A1:R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" refreshedDate="45256.564780439818" createdVersion="8" refreshedVersion="8" minRefreshableVersion="3" recordCount="1000" xr:uid="{68BCD422-9406-DD48-B1B2-2B219A532300}">
  <cacheSource type="worksheet">
    <worksheetSource ref="B1:T1001" sheet="Crowdfunding"/>
  </cacheSource>
  <cacheFields count="19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s v="0"/>
    <x v="0"/>
    <s v="CAD"/>
    <n v="1448690400"/>
    <n v="1450159200"/>
    <d v="2015-11-28T06:00:00"/>
    <d v="2015-12-15T06:00:00"/>
    <b v="0"/>
    <b v="0"/>
    <s v="food/food trucks"/>
    <x v="0"/>
    <x v="0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s v="Valdez Ltd"/>
    <s v="Team-oriented clear-thinking matrix"/>
    <n v="100"/>
    <n v="0"/>
    <n v="0"/>
    <x v="0"/>
    <n v="0"/>
    <s v="0"/>
    <x v="1"/>
    <s v="USD"/>
    <n v="1367384400"/>
    <n v="1369803600"/>
    <d v="2013-05-01T05:00:00"/>
    <d v="2013-05-29T05:00:00"/>
    <b v="0"/>
    <b v="1"/>
    <s v="theater/plays"/>
    <x v="3"/>
    <x v="3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099E8-AA22-0646-97FF-19AC01B7414D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A452F-9344-8849-864B-7CA63FB6AB80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0431A-B523-854B-AA54-184B9FAFF1B2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B2" sqref="B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9" max="9" width="15.83203125" customWidth="1"/>
    <col min="12" max="13" width="11.1640625" bestFit="1" customWidth="1"/>
    <col min="14" max="14" width="22.1640625" customWidth="1"/>
    <col min="15" max="15" width="22" customWidth="1"/>
    <col min="18" max="18" width="28" bestFit="1" customWidth="1"/>
    <col min="19" max="19" width="14.1640625" customWidth="1"/>
    <col min="20" max="20" width="16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ref="N4:N67" si="5">(((L4/60)/60)/24)+DATE(1970,1,1)</f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5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5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5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5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5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5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5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5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5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5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5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5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5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5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5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5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5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5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5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5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5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5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5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5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5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5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5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5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5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5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5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5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5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5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5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5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5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5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5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5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5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5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5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5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5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5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5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5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5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5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5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5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5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5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5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5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5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5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5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5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5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5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 s="5">
        <f t="shared" ref="I67:I130" si="7">IFERROR(E67/H67,"0")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5"/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ref="N68:N131" si="11">(((L68/60)/60)/24)+DATE(1970,1,1)</f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11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11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11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11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11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11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11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11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11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11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11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11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11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11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11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11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11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11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11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11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11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11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11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11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11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11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11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11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11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11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11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11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11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11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11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11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11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11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11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11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11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11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11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11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11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11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11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11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11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11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11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11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11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11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11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11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11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11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11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11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11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11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IFERROR(E131/H131,"0")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11"/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ref="N132:N195" si="17">(((L132/60)/60)/24)+DATE(1970,1,1)</f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7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7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7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7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7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7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7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7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7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7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7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7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7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7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7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7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7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7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7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7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7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7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7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7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7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7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7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7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7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7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7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7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7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7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7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7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7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7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7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7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7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7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7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7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7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7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7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7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7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7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7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7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7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7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7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7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7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7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7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7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7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7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IFERROR(E195/H195,"0")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7"/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ref="N196:N259" si="23">(((L196/60)/60)/24)+DATE(1970,1,1)</f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3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3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3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3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3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3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3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3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3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3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3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3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3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3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3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3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3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3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3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3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3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3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3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3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3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3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3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3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3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3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3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3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3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3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3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3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3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3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3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3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3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3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3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3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3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3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3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3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3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3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3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3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3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3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3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3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3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3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3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3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3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3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 s="5">
        <f t="shared" ref="I259:I322" si="25">IFERROR(E259/H259,"0")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23"/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ref="N260:N323" si="29">(((L260/60)/60)/24)+DATE(1970,1,1)</f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9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9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9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9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9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9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9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9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9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9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9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9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9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9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9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9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9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9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9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9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9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9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9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9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9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9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9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9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9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9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9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9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9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9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9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9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9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9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9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9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9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9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9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9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9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9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9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9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9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9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9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9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9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9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9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9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9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9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9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9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9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9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IFERROR(E323/H323,"0")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29"/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ref="N324:N387" si="35">(((L324/60)/60)/24)+DATE(1970,1,1)</f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5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5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5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5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5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5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5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5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5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5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5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5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5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5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5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5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5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5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5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5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5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5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5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5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5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5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5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5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5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5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5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5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5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5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5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5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5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5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5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5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5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5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5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5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5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5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5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5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5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5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5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5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5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5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5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5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5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5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5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5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5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5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IFERROR(E387/H387,"0")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35"/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ref="N388:N451" si="41">(((L388/60)/60)/24)+DATE(1970,1,1)</f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41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41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41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41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41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41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41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41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41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41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41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41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41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41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41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41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41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41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41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41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41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41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41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41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41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41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41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41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41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41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41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41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41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41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41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41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41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41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41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41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41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41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41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41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41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41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41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41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41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41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41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41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41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41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41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41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41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41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41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41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41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41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 s="5">
        <f t="shared" ref="I451:I514" si="43">IFERROR(E451/H451,"0")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41"/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ref="N452:N515" si="47">(((L452/60)/60)/24)+DATE(1970,1,1)</f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7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7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7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7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7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7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7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7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7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7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7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7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7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7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7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7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7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7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7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7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7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7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7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7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7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7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7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7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7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7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7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7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7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7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7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7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7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7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7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7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7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7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7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7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7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7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7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7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7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7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7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7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7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7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7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7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7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7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7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7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7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7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IFERROR(E515/H515,"0")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47"/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ref="N516:N579" si="53">(((L516/60)/60)/24)+DATE(1970,1,1)</f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3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3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3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3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3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3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3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3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3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3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3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3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3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3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3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3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3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3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3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3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3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3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3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3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3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3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3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3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3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3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3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3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3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3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3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3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3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3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3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3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3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3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3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3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3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3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3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3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3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3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3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3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3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3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3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3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3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3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3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3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3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3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IFERROR(E579/H579,"0")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53"/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ref="N580:N643" si="59">(((L580/60)/60)/24)+DATE(1970,1,1)</f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9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9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9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9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9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9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9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9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9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9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9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9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9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9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9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9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9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9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9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9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9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9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9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9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9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9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9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9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9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9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9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9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9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9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9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9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9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9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9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9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9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9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9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9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9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9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9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9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9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9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9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9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9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9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9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9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9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9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9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9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9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9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IFERROR(E643/H643,"0")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59"/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ref="N644:N707" si="65">(((L644/60)/60)/24)+DATE(1970,1,1)</f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5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5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5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5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5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5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5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5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5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5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5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5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5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5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5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5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5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5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5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5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5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5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5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5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5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5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5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5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5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5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5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5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5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5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5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5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5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5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5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5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5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5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5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5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5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5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5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5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5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5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5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5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5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5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5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5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5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5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5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5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5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5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IFERROR(E707/H707,"0")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65"/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ref="N708:N771" si="71">(((L708/60)/60)/24)+DATE(1970,1,1)</f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71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71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71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71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71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71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71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71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71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71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71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71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71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71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71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71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71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71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71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71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71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71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71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71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71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71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71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71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71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71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71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71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71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71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71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71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71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71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71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71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71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71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71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71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71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71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71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71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71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71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71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71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71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71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71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71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71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71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71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71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71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71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IFERROR(E771/H771,"0")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71"/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ref="N772:N835" si="77">(((L772/60)/60)/24)+DATE(1970,1,1)</f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7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7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7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7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7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7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7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7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7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7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7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7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7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7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7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7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7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7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7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7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7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7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7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7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7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7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7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7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7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7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7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7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7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7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7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7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7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7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7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7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7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7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7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7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7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7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7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7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7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7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7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7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7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7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7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7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7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7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7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7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7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7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IFERROR(E835/H835,"0")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77"/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ref="N836:N899" si="83">(((L836/60)/60)/24)+DATE(1970,1,1)</f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3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3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3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3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3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3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3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3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3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3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3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3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3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3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3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3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3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3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3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3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3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3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3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3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3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3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3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3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3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3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3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3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3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3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3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3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3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3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3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3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3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3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3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3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3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3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3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3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3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3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3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3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3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3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3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3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3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3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3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3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3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3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IFERROR(E899/H899,"0")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83"/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ref="N900:N963" si="89">(((L900/60)/60)/24)+DATE(1970,1,1)</f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9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9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9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9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9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9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9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9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9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9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9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9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9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9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9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9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9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9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9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9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9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9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9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9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9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9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9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9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9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9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9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9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9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9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9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9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9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9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9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9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9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9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9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9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9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9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9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9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9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9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9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9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9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9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9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9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9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9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9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9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9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9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IFERROR(E963/H963,"0")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89"/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ref="N964:N1001" si="95">(((L964/60)/60)/24)+DATE(1970,1,1)</f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5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5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5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5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5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5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5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5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5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5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5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5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5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5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5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5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5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5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5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5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5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5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5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5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5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5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5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5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5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5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5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5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5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5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5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5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5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conditionalFormatting sqref="G1:G1048576">
    <cfRule type="containsText" dxfId="11" priority="5" operator="containsText" text="live">
      <formula>NOT(ISERROR(SEARCH("live",G1)))</formula>
    </cfRule>
    <cfRule type="containsText" dxfId="10" priority="6" operator="containsText" text="canceled">
      <formula>NOT(ISERROR(SEARCH("canceled",G1)))</formula>
    </cfRule>
    <cfRule type="containsText" dxfId="9" priority="7" operator="containsText" text="successful">
      <formula>NOT(ISERROR(SEARCH("successful",G1)))</formula>
    </cfRule>
    <cfRule type="containsText" dxfId="8" priority="8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DAFB-9D25-1941-84C7-7402D0744461}">
  <dimension ref="A1:F14"/>
  <sheetViews>
    <sheetView workbookViewId="0">
      <selection activeCell="I37" sqref="I3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2069</v>
      </c>
    </row>
    <row r="3" spans="1:6" x14ac:dyDescent="0.2">
      <c r="A3" s="6" t="s">
        <v>2068</v>
      </c>
      <c r="B3" s="6" t="s">
        <v>2070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9490-73FB-F347-857A-10F0CE504FD0}">
  <dimension ref="A1:F30"/>
  <sheetViews>
    <sheetView workbookViewId="0">
      <selection activeCell="M39" sqref="M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2031</v>
      </c>
      <c r="B2" t="s">
        <v>2069</v>
      </c>
    </row>
    <row r="4" spans="1:6" x14ac:dyDescent="0.2">
      <c r="A4" s="6" t="s">
        <v>2068</v>
      </c>
      <c r="B4" s="6" t="s">
        <v>2070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7167-B5A3-DD4C-8D10-6DCF254C0D4C}">
  <sheetPr codeName="Sheet5"/>
  <dimension ref="A1:E18"/>
  <sheetViews>
    <sheetView workbookViewId="0">
      <selection activeCell="M31" sqref="M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12" width="5.1640625" bestFit="1" customWidth="1"/>
    <col min="13" max="13" width="10.83203125" bestFit="1" customWidth="1"/>
    <col min="14" max="14" width="7" bestFit="1" customWidth="1"/>
    <col min="15" max="15" width="4.5" bestFit="1" customWidth="1"/>
    <col min="16" max="16" width="4.33203125" bestFit="1" customWidth="1"/>
    <col min="17" max="17" width="9.5" bestFit="1" customWidth="1"/>
    <col min="18" max="18" width="9.83203125" bestFit="1" customWidth="1"/>
    <col min="19" max="19" width="7.33203125" bestFit="1" customWidth="1"/>
    <col min="20" max="20" width="4.1640625" bestFit="1" customWidth="1"/>
    <col min="21" max="21" width="4.5" bestFit="1" customWidth="1"/>
    <col min="22" max="22" width="9.5" bestFit="1" customWidth="1"/>
    <col min="23" max="23" width="7" bestFit="1" customWidth="1"/>
    <col min="24" max="24" width="4.83203125" bestFit="1" customWidth="1"/>
    <col min="25" max="25" width="3.83203125" bestFit="1" customWidth="1"/>
    <col min="26" max="26" width="9.5" bestFit="1" customWidth="1"/>
    <col min="27" max="27" width="7" bestFit="1" customWidth="1"/>
    <col min="28" max="28" width="4.33203125" bestFit="1" customWidth="1"/>
    <col min="29" max="29" width="4.1640625" bestFit="1" customWidth="1"/>
    <col min="30" max="30" width="9.5" bestFit="1" customWidth="1"/>
    <col min="31" max="31" width="7" bestFit="1" customWidth="1"/>
    <col min="32" max="32" width="4.5" bestFit="1" customWidth="1"/>
    <col min="33" max="33" width="4.33203125" bestFit="1" customWidth="1"/>
    <col min="34" max="34" width="9.5" bestFit="1" customWidth="1"/>
    <col min="35" max="35" width="9.83203125" bestFit="1" customWidth="1"/>
    <col min="36" max="36" width="7.33203125" bestFit="1" customWidth="1"/>
    <col min="37" max="37" width="4.1640625" bestFit="1" customWidth="1"/>
    <col min="38" max="38" width="4.5" bestFit="1" customWidth="1"/>
    <col min="39" max="39" width="9.5" bestFit="1" customWidth="1"/>
    <col min="40" max="40" width="7" bestFit="1" customWidth="1"/>
    <col min="41" max="41" width="4.83203125" bestFit="1" customWidth="1"/>
    <col min="42" max="42" width="3.83203125" bestFit="1" customWidth="1"/>
    <col min="43" max="43" width="9.5" bestFit="1" customWidth="1"/>
    <col min="44" max="44" width="7" bestFit="1" customWidth="1"/>
    <col min="45" max="45" width="4.33203125" bestFit="1" customWidth="1"/>
    <col min="46" max="46" width="4.1640625" bestFit="1" customWidth="1"/>
    <col min="47" max="47" width="9.5" bestFit="1" customWidth="1"/>
    <col min="48" max="48" width="7" bestFit="1" customWidth="1"/>
    <col min="49" max="49" width="4.5" bestFit="1" customWidth="1"/>
    <col min="50" max="50" width="4.33203125" bestFit="1" customWidth="1"/>
    <col min="51" max="51" width="9.5" bestFit="1" customWidth="1"/>
    <col min="52" max="52" width="9.83203125" bestFit="1" customWidth="1"/>
    <col min="53" max="53" width="7.33203125" bestFit="1" customWidth="1"/>
    <col min="54" max="54" width="4.1640625" bestFit="1" customWidth="1"/>
    <col min="55" max="55" width="4.5" bestFit="1" customWidth="1"/>
    <col min="56" max="56" width="9.5" bestFit="1" customWidth="1"/>
    <col min="57" max="57" width="7" bestFit="1" customWidth="1"/>
    <col min="58" max="58" width="4.83203125" bestFit="1" customWidth="1"/>
    <col min="59" max="59" width="3.83203125" bestFit="1" customWidth="1"/>
    <col min="60" max="60" width="9.5" bestFit="1" customWidth="1"/>
    <col min="61" max="61" width="7" bestFit="1" customWidth="1"/>
    <col min="62" max="62" width="4.33203125" bestFit="1" customWidth="1"/>
    <col min="63" max="63" width="4.1640625" bestFit="1" customWidth="1"/>
    <col min="64" max="64" width="9.5" bestFit="1" customWidth="1"/>
    <col min="65" max="65" width="7" bestFit="1" customWidth="1"/>
    <col min="66" max="66" width="4.5" bestFit="1" customWidth="1"/>
    <col min="67" max="67" width="4.33203125" bestFit="1" customWidth="1"/>
    <col min="68" max="68" width="9.5" bestFit="1" customWidth="1"/>
    <col min="69" max="69" width="9.83203125" bestFit="1" customWidth="1"/>
    <col min="70" max="70" width="7.33203125" bestFit="1" customWidth="1"/>
    <col min="71" max="71" width="4.1640625" bestFit="1" customWidth="1"/>
    <col min="72" max="72" width="4.5" bestFit="1" customWidth="1"/>
    <col min="73" max="73" width="9.5" bestFit="1" customWidth="1"/>
    <col min="74" max="74" width="7" bestFit="1" customWidth="1"/>
    <col min="75" max="75" width="4.83203125" bestFit="1" customWidth="1"/>
    <col min="76" max="76" width="3.83203125" bestFit="1" customWidth="1"/>
    <col min="77" max="77" width="9.5" bestFit="1" customWidth="1"/>
    <col min="78" max="78" width="7" bestFit="1" customWidth="1"/>
    <col min="79" max="79" width="4.33203125" bestFit="1" customWidth="1"/>
    <col min="80" max="80" width="4.1640625" bestFit="1" customWidth="1"/>
    <col min="81" max="81" width="9.5" bestFit="1" customWidth="1"/>
    <col min="82" max="82" width="7" bestFit="1" customWidth="1"/>
    <col min="83" max="83" width="4.5" bestFit="1" customWidth="1"/>
    <col min="84" max="84" width="4.33203125" bestFit="1" customWidth="1"/>
    <col min="85" max="85" width="9.5" bestFit="1" customWidth="1"/>
    <col min="86" max="86" width="9.83203125" bestFit="1" customWidth="1"/>
    <col min="87" max="87" width="7.33203125" bestFit="1" customWidth="1"/>
    <col min="88" max="88" width="4.1640625" bestFit="1" customWidth="1"/>
    <col min="89" max="89" width="4.5" bestFit="1" customWidth="1"/>
    <col min="90" max="90" width="9.5" bestFit="1" customWidth="1"/>
    <col min="91" max="91" width="7" bestFit="1" customWidth="1"/>
    <col min="92" max="92" width="4.83203125" bestFit="1" customWidth="1"/>
    <col min="93" max="93" width="3.83203125" bestFit="1" customWidth="1"/>
    <col min="94" max="94" width="9.5" bestFit="1" customWidth="1"/>
    <col min="95" max="95" width="7" bestFit="1" customWidth="1"/>
    <col min="96" max="96" width="4.33203125" bestFit="1" customWidth="1"/>
    <col min="97" max="97" width="4.1640625" bestFit="1" customWidth="1"/>
    <col min="98" max="98" width="9.5" bestFit="1" customWidth="1"/>
    <col min="99" max="99" width="7" bestFit="1" customWidth="1"/>
    <col min="100" max="100" width="4.5" bestFit="1" customWidth="1"/>
    <col min="101" max="101" width="4.33203125" bestFit="1" customWidth="1"/>
    <col min="102" max="102" width="9.5" bestFit="1" customWidth="1"/>
    <col min="103" max="103" width="9.83203125" bestFit="1" customWidth="1"/>
    <col min="104" max="104" width="7.33203125" bestFit="1" customWidth="1"/>
    <col min="105" max="105" width="4.1640625" bestFit="1" customWidth="1"/>
    <col min="106" max="106" width="4.5" bestFit="1" customWidth="1"/>
    <col min="107" max="107" width="9.5" bestFit="1" customWidth="1"/>
    <col min="108" max="108" width="7" bestFit="1" customWidth="1"/>
    <col min="109" max="109" width="4.83203125" bestFit="1" customWidth="1"/>
    <col min="110" max="110" width="3.83203125" bestFit="1" customWidth="1"/>
    <col min="111" max="111" width="9.5" bestFit="1" customWidth="1"/>
    <col min="112" max="112" width="7" bestFit="1" customWidth="1"/>
    <col min="113" max="113" width="4.33203125" bestFit="1" customWidth="1"/>
    <col min="114" max="114" width="4.1640625" bestFit="1" customWidth="1"/>
    <col min="115" max="115" width="9.5" bestFit="1" customWidth="1"/>
    <col min="116" max="116" width="7" bestFit="1" customWidth="1"/>
    <col min="117" max="117" width="4.5" bestFit="1" customWidth="1"/>
    <col min="118" max="118" width="4.33203125" bestFit="1" customWidth="1"/>
    <col min="119" max="119" width="9.5" bestFit="1" customWidth="1"/>
    <col min="120" max="120" width="9.83203125" bestFit="1" customWidth="1"/>
    <col min="121" max="121" width="7.33203125" bestFit="1" customWidth="1"/>
    <col min="122" max="122" width="4.1640625" bestFit="1" customWidth="1"/>
    <col min="123" max="123" width="4.5" bestFit="1" customWidth="1"/>
    <col min="124" max="124" width="9.5" bestFit="1" customWidth="1"/>
    <col min="125" max="125" width="7" bestFit="1" customWidth="1"/>
    <col min="126" max="126" width="4.83203125" bestFit="1" customWidth="1"/>
    <col min="127" max="127" width="3.83203125" bestFit="1" customWidth="1"/>
    <col min="128" max="128" width="9.5" bestFit="1" customWidth="1"/>
    <col min="129" max="129" width="7" bestFit="1" customWidth="1"/>
    <col min="130" max="130" width="4.33203125" bestFit="1" customWidth="1"/>
    <col min="131" max="131" width="4.1640625" bestFit="1" customWidth="1"/>
    <col min="132" max="132" width="9.5" bestFit="1" customWidth="1"/>
    <col min="133" max="133" width="7" bestFit="1" customWidth="1"/>
    <col min="134" max="134" width="4.5" bestFit="1" customWidth="1"/>
    <col min="135" max="135" width="4.33203125" bestFit="1" customWidth="1"/>
    <col min="136" max="136" width="9.5" bestFit="1" customWidth="1"/>
    <col min="137" max="137" width="9.83203125" bestFit="1" customWidth="1"/>
    <col min="138" max="138" width="7.33203125" bestFit="1" customWidth="1"/>
    <col min="139" max="139" width="4.1640625" bestFit="1" customWidth="1"/>
    <col min="140" max="140" width="4.5" bestFit="1" customWidth="1"/>
    <col min="141" max="141" width="9.5" bestFit="1" customWidth="1"/>
    <col min="142" max="142" width="7" bestFit="1" customWidth="1"/>
    <col min="143" max="143" width="4.83203125" bestFit="1" customWidth="1"/>
    <col min="144" max="144" width="3.83203125" bestFit="1" customWidth="1"/>
    <col min="145" max="145" width="9.5" bestFit="1" customWidth="1"/>
    <col min="146" max="146" width="7" bestFit="1" customWidth="1"/>
    <col min="147" max="147" width="4.33203125" bestFit="1" customWidth="1"/>
    <col min="148" max="148" width="4.1640625" bestFit="1" customWidth="1"/>
    <col min="149" max="149" width="9.5" bestFit="1" customWidth="1"/>
    <col min="150" max="150" width="7" bestFit="1" customWidth="1"/>
    <col min="151" max="151" width="4.5" bestFit="1" customWidth="1"/>
    <col min="152" max="152" width="4.33203125" bestFit="1" customWidth="1"/>
    <col min="153" max="153" width="9.5" bestFit="1" customWidth="1"/>
    <col min="154" max="154" width="9.83203125" bestFit="1" customWidth="1"/>
    <col min="155" max="155" width="7.33203125" bestFit="1" customWidth="1"/>
    <col min="156" max="156" width="4.1640625" bestFit="1" customWidth="1"/>
    <col min="157" max="157" width="4.5" bestFit="1" customWidth="1"/>
    <col min="158" max="158" width="9.5" bestFit="1" customWidth="1"/>
    <col min="159" max="159" width="7" bestFit="1" customWidth="1"/>
    <col min="160" max="160" width="4.83203125" bestFit="1" customWidth="1"/>
    <col min="161" max="161" width="3.83203125" bestFit="1" customWidth="1"/>
    <col min="162" max="162" width="9.5" bestFit="1" customWidth="1"/>
    <col min="163" max="163" width="7" bestFit="1" customWidth="1"/>
    <col min="164" max="164" width="4.33203125" bestFit="1" customWidth="1"/>
    <col min="165" max="165" width="4.1640625" bestFit="1" customWidth="1"/>
    <col min="166" max="166" width="9.5" bestFit="1" customWidth="1"/>
    <col min="167" max="167" width="7" bestFit="1" customWidth="1"/>
    <col min="168" max="168" width="4.5" bestFit="1" customWidth="1"/>
    <col min="169" max="169" width="4.33203125" bestFit="1" customWidth="1"/>
    <col min="170" max="170" width="9.5" bestFit="1" customWidth="1"/>
    <col min="171" max="171" width="9.83203125" bestFit="1" customWidth="1"/>
    <col min="172" max="172" width="7.33203125" bestFit="1" customWidth="1"/>
    <col min="173" max="173" width="9.5" bestFit="1" customWidth="1"/>
    <col min="174" max="174" width="9.83203125" bestFit="1" customWidth="1"/>
    <col min="175" max="175" width="10.83203125" bestFit="1" customWidth="1"/>
    <col min="176" max="181" width="8.83203125" bestFit="1" customWidth="1"/>
    <col min="182" max="184" width="7.83203125" bestFit="1" customWidth="1"/>
    <col min="185" max="190" width="8.83203125" bestFit="1" customWidth="1"/>
    <col min="191" max="192" width="6.83203125" bestFit="1" customWidth="1"/>
    <col min="193" max="196" width="7.83203125" bestFit="1" customWidth="1"/>
    <col min="197" max="198" width="6.83203125" bestFit="1" customWidth="1"/>
    <col min="199" max="204" width="7.83203125" bestFit="1" customWidth="1"/>
    <col min="205" max="206" width="6.83203125" bestFit="1" customWidth="1"/>
    <col min="207" max="213" width="7.83203125" bestFit="1" customWidth="1"/>
    <col min="214" max="215" width="6.83203125" bestFit="1" customWidth="1"/>
    <col min="216" max="220" width="7.83203125" bestFit="1" customWidth="1"/>
    <col min="221" max="225" width="6.83203125" bestFit="1" customWidth="1"/>
    <col min="226" max="227" width="7.83203125" bestFit="1" customWidth="1"/>
    <col min="228" max="228" width="6.83203125" bestFit="1" customWidth="1"/>
    <col min="229" max="232" width="7.83203125" bestFit="1" customWidth="1"/>
    <col min="233" max="233" width="6.83203125" bestFit="1" customWidth="1"/>
    <col min="234" max="237" width="7.83203125" bestFit="1" customWidth="1"/>
    <col min="238" max="238" width="6.83203125" bestFit="1" customWidth="1"/>
    <col min="239" max="242" width="7.83203125" bestFit="1" customWidth="1"/>
    <col min="243" max="244" width="6.83203125" bestFit="1" customWidth="1"/>
    <col min="245" max="249" width="7.83203125" bestFit="1" customWidth="1"/>
    <col min="250" max="257" width="8.83203125" bestFit="1" customWidth="1"/>
    <col min="258" max="260" width="7.83203125" bestFit="1" customWidth="1"/>
    <col min="261" max="262" width="8.83203125" bestFit="1" customWidth="1"/>
    <col min="263" max="264" width="6.83203125" bestFit="1" customWidth="1"/>
    <col min="265" max="265" width="7.83203125" bestFit="1" customWidth="1"/>
    <col min="266" max="268" width="6.83203125" bestFit="1" customWidth="1"/>
    <col min="269" max="272" width="7.83203125" bestFit="1" customWidth="1"/>
    <col min="273" max="277" width="6.83203125" bestFit="1" customWidth="1"/>
    <col min="278" max="281" width="7.83203125" bestFit="1" customWidth="1"/>
    <col min="282" max="284" width="6.83203125" bestFit="1" customWidth="1"/>
    <col min="285" max="285" width="7.83203125" bestFit="1" customWidth="1"/>
    <col min="286" max="287" width="6.83203125" bestFit="1" customWidth="1"/>
    <col min="288" max="293" width="7.83203125" bestFit="1" customWidth="1"/>
    <col min="294" max="294" width="6.83203125" bestFit="1" customWidth="1"/>
    <col min="295" max="299" width="7.83203125" bestFit="1" customWidth="1"/>
    <col min="300" max="300" width="6.83203125" bestFit="1" customWidth="1"/>
    <col min="301" max="308" width="7.83203125" bestFit="1" customWidth="1"/>
    <col min="309" max="311" width="6.83203125" bestFit="1" customWidth="1"/>
    <col min="312" max="315" width="7.83203125" bestFit="1" customWidth="1"/>
    <col min="316" max="316" width="6.83203125" bestFit="1" customWidth="1"/>
    <col min="317" max="323" width="7.83203125" bestFit="1" customWidth="1"/>
    <col min="324" max="335" width="8.83203125" bestFit="1" customWidth="1"/>
    <col min="336" max="336" width="7.83203125" bestFit="1" customWidth="1"/>
    <col min="337" max="341" width="8.83203125" bestFit="1" customWidth="1"/>
    <col min="342" max="343" width="6.83203125" bestFit="1" customWidth="1"/>
    <col min="344" max="361" width="7.83203125" bestFit="1" customWidth="1"/>
    <col min="362" max="363" width="6.83203125" bestFit="1" customWidth="1"/>
    <col min="364" max="367" width="7.83203125" bestFit="1" customWidth="1"/>
    <col min="368" max="370" width="6.83203125" bestFit="1" customWidth="1"/>
    <col min="371" max="376" width="7.83203125" bestFit="1" customWidth="1"/>
    <col min="377" max="380" width="6.83203125" bestFit="1" customWidth="1"/>
    <col min="381" max="385" width="7.83203125" bestFit="1" customWidth="1"/>
    <col min="386" max="388" width="6.83203125" bestFit="1" customWidth="1"/>
    <col min="389" max="395" width="7.83203125" bestFit="1" customWidth="1"/>
    <col min="396" max="397" width="6.83203125" bestFit="1" customWidth="1"/>
    <col min="398" max="399" width="7.83203125" bestFit="1" customWidth="1"/>
    <col min="400" max="400" width="6.83203125" bestFit="1" customWidth="1"/>
    <col min="401" max="411" width="7.83203125" bestFit="1" customWidth="1"/>
    <col min="412" max="415" width="8.83203125" bestFit="1" customWidth="1"/>
    <col min="416" max="418" width="7.83203125" bestFit="1" customWidth="1"/>
    <col min="419" max="422" width="8.83203125" bestFit="1" customWidth="1"/>
    <col min="423" max="423" width="7.83203125" bestFit="1" customWidth="1"/>
    <col min="424" max="431" width="8.83203125" bestFit="1" customWidth="1"/>
    <col min="432" max="434" width="6.83203125" bestFit="1" customWidth="1"/>
    <col min="435" max="440" width="7.83203125" bestFit="1" customWidth="1"/>
    <col min="441" max="442" width="6.83203125" bestFit="1" customWidth="1"/>
    <col min="443" max="449" width="7.83203125" bestFit="1" customWidth="1"/>
    <col min="450" max="450" width="6.83203125" bestFit="1" customWidth="1"/>
    <col min="451" max="451" width="7.83203125" bestFit="1" customWidth="1"/>
    <col min="452" max="452" width="6.83203125" bestFit="1" customWidth="1"/>
    <col min="453" max="458" width="7.83203125" bestFit="1" customWidth="1"/>
    <col min="459" max="459" width="6.83203125" bestFit="1" customWidth="1"/>
    <col min="460" max="464" width="7.83203125" bestFit="1" customWidth="1"/>
    <col min="465" max="467" width="6.83203125" bestFit="1" customWidth="1"/>
    <col min="468" max="474" width="7.83203125" bestFit="1" customWidth="1"/>
    <col min="475" max="478" width="6.83203125" bestFit="1" customWidth="1"/>
    <col min="479" max="483" width="7.83203125" bestFit="1" customWidth="1"/>
    <col min="484" max="484" width="6.83203125" bestFit="1" customWidth="1"/>
    <col min="485" max="492" width="7.83203125" bestFit="1" customWidth="1"/>
    <col min="493" max="493" width="6.83203125" bestFit="1" customWidth="1"/>
    <col min="494" max="503" width="7.83203125" bestFit="1" customWidth="1"/>
    <col min="504" max="507" width="8.83203125" bestFit="1" customWidth="1"/>
    <col min="508" max="508" width="7.83203125" bestFit="1" customWidth="1"/>
    <col min="509" max="514" width="8.83203125" bestFit="1" customWidth="1"/>
    <col min="515" max="516" width="7.83203125" bestFit="1" customWidth="1"/>
    <col min="517" max="520" width="8.83203125" bestFit="1" customWidth="1"/>
    <col min="521" max="525" width="6.83203125" bestFit="1" customWidth="1"/>
    <col min="526" max="529" width="7.83203125" bestFit="1" customWidth="1"/>
    <col min="530" max="532" width="6.83203125" bestFit="1" customWidth="1"/>
    <col min="533" max="537" width="7.83203125" bestFit="1" customWidth="1"/>
    <col min="538" max="543" width="6.83203125" bestFit="1" customWidth="1"/>
    <col min="544" max="549" width="7.83203125" bestFit="1" customWidth="1"/>
    <col min="550" max="551" width="6.83203125" bestFit="1" customWidth="1"/>
    <col min="552" max="553" width="7.83203125" bestFit="1" customWidth="1"/>
    <col min="554" max="554" width="6.83203125" bestFit="1" customWidth="1"/>
    <col min="555" max="565" width="7.83203125" bestFit="1" customWidth="1"/>
    <col min="566" max="568" width="6.83203125" bestFit="1" customWidth="1"/>
    <col min="569" max="573" width="7.83203125" bestFit="1" customWidth="1"/>
    <col min="574" max="578" width="6.83203125" bestFit="1" customWidth="1"/>
    <col min="579" max="583" width="7.83203125" bestFit="1" customWidth="1"/>
    <col min="584" max="584" width="6.83203125" bestFit="1" customWidth="1"/>
    <col min="585" max="586" width="7.83203125" bestFit="1" customWidth="1"/>
    <col min="587" max="587" width="8.83203125" bestFit="1" customWidth="1"/>
    <col min="588" max="590" width="7.83203125" bestFit="1" customWidth="1"/>
    <col min="591" max="596" width="8.83203125" bestFit="1" customWidth="1"/>
    <col min="597" max="598" width="7.83203125" bestFit="1" customWidth="1"/>
    <col min="599" max="605" width="8.83203125" bestFit="1" customWidth="1"/>
    <col min="606" max="609" width="7.83203125" bestFit="1" customWidth="1"/>
    <col min="610" max="610" width="6.83203125" bestFit="1" customWidth="1"/>
    <col min="611" max="618" width="7.83203125" bestFit="1" customWidth="1"/>
    <col min="619" max="621" width="6.83203125" bestFit="1" customWidth="1"/>
    <col min="622" max="632" width="7.83203125" bestFit="1" customWidth="1"/>
    <col min="633" max="634" width="6.83203125" bestFit="1" customWidth="1"/>
    <col min="635" max="641" width="7.83203125" bestFit="1" customWidth="1"/>
    <col min="642" max="642" width="6.83203125" bestFit="1" customWidth="1"/>
    <col min="643" max="649" width="7.83203125" bestFit="1" customWidth="1"/>
    <col min="650" max="650" width="6.83203125" bestFit="1" customWidth="1"/>
    <col min="651" max="658" width="7.83203125" bestFit="1" customWidth="1"/>
    <col min="659" max="661" width="6.83203125" bestFit="1" customWidth="1"/>
    <col min="662" max="667" width="7.83203125" bestFit="1" customWidth="1"/>
    <col min="668" max="669" width="6.83203125" bestFit="1" customWidth="1"/>
    <col min="670" max="677" width="7.83203125" bestFit="1" customWidth="1"/>
    <col min="678" max="681" width="8.83203125" bestFit="1" customWidth="1"/>
    <col min="682" max="684" width="7.83203125" bestFit="1" customWidth="1"/>
    <col min="685" max="691" width="8.83203125" bestFit="1" customWidth="1"/>
    <col min="692" max="692" width="7.83203125" bestFit="1" customWidth="1"/>
    <col min="693" max="698" width="8.83203125" bestFit="1" customWidth="1"/>
    <col min="699" max="701" width="6.83203125" bestFit="1" customWidth="1"/>
    <col min="702" max="706" width="7.83203125" bestFit="1" customWidth="1"/>
    <col min="707" max="709" width="6.83203125" bestFit="1" customWidth="1"/>
    <col min="710" max="714" width="7.83203125" bestFit="1" customWidth="1"/>
    <col min="715" max="717" width="6.83203125" bestFit="1" customWidth="1"/>
    <col min="718" max="721" width="7.83203125" bestFit="1" customWidth="1"/>
    <col min="722" max="725" width="6.83203125" bestFit="1" customWidth="1"/>
    <col min="726" max="730" width="7.83203125" bestFit="1" customWidth="1"/>
    <col min="731" max="733" width="6.83203125" bestFit="1" customWidth="1"/>
    <col min="734" max="738" width="7.83203125" bestFit="1" customWidth="1"/>
    <col min="739" max="740" width="6.83203125" bestFit="1" customWidth="1"/>
    <col min="741" max="745" width="7.83203125" bestFit="1" customWidth="1"/>
    <col min="746" max="746" width="6.83203125" bestFit="1" customWidth="1"/>
    <col min="747" max="760" width="7.83203125" bestFit="1" customWidth="1"/>
    <col min="761" max="763" width="6.83203125" bestFit="1" customWidth="1"/>
    <col min="764" max="771" width="7.83203125" bestFit="1" customWidth="1"/>
    <col min="772" max="774" width="8.83203125" bestFit="1" customWidth="1"/>
    <col min="775" max="776" width="7.83203125" bestFit="1" customWidth="1"/>
    <col min="777" max="780" width="8.83203125" bestFit="1" customWidth="1"/>
    <col min="781" max="782" width="7.83203125" bestFit="1" customWidth="1"/>
    <col min="783" max="786" width="8.83203125" bestFit="1" customWidth="1"/>
    <col min="787" max="787" width="6.83203125" bestFit="1" customWidth="1"/>
    <col min="788" max="798" width="7.83203125" bestFit="1" customWidth="1"/>
    <col min="799" max="800" width="6.83203125" bestFit="1" customWidth="1"/>
    <col min="801" max="804" width="7.83203125" bestFit="1" customWidth="1"/>
    <col min="805" max="806" width="6.83203125" bestFit="1" customWidth="1"/>
    <col min="807" max="812" width="7.83203125" bestFit="1" customWidth="1"/>
    <col min="813" max="815" width="6.83203125" bestFit="1" customWidth="1"/>
    <col min="816" max="823" width="7.83203125" bestFit="1" customWidth="1"/>
    <col min="824" max="826" width="6.83203125" bestFit="1" customWidth="1"/>
    <col min="827" max="829" width="7.83203125" bestFit="1" customWidth="1"/>
    <col min="830" max="830" width="6.83203125" bestFit="1" customWidth="1"/>
    <col min="831" max="836" width="7.83203125" bestFit="1" customWidth="1"/>
    <col min="837" max="840" width="6.83203125" bestFit="1" customWidth="1"/>
    <col min="841" max="844" width="7.83203125" bestFit="1" customWidth="1"/>
    <col min="845" max="846" width="6.83203125" bestFit="1" customWidth="1"/>
    <col min="847" max="848" width="7.83203125" bestFit="1" customWidth="1"/>
    <col min="849" max="850" width="6.83203125" bestFit="1" customWidth="1"/>
    <col min="851" max="854" width="7.83203125" bestFit="1" customWidth="1"/>
    <col min="855" max="868" width="8.83203125" bestFit="1" customWidth="1"/>
    <col min="869" max="870" width="7.83203125" bestFit="1" customWidth="1"/>
    <col min="871" max="878" width="8.83203125" bestFit="1" customWidth="1"/>
    <col min="879" max="880" width="7.83203125" bestFit="1" customWidth="1"/>
  </cols>
  <sheetData>
    <row r="1" spans="1:5" x14ac:dyDescent="0.2">
      <c r="A1" s="6" t="s">
        <v>2031</v>
      </c>
      <c r="B1" t="s">
        <v>2069</v>
      </c>
    </row>
    <row r="2" spans="1:5" x14ac:dyDescent="0.2">
      <c r="A2" s="6" t="s">
        <v>2085</v>
      </c>
      <c r="B2" t="s">
        <v>2069</v>
      </c>
    </row>
    <row r="4" spans="1:5" x14ac:dyDescent="0.2">
      <c r="A4" s="6" t="s">
        <v>2068</v>
      </c>
      <c r="B4" s="6" t="s">
        <v>2070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B244-2F36-FF4D-B507-51F33BD1CC72}">
  <sheetPr codeName="Sheet6"/>
  <dimension ref="A1:H13"/>
  <sheetViews>
    <sheetView workbookViewId="0">
      <selection activeCell="K24" sqref="K24"/>
    </sheetView>
  </sheetViews>
  <sheetFormatPr baseColWidth="10" defaultRowHeight="16" x14ac:dyDescent="0.2"/>
  <cols>
    <col min="1" max="1" width="14.6640625" customWidth="1"/>
    <col min="2" max="2" width="16.33203125" customWidth="1"/>
    <col min="3" max="3" width="13.1640625" customWidth="1"/>
    <col min="4" max="4" width="15.6640625" customWidth="1"/>
    <col min="5" max="5" width="24" customWidth="1"/>
    <col min="6" max="6" width="18" customWidth="1"/>
    <col min="7" max="7" width="15.1640625" customWidth="1"/>
    <col min="8" max="8" width="18" customWidth="1"/>
  </cols>
  <sheetData>
    <row r="1" spans="1:8" s="15" customFormat="1" x14ac:dyDescent="0.2">
      <c r="A1" s="15" t="s">
        <v>2086</v>
      </c>
      <c r="B1" s="15" t="s">
        <v>2087</v>
      </c>
      <c r="C1" s="15" t="s">
        <v>2088</v>
      </c>
      <c r="D1" s="15" t="s">
        <v>2089</v>
      </c>
      <c r="E1" s="1" t="s">
        <v>2090</v>
      </c>
      <c r="F1" s="15" t="s">
        <v>2091</v>
      </c>
      <c r="G1" s="15" t="s">
        <v>2092</v>
      </c>
      <c r="H1" s="15" t="s">
        <v>2093</v>
      </c>
    </row>
    <row r="2" spans="1:8" x14ac:dyDescent="0.2">
      <c r="A2" s="10" t="s">
        <v>2094</v>
      </c>
      <c r="B2">
        <f>COUNTIFS(Crowdfunding!D:D,"&lt;1000",Crowdfunding!G:G,"=successful")</f>
        <v>30</v>
      </c>
      <c r="C2">
        <f>COUNTIFS(Crowdfunding!D:D,"&lt;1000",Crowdfunding!G:G,"=failed")</f>
        <v>20</v>
      </c>
      <c r="D2">
        <f>COUNTIFS(Crowdfunding!D:D,"&lt;1000",Crowdfunding!G:G,"=canceled")</f>
        <v>1</v>
      </c>
      <c r="E2">
        <f>SUM(B2:D2)</f>
        <v>51</v>
      </c>
      <c r="F2" s="12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s="10" t="s">
        <v>2095</v>
      </c>
      <c r="B3">
        <f>COUNTIFS(Crowdfunding!D:D,"&gt;=1000",Crowdfunding!D:D,"&lt;=4999",Crowdfunding!G:G,"=successful")</f>
        <v>191</v>
      </c>
      <c r="C3">
        <f>COUNTIFS(Crowdfunding!D:D,"&gt;=1000",Crowdfunding!D:D,"&lt;=4999",Crowdfunding!G:G,"=failed")</f>
        <v>38</v>
      </c>
      <c r="D3">
        <f>COUNTIFS(Crowdfunding!D:D,"&gt;=1000",Crowdfunding!D:D,"&lt;=4999",Crowdfunding!G:G,"=canceled")</f>
        <v>2</v>
      </c>
      <c r="E3">
        <f t="shared" ref="E3:E13" si="0">SUM(B3:D3)</f>
        <v>231</v>
      </c>
      <c r="F3" s="12">
        <f>B3/E3</f>
        <v>0.82683982683982682</v>
      </c>
      <c r="G3" s="13">
        <f t="shared" ref="G3:G13" si="1">C3/E3</f>
        <v>0.16450216450216451</v>
      </c>
      <c r="H3" s="13">
        <f t="shared" ref="H3:H13" si="2">D3/E3</f>
        <v>8.658008658008658E-3</v>
      </c>
    </row>
    <row r="4" spans="1:8" x14ac:dyDescent="0.2">
      <c r="A4" t="s">
        <v>2096</v>
      </c>
      <c r="B4">
        <f>COUNTIFS(Crowdfunding!D:D,"&gt;=5000",Crowdfunding!D:D,"&lt;=9999",Crowdfunding!G:G,"=successful")</f>
        <v>164</v>
      </c>
      <c r="C4">
        <f>COUNTIFS(Crowdfunding!D:D,"&gt;=5000",Crowdfunding!D:D,"&lt;=9999",Crowdfunding!G:G,"=failed")</f>
        <v>126</v>
      </c>
      <c r="D4">
        <f>COUNTIFS(Crowdfunding!D:D,"&gt;=5000",Crowdfunding!D:D,"&lt;=9999",Crowdfunding!G:G,"=canceled")</f>
        <v>25</v>
      </c>
      <c r="E4">
        <f t="shared" si="0"/>
        <v>315</v>
      </c>
      <c r="F4" s="12">
        <f t="shared" ref="F4:F13" si="3">B4/E4</f>
        <v>0.52063492063492067</v>
      </c>
      <c r="G4" s="13">
        <f t="shared" si="1"/>
        <v>0.4</v>
      </c>
      <c r="H4" s="13">
        <f t="shared" si="2"/>
        <v>7.9365079365079361E-2</v>
      </c>
    </row>
    <row r="5" spans="1:8" x14ac:dyDescent="0.2">
      <c r="A5" s="10" t="s">
        <v>2097</v>
      </c>
      <c r="B5">
        <f>COUNTIFS(Crowdfunding!D:D,"&gt;=10000",Crowdfunding!D:D,"&lt;=14999",Crowdfunding!G:G,"=successful")</f>
        <v>4</v>
      </c>
      <c r="C5">
        <f>COUNTIFS(Crowdfunding!D:D,"&gt;=10000",Crowdfunding!D:D,"&lt;=14999",Crowdfunding!G:G,"=failed")</f>
        <v>5</v>
      </c>
      <c r="D5">
        <f>COUNTIFS(Crowdfunding!D:D,"&gt;=10000",Crowdfunding!D:D,"&lt;=14999",Crowdfunding!G:G,"=canceled")</f>
        <v>0</v>
      </c>
      <c r="E5">
        <f t="shared" si="0"/>
        <v>9</v>
      </c>
      <c r="F5" s="12">
        <f t="shared" si="3"/>
        <v>0.44444444444444442</v>
      </c>
      <c r="G5" s="13">
        <f t="shared" si="1"/>
        <v>0.55555555555555558</v>
      </c>
      <c r="H5" s="13">
        <f t="shared" si="2"/>
        <v>0</v>
      </c>
    </row>
    <row r="6" spans="1:8" x14ac:dyDescent="0.2">
      <c r="A6" s="10" t="s">
        <v>2098</v>
      </c>
      <c r="B6">
        <f>COUNTIFS(Crowdfunding!D:D,"&gt;=15000",Crowdfunding!D:D,"&lt;=19999",Crowdfunding!G:G,"=successful")</f>
        <v>10</v>
      </c>
      <c r="C6">
        <f>COUNTIFS(Crowdfunding!D:D,"&gt;=15000",Crowdfunding!D:D,"&lt;=19999",Crowdfunding!G:G,"=failed")</f>
        <v>0</v>
      </c>
      <c r="D6">
        <f>COUNTIFS(Crowdfunding!D:D,"&gt;=15000",Crowdfunding!D:D,"&lt;=19999",Crowdfunding!G:G,"=canceled")</f>
        <v>0</v>
      </c>
      <c r="E6">
        <f t="shared" si="0"/>
        <v>10</v>
      </c>
      <c r="F6" s="12">
        <f t="shared" si="3"/>
        <v>1</v>
      </c>
      <c r="G6" s="13">
        <f t="shared" si="1"/>
        <v>0</v>
      </c>
      <c r="H6" s="13">
        <f t="shared" si="2"/>
        <v>0</v>
      </c>
    </row>
    <row r="7" spans="1:8" x14ac:dyDescent="0.2">
      <c r="A7" s="10" t="s">
        <v>2099</v>
      </c>
      <c r="B7">
        <f>COUNTIFS(Crowdfunding!D:D,"&gt;=20000",Crowdfunding!D:D,"&lt;=24999",Crowdfunding!G:G,"=successful")</f>
        <v>7</v>
      </c>
      <c r="C7">
        <f>COUNTIFS(Crowdfunding!D:D,"&gt;=20000",Crowdfunding!D:D,"&lt;=24999",Crowdfunding!G:G,"=failed")</f>
        <v>0</v>
      </c>
      <c r="D7">
        <f>COUNTIFS(Crowdfunding!D:D,"&gt;=20000",Crowdfunding!D:D,"&lt;=24999",Crowdfunding!G:G,"=canceled")</f>
        <v>0</v>
      </c>
      <c r="E7">
        <f t="shared" si="0"/>
        <v>7</v>
      </c>
      <c r="F7" s="12">
        <f t="shared" si="3"/>
        <v>1</v>
      </c>
      <c r="G7" s="13">
        <f t="shared" si="1"/>
        <v>0</v>
      </c>
      <c r="H7" s="13">
        <f t="shared" si="2"/>
        <v>0</v>
      </c>
    </row>
    <row r="8" spans="1:8" x14ac:dyDescent="0.2">
      <c r="A8" s="10" t="s">
        <v>2100</v>
      </c>
      <c r="B8">
        <f>COUNTIFS(Crowdfunding!D:D,"&gt;=25000",Crowdfunding!D:D,"&lt;=29999",Crowdfunding!G:G,"=successful")</f>
        <v>11</v>
      </c>
      <c r="C8">
        <f>COUNTIFS(Crowdfunding!D:D,"&gt;=25000",Crowdfunding!D:D,"&lt;=29999",Crowdfunding!G:G,"=failed")</f>
        <v>3</v>
      </c>
      <c r="D8">
        <f>COUNTIFS(Crowdfunding!D:D,"&gt;=25000",Crowdfunding!D:D,"&lt;=29999",Crowdfunding!G:G,"=canceled")</f>
        <v>0</v>
      </c>
      <c r="E8">
        <f t="shared" si="0"/>
        <v>14</v>
      </c>
      <c r="F8" s="12">
        <f t="shared" si="3"/>
        <v>0.7857142857142857</v>
      </c>
      <c r="G8" s="13">
        <f t="shared" si="1"/>
        <v>0.21428571428571427</v>
      </c>
      <c r="H8" s="13">
        <f t="shared" si="2"/>
        <v>0</v>
      </c>
    </row>
    <row r="9" spans="1:8" x14ac:dyDescent="0.2">
      <c r="A9" s="10" t="s">
        <v>2101</v>
      </c>
      <c r="B9">
        <f>COUNTIFS(Crowdfunding!D:D,"&gt;=30000",Crowdfunding!D:D,"&lt;=34999",Crowdfunding!G:G,"=successful")</f>
        <v>7</v>
      </c>
      <c r="C9">
        <f>COUNTIFS(Crowdfunding!D:D,"&gt;=30000",Crowdfunding!D:D,"&lt;=34999",Crowdfunding!G:G,"=failed")</f>
        <v>0</v>
      </c>
      <c r="D9">
        <f>COUNTIFS(Crowdfunding!D:D,"&gt;=30000",Crowdfunding!D:D,"&lt;=34999",Crowdfunding!G:G,"=canceled")</f>
        <v>0</v>
      </c>
      <c r="E9">
        <f t="shared" si="0"/>
        <v>7</v>
      </c>
      <c r="F9" s="12">
        <f t="shared" si="3"/>
        <v>1</v>
      </c>
      <c r="G9" s="13">
        <f t="shared" si="1"/>
        <v>0</v>
      </c>
      <c r="H9" s="13">
        <f t="shared" si="2"/>
        <v>0</v>
      </c>
    </row>
    <row r="10" spans="1:8" x14ac:dyDescent="0.2">
      <c r="A10" s="10" t="s">
        <v>2102</v>
      </c>
      <c r="B10">
        <f>COUNTIFS(Crowdfunding!D:D,"&gt;=35000",Crowdfunding!D:D,"&lt;=39999",Crowdfunding!G:G,"=successful")</f>
        <v>8</v>
      </c>
      <c r="C10">
        <f>COUNTIFS(Crowdfunding!D:D,"&gt;=35000",Crowdfunding!D:D,"&lt;=39999",Crowdfunding!G:G,"=failed")</f>
        <v>3</v>
      </c>
      <c r="D10">
        <f>COUNTIFS(Crowdfunding!D:D,"&gt;=35000",Crowdfunding!D:D,"&lt;=39999",Crowdfunding!G:G,"=canceled")</f>
        <v>1</v>
      </c>
      <c r="E10">
        <f t="shared" si="0"/>
        <v>12</v>
      </c>
      <c r="F10" s="12">
        <f t="shared" si="3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x14ac:dyDescent="0.2">
      <c r="A11" s="10" t="s">
        <v>2103</v>
      </c>
      <c r="B11">
        <f>COUNTIFS(Crowdfunding!D:D,"&gt;=40000",Crowdfunding!D:D,"&lt;=44999",Crowdfunding!G:G,"=successful")</f>
        <v>11</v>
      </c>
      <c r="C11">
        <f>COUNTIFS(Crowdfunding!D:D,"&gt;=40000",Crowdfunding!D:D,"&lt;=44999",Crowdfunding!G:G,"=failed")</f>
        <v>3</v>
      </c>
      <c r="D11">
        <f>COUNTIFS(Crowdfunding!D:D,"&gt;=40000",Crowdfunding!D:D,"&lt;=44999",Crowdfunding!G:G,"=canceled")</f>
        <v>0</v>
      </c>
      <c r="E11">
        <f t="shared" si="0"/>
        <v>14</v>
      </c>
      <c r="F11" s="12">
        <f t="shared" si="3"/>
        <v>0.7857142857142857</v>
      </c>
      <c r="G11" s="13">
        <f t="shared" si="1"/>
        <v>0.21428571428571427</v>
      </c>
      <c r="H11" s="13">
        <f t="shared" si="2"/>
        <v>0</v>
      </c>
    </row>
    <row r="12" spans="1:8" x14ac:dyDescent="0.2">
      <c r="A12" s="10" t="s">
        <v>2104</v>
      </c>
      <c r="B12">
        <f>COUNTIFS(Crowdfunding!D:D,"&gt;=45000",Crowdfunding!D:D,"&lt;=49999",Crowdfunding!G:G,"=successful")</f>
        <v>8</v>
      </c>
      <c r="C12">
        <f>COUNTIFS(Crowdfunding!D:D,"&gt;=45000",Crowdfunding!D:D,"&lt;=49999",Crowdfunding!G:G,"=failed")</f>
        <v>3</v>
      </c>
      <c r="D12">
        <f>COUNTIFS(Crowdfunding!D:D,"&gt;=45000",Crowdfunding!D:D,"&lt;=49999",Crowdfunding!G:G,"=canceled")</f>
        <v>0</v>
      </c>
      <c r="E12">
        <f t="shared" si="0"/>
        <v>11</v>
      </c>
      <c r="F12" s="12">
        <f t="shared" si="3"/>
        <v>0.72727272727272729</v>
      </c>
      <c r="G12" s="13">
        <f t="shared" si="1"/>
        <v>0.27272727272727271</v>
      </c>
      <c r="H12" s="13">
        <f t="shared" si="2"/>
        <v>0</v>
      </c>
    </row>
    <row r="13" spans="1:8" ht="34" x14ac:dyDescent="0.2">
      <c r="A13" s="11" t="s">
        <v>2105</v>
      </c>
      <c r="B13">
        <f>COUNTIFS(Crowdfunding!D:D,"&gt;=50000",Crowdfunding!G:G,"=successful")</f>
        <v>114</v>
      </c>
      <c r="C13">
        <f>COUNTIFS(Crowdfunding!D:D,"&gt;=50000",Crowdfunding!G:G,"=failed")</f>
        <v>163</v>
      </c>
      <c r="D13">
        <f>COUNTIFS(Crowdfunding!D:D,"&gt;=50000",Crowdfunding!G:G,"=canceled")</f>
        <v>28</v>
      </c>
      <c r="E13">
        <f t="shared" si="0"/>
        <v>305</v>
      </c>
      <c r="F13" s="12">
        <f t="shared" si="3"/>
        <v>0.3737704918032787</v>
      </c>
      <c r="G13" s="13">
        <f t="shared" si="1"/>
        <v>0.53442622950819674</v>
      </c>
      <c r="H13" s="13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0B2D-B468-A74E-A000-E64603F71F3B}">
  <sheetPr codeName="Sheet7"/>
  <dimension ref="A1:J566"/>
  <sheetViews>
    <sheetView workbookViewId="0">
      <selection activeCell="H1" sqref="H1"/>
    </sheetView>
  </sheetViews>
  <sheetFormatPr baseColWidth="10" defaultRowHeight="16" x14ac:dyDescent="0.2"/>
  <cols>
    <col min="2" max="2" width="13.1640625" customWidth="1"/>
    <col min="5" max="5" width="12.83203125" customWidth="1"/>
    <col min="8" max="8" width="30" customWidth="1"/>
    <col min="9" max="9" width="21.33203125" customWidth="1"/>
    <col min="10" max="10" width="21.83203125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  <c r="I1" s="18" t="s">
        <v>2106</v>
      </c>
      <c r="J1" s="17" t="s">
        <v>14</v>
      </c>
    </row>
    <row r="2" spans="1:10" x14ac:dyDescent="0.2">
      <c r="A2" t="s">
        <v>20</v>
      </c>
      <c r="B2">
        <v>158</v>
      </c>
      <c r="D2" t="s">
        <v>14</v>
      </c>
      <c r="E2">
        <v>0</v>
      </c>
      <c r="H2" s="14" t="s">
        <v>2107</v>
      </c>
      <c r="I2" s="16">
        <f>AVERAGE(B2:B566)</f>
        <v>851.14690265486729</v>
      </c>
      <c r="J2" s="16">
        <f>AVERAGE(E2:E365)</f>
        <v>585.61538461538464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H3" s="15" t="s">
        <v>2108</v>
      </c>
      <c r="I3">
        <f>MEDIAN(B2:B566)</f>
        <v>201</v>
      </c>
      <c r="J3">
        <f>MEDIAN(E2:E365)</f>
        <v>114.5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H4" s="15" t="s">
        <v>2109</v>
      </c>
      <c r="I4">
        <f>MIN(B2:B566)</f>
        <v>16</v>
      </c>
      <c r="J4">
        <f>MIN(E2:E365)</f>
        <v>0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H5" s="14" t="s">
        <v>2110</v>
      </c>
      <c r="I5">
        <f>MAX(B2:B566)</f>
        <v>7295</v>
      </c>
      <c r="J5">
        <f>MAX(E2:E365)</f>
        <v>6080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H6" s="14" t="s">
        <v>2111</v>
      </c>
      <c r="I6" s="16">
        <f>_xlfn.VAR.P(B2:B566)</f>
        <v>1603373.7324019109</v>
      </c>
      <c r="J6" s="16">
        <f>_xlfn.VAR.P(E2:E365)</f>
        <v>921574.68174133555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H7" s="14" t="s">
        <v>2112</v>
      </c>
      <c r="I7" s="16">
        <f>_xlfn.STDEV.P(B2:B566)</f>
        <v>1266.2439466397898</v>
      </c>
      <c r="J7" s="16">
        <f>_xlfn.STDEV.P(E2:E365)</f>
        <v>959.98681331637863</v>
      </c>
    </row>
    <row r="8" spans="1:10" x14ac:dyDescent="0.2">
      <c r="A8" t="s">
        <v>20</v>
      </c>
      <c r="B8">
        <v>100</v>
      </c>
      <c r="D8" t="s">
        <v>14</v>
      </c>
      <c r="E8">
        <v>55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1" operator="containsText" text="live">
      <formula>NOT(ISERROR(SEARCH("live",A1)))</formula>
    </cfRule>
    <cfRule type="containsText" dxfId="6" priority="2" operator="containsText" text="canceled">
      <formula>NOT(ISERROR(SEARCH("canceled",A1)))</formula>
    </cfRule>
    <cfRule type="containsText" dxfId="5" priority="3" operator="containsText" text="successful">
      <formula>NOT(ISERROR(SEARCH("successful",A1)))</formula>
    </cfRule>
    <cfRule type="containsText" dxfId="4" priority="4" operator="containsText" text="failed">
      <formula>NOT(ISERROR(SEARCH("failed",A1)))</formula>
    </cfRule>
  </conditionalFormatting>
  <conditionalFormatting sqref="D1:D1047940">
    <cfRule type="containsText" dxfId="3" priority="5" operator="containsText" text="live">
      <formula>NOT(ISERROR(SEARCH("live",D1)))</formula>
    </cfRule>
    <cfRule type="containsText" dxfId="2" priority="6" operator="containsText" text="canceled">
      <formula>NOT(ISERROR(SEARCH("canceled",D1)))</formula>
    </cfRule>
    <cfRule type="containsText" dxfId="1" priority="7" operator="containsText" text="successful">
      <formula>NOT(ISERROR(SEARCH("successful",D1)))</formula>
    </cfRule>
    <cfRule type="containsText" dxfId="0" priority="8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A-Category</vt:lpstr>
      <vt:lpstr>B-SubCategory</vt:lpstr>
      <vt:lpstr>C-DateConversion</vt:lpstr>
      <vt:lpstr>D-GoalAnalysis</vt:lpstr>
      <vt:lpstr>E-StatisticalAnalysis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Aman</cp:lastModifiedBy>
  <dcterms:created xsi:type="dcterms:W3CDTF">2021-09-29T18:52:28Z</dcterms:created>
  <dcterms:modified xsi:type="dcterms:W3CDTF">2023-11-28T00:01:31Z</dcterms:modified>
</cp:coreProperties>
</file>