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GitHub\Sena_Inventario\backend\imports\"/>
    </mc:Choice>
  </mc:AlternateContent>
  <xr:revisionPtr revIDLastSave="0" documentId="8_{63B51A03-0EB0-442B-A14E-FF8A38781CD1}" xr6:coauthVersionLast="36" xr6:coauthVersionMax="36" xr10:uidLastSave="{00000000-0000-0000-0000-000000000000}"/>
  <bookViews>
    <workbookView xWindow="0" yWindow="0" windowWidth="20490" windowHeight="7650" tabRatio="927" xr2:uid="{00000000-000D-0000-FFFF-FFFF00000000}"/>
  </bookViews>
  <sheets>
    <sheet name="Inventario" sheetId="2" r:id="rId1"/>
    <sheet name="Categoria" sheetId="11" r:id="rId2"/>
    <sheet name="Ambintes" sheetId="10" r:id="rId3"/>
    <sheet name="Fac_Energia" sheetId="13" r:id="rId4"/>
    <sheet name="Fac_Agua" sheetId="14" r:id="rId5"/>
    <sheet name="Inv_Agua" sheetId="3" r:id="rId6"/>
    <sheet name="Analisi AGUA" sheetId="8" r:id="rId7"/>
    <sheet name="Graf_Agua" sheetId="7" r:id="rId8"/>
    <sheet name="GAS" sheetId="4" r:id="rId9"/>
    <sheet name="Graficas_Gas" sheetId="12" r:id="rId10"/>
    <sheet name="Generacion" sheetId="5" r:id="rId11"/>
    <sheet name="Aire" sheetId="9" r:id="rId12"/>
  </sheets>
  <definedNames>
    <definedName name="_xlnm._FilterDatabase" localSheetId="2" hidden="1">Ambintes!$C$3:$C$7</definedName>
    <definedName name="_xlnm._FilterDatabase" localSheetId="1" hidden="1">Categoria!$C$3:$C$11</definedName>
    <definedName name="_xlnm._FilterDatabase" localSheetId="8" hidden="1">GAS!$A$1:$Q$7</definedName>
    <definedName name="_xlnm._FilterDatabase" localSheetId="10" hidden="1">Generacion!$A$1:$S$2</definedName>
    <definedName name="_xlnm._FilterDatabase" localSheetId="5" hidden="1">Inv_Agua!$A$1:$T$37</definedName>
    <definedName name="_xlnm._FilterDatabase" localSheetId="0" hidden="1">Inventario!$A$1:$X$123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0" l="1"/>
  <c r="D103" i="10"/>
  <c r="D104" i="10"/>
  <c r="D105" i="10"/>
  <c r="D106" i="10"/>
  <c r="D109" i="10"/>
  <c r="D110" i="10"/>
  <c r="D111" i="10"/>
  <c r="D112" i="10"/>
  <c r="D113" i="10"/>
  <c r="D114" i="10"/>
  <c r="D117" i="10"/>
  <c r="D118" i="10"/>
  <c r="D119" i="10"/>
  <c r="D120" i="10"/>
  <c r="D121" i="10"/>
  <c r="D122" i="10"/>
  <c r="C123" i="10"/>
  <c r="D107" i="10" s="1"/>
  <c r="C10" i="11"/>
  <c r="C9" i="11"/>
  <c r="D116" i="10" l="1"/>
  <c r="D108" i="10"/>
  <c r="D101" i="10"/>
  <c r="D115" i="10"/>
  <c r="W7" i="2"/>
  <c r="R7" i="4"/>
  <c r="S7" i="4" s="1"/>
  <c r="T7" i="4" s="1"/>
  <c r="Q5" i="4"/>
  <c r="R3" i="4"/>
  <c r="S3" i="4" s="1"/>
  <c r="T3" i="4" s="1"/>
  <c r="R2" i="4"/>
  <c r="S2" i="4" s="1"/>
  <c r="T2" i="4" s="1"/>
  <c r="R4" i="4"/>
  <c r="S4" i="4" s="1"/>
  <c r="T4" i="4" s="1"/>
  <c r="R5" i="4"/>
  <c r="S5" i="4" s="1"/>
  <c r="T5" i="4" s="1"/>
  <c r="R6" i="4"/>
  <c r="S6" i="4" s="1"/>
  <c r="T6" i="4" s="1"/>
  <c r="B8" i="7"/>
  <c r="C7" i="7" s="1"/>
  <c r="D7" i="7" s="1"/>
  <c r="G6" i="9"/>
  <c r="E7" i="7" l="1"/>
  <c r="F7" i="7" s="1"/>
  <c r="G7" i="7"/>
  <c r="I7" i="7" l="1"/>
  <c r="H7" i="7"/>
  <c r="W20" i="2" l="1"/>
  <c r="S2" i="3"/>
  <c r="C3" i="7"/>
  <c r="D3" i="7" s="1"/>
  <c r="G3" i="7" s="1"/>
  <c r="I3" i="7" s="1"/>
  <c r="S5" i="3"/>
  <c r="S23" i="3"/>
  <c r="C11" i="8"/>
  <c r="C12" i="8" s="1"/>
  <c r="C13" i="8" s="1"/>
  <c r="C3" i="8"/>
  <c r="C4" i="8" s="1"/>
  <c r="C5" i="8" s="1"/>
  <c r="S37" i="3"/>
  <c r="S36" i="3"/>
  <c r="S33" i="3"/>
  <c r="S32" i="3"/>
  <c r="S35" i="3"/>
  <c r="S34" i="3"/>
  <c r="S12" i="3"/>
  <c r="S29" i="3"/>
  <c r="S8" i="3"/>
  <c r="S7" i="3"/>
  <c r="S28" i="3"/>
  <c r="S31" i="3"/>
  <c r="S30" i="3"/>
  <c r="S25" i="3"/>
  <c r="C7" i="8"/>
  <c r="C8" i="8" s="1"/>
  <c r="C9" i="8" s="1"/>
  <c r="S19" i="3"/>
  <c r="S18" i="3"/>
  <c r="S17" i="3"/>
  <c r="S16" i="3"/>
  <c r="S15" i="3"/>
  <c r="S14" i="3"/>
  <c r="S13" i="3"/>
  <c r="S4" i="3"/>
  <c r="S3" i="3"/>
  <c r="S11" i="3"/>
  <c r="S10" i="3"/>
  <c r="S9" i="3"/>
  <c r="S6" i="3"/>
  <c r="S26" i="3"/>
  <c r="S24" i="3"/>
  <c r="S22" i="3"/>
  <c r="S21" i="3"/>
  <c r="S20" i="3"/>
  <c r="S27" i="3"/>
  <c r="H3" i="7" l="1"/>
  <c r="E3" i="7"/>
  <c r="F3" i="7" s="1"/>
  <c r="C5" i="7"/>
  <c r="D5" i="7" s="1"/>
  <c r="C6" i="7"/>
  <c r="D6" i="7" s="1"/>
  <c r="C4" i="7"/>
  <c r="D4" i="7" s="1"/>
  <c r="C2" i="7"/>
  <c r="C8" i="7" l="1"/>
  <c r="G4" i="7"/>
  <c r="E4" i="7"/>
  <c r="F4" i="7" s="1"/>
  <c r="G6" i="7"/>
  <c r="E6" i="7"/>
  <c r="F6" i="7" s="1"/>
  <c r="G5" i="7"/>
  <c r="E5" i="7"/>
  <c r="F5" i="7" s="1"/>
  <c r="D2" i="7"/>
  <c r="E2" i="7" l="1"/>
  <c r="F2" i="7" s="1"/>
  <c r="D8" i="7"/>
  <c r="I6" i="7"/>
  <c r="H6" i="7"/>
  <c r="I5" i="7"/>
  <c r="H5" i="7"/>
  <c r="I4" i="7"/>
  <c r="H4" i="7"/>
  <c r="G2" i="7"/>
  <c r="I2" i="7" l="1"/>
  <c r="H2" i="7"/>
  <c r="G8" i="7"/>
  <c r="E8" i="7"/>
  <c r="F8" i="7" s="1"/>
  <c r="I8" i="7" l="1"/>
  <c r="H8" i="7"/>
  <c r="N14" i="2"/>
  <c r="N2" i="2"/>
  <c r="N20" i="2"/>
  <c r="W32" i="2"/>
  <c r="W42" i="2"/>
  <c r="W15" i="2"/>
  <c r="W36" i="2"/>
  <c r="W72" i="2"/>
  <c r="V20" i="2"/>
  <c r="W28" i="2"/>
  <c r="W41" i="2"/>
  <c r="W93" i="2"/>
  <c r="W90" i="2"/>
  <c r="W114" i="2"/>
  <c r="W112" i="2"/>
  <c r="C92" i="10" s="1"/>
  <c r="W69" i="2"/>
  <c r="W100" i="2"/>
  <c r="W2" i="2"/>
  <c r="W81" i="2"/>
  <c r="W65" i="2"/>
  <c r="W63" i="2"/>
  <c r="W108" i="2"/>
  <c r="W26" i="2"/>
  <c r="W92" i="2"/>
  <c r="T78" i="2"/>
  <c r="W78" i="2" s="1"/>
  <c r="W87" i="2"/>
  <c r="W75" i="2"/>
  <c r="W110" i="2"/>
  <c r="W23" i="2"/>
  <c r="W113" i="2"/>
  <c r="T118" i="2"/>
  <c r="W118" i="2" s="1"/>
  <c r="T21" i="2"/>
  <c r="W21" i="2" s="1"/>
  <c r="W44" i="2"/>
  <c r="W121" i="2"/>
  <c r="W52" i="2"/>
  <c r="W84" i="2"/>
  <c r="W91" i="2"/>
  <c r="W51" i="2"/>
  <c r="W34" i="2"/>
  <c r="W77" i="2"/>
  <c r="T120" i="2"/>
  <c r="W120" i="2" s="1"/>
  <c r="T24" i="2"/>
  <c r="W24" i="2" s="1"/>
  <c r="T4" i="2"/>
  <c r="W4" i="2" s="1"/>
  <c r="W19" i="2"/>
  <c r="T104" i="2"/>
  <c r="W104" i="2" s="1"/>
  <c r="W64" i="2"/>
  <c r="T5" i="2"/>
  <c r="W5" i="2" s="1"/>
  <c r="T95" i="2"/>
  <c r="W95" i="2" s="1"/>
  <c r="W54" i="2"/>
  <c r="W14" i="2"/>
  <c r="W18" i="2"/>
  <c r="C85" i="10" s="1"/>
  <c r="W17" i="2"/>
  <c r="T13" i="2"/>
  <c r="W13" i="2" s="1"/>
  <c r="T3" i="2"/>
  <c r="W3" i="2" s="1"/>
  <c r="T122" i="2"/>
  <c r="W122" i="2" s="1"/>
  <c r="T116" i="2"/>
  <c r="W116" i="2" s="1"/>
  <c r="T47" i="2"/>
  <c r="W47" i="2" s="1"/>
  <c r="W46" i="2"/>
  <c r="W68" i="2"/>
  <c r="W106" i="2"/>
  <c r="W56" i="2"/>
  <c r="W29" i="2"/>
  <c r="W89" i="2"/>
  <c r="W105" i="2"/>
  <c r="W25" i="2"/>
  <c r="W27" i="2"/>
  <c r="W30" i="2"/>
  <c r="W59" i="2"/>
  <c r="W76" i="2"/>
  <c r="W85" i="2"/>
  <c r="W49" i="2"/>
  <c r="W37" i="2"/>
  <c r="W57" i="2"/>
  <c r="W98" i="2"/>
  <c r="W82" i="2"/>
  <c r="W83" i="2"/>
  <c r="W99" i="2"/>
  <c r="W12" i="2"/>
  <c r="W50" i="2"/>
  <c r="W117" i="2"/>
  <c r="W39" i="2"/>
  <c r="W66" i="2"/>
  <c r="W6" i="2"/>
  <c r="W94" i="2"/>
  <c r="W107" i="2"/>
  <c r="W11" i="2"/>
  <c r="W38" i="2"/>
  <c r="W35" i="2"/>
  <c r="W10" i="2"/>
  <c r="W43" i="2"/>
  <c r="W8" i="2"/>
  <c r="W119" i="2"/>
  <c r="W33" i="2"/>
  <c r="W60" i="2"/>
  <c r="W53" i="2"/>
  <c r="W40" i="2"/>
  <c r="W96" i="2"/>
  <c r="W55" i="2"/>
  <c r="C88" i="10" s="1"/>
  <c r="W111" i="2"/>
  <c r="W86" i="2"/>
  <c r="W79" i="2"/>
  <c r="C91" i="10" s="1"/>
  <c r="W58" i="2"/>
  <c r="W22" i="2"/>
  <c r="W67" i="2"/>
  <c r="W88" i="2"/>
  <c r="W115" i="2"/>
  <c r="W16" i="2"/>
  <c r="W103" i="2"/>
  <c r="W9" i="2"/>
  <c r="W48" i="2"/>
  <c r="W73" i="2"/>
  <c r="W74" i="2"/>
  <c r="W101" i="2"/>
  <c r="W102" i="2"/>
  <c r="W123" i="2"/>
  <c r="W61" i="2"/>
  <c r="W70" i="2"/>
  <c r="W71" i="2"/>
  <c r="W62" i="2"/>
  <c r="W80" i="2"/>
  <c r="W109" i="2"/>
  <c r="W97" i="2"/>
  <c r="C78" i="10" s="1"/>
  <c r="W31" i="2"/>
  <c r="T45" i="2"/>
  <c r="W45" i="2" s="1"/>
  <c r="C90" i="10" l="1"/>
  <c r="C84" i="10"/>
  <c r="C79" i="10"/>
  <c r="C87" i="10"/>
  <c r="C46" i="10"/>
  <c r="C94" i="10"/>
  <c r="C47" i="10"/>
  <c r="C95" i="10"/>
  <c r="C86" i="10"/>
  <c r="C76" i="10"/>
  <c r="C89" i="10"/>
  <c r="C75" i="10"/>
  <c r="C77" i="10"/>
  <c r="C45" i="10"/>
  <c r="C93" i="10"/>
  <c r="C82" i="10"/>
  <c r="C80" i="10"/>
  <c r="C81" i="10"/>
  <c r="C83" i="10"/>
  <c r="C74" i="10"/>
  <c r="C35" i="10"/>
  <c r="C30" i="10"/>
  <c r="C32" i="10"/>
  <c r="C36" i="10"/>
  <c r="C33" i="10"/>
  <c r="C31" i="10"/>
  <c r="C34" i="10"/>
  <c r="C18" i="10"/>
  <c r="C22" i="10"/>
  <c r="C21" i="10"/>
  <c r="C19" i="10"/>
  <c r="C17" i="10"/>
  <c r="C20" i="10"/>
  <c r="C16" i="10"/>
  <c r="C2" i="10"/>
  <c r="C8" i="11"/>
  <c r="C6" i="10"/>
  <c r="C4" i="10"/>
  <c r="C3" i="10"/>
  <c r="C5" i="10"/>
  <c r="C2" i="11"/>
  <c r="C3" i="11"/>
  <c r="C6" i="11"/>
  <c r="C5" i="11"/>
  <c r="C4" i="11"/>
  <c r="C7" i="11"/>
  <c r="W1048571" i="2"/>
  <c r="C96" i="10" l="1"/>
  <c r="D93" i="10" s="1"/>
  <c r="C48" i="10"/>
  <c r="B61" i="10" s="1"/>
  <c r="C37" i="10"/>
  <c r="B60" i="10" s="1"/>
  <c r="C7" i="10"/>
  <c r="B58" i="10" s="1"/>
  <c r="C23" i="10"/>
  <c r="B59" i="10" s="1"/>
  <c r="C11" i="11"/>
  <c r="D4" i="11" s="1"/>
  <c r="C22" i="11" s="1"/>
  <c r="B62" i="10" l="1"/>
  <c r="D87" i="10"/>
  <c r="D82" i="10"/>
  <c r="D75" i="10"/>
  <c r="D95" i="10"/>
  <c r="D77" i="10"/>
  <c r="D76" i="10"/>
  <c r="D78" i="10"/>
  <c r="D90" i="10"/>
  <c r="D88" i="10"/>
  <c r="D84" i="10"/>
  <c r="D79" i="10"/>
  <c r="D85" i="10"/>
  <c r="D91" i="10"/>
  <c r="D92" i="10"/>
  <c r="D80" i="10"/>
  <c r="D81" i="10"/>
  <c r="D83" i="10"/>
  <c r="D86" i="10"/>
  <c r="D94" i="10"/>
  <c r="D89" i="10"/>
  <c r="D74" i="10"/>
  <c r="D6" i="10"/>
  <c r="D45" i="10"/>
  <c r="D46" i="10"/>
  <c r="D47" i="10"/>
  <c r="D30" i="10"/>
  <c r="D35" i="10"/>
  <c r="D33" i="10"/>
  <c r="D32" i="10"/>
  <c r="D31" i="10"/>
  <c r="D36" i="10"/>
  <c r="D34" i="10"/>
  <c r="D17" i="10"/>
  <c r="D20" i="10"/>
  <c r="D21" i="10"/>
  <c r="D22" i="10"/>
  <c r="D19" i="10"/>
  <c r="D18" i="10"/>
  <c r="D16" i="10"/>
  <c r="D3" i="10"/>
  <c r="D4" i="10"/>
  <c r="D5" i="10"/>
  <c r="D2" i="10"/>
  <c r="D2" i="11"/>
  <c r="C20" i="11" s="1"/>
  <c r="D3" i="11"/>
  <c r="C21" i="11" s="1"/>
  <c r="D7" i="11"/>
  <c r="C25" i="11" s="1"/>
  <c r="D10" i="11"/>
  <c r="D9" i="11"/>
  <c r="D8" i="11"/>
  <c r="C26" i="11" s="1"/>
  <c r="D5" i="11"/>
  <c r="C23" i="11" s="1"/>
  <c r="D6" i="11"/>
  <c r="C24" i="11" s="1"/>
  <c r="D96" i="10" l="1"/>
  <c r="D48" i="10"/>
  <c r="D37" i="10"/>
  <c r="D7" i="10"/>
  <c r="D23" i="10"/>
  <c r="C29" i="11"/>
  <c r="D11" i="11"/>
</calcChain>
</file>

<file path=xl/sharedStrings.xml><?xml version="1.0" encoding="utf-8"?>
<sst xmlns="http://schemas.openxmlformats.org/spreadsheetml/2006/main" count="2454" uniqueCount="565">
  <si>
    <t>fecha</t>
  </si>
  <si>
    <t>Correo</t>
  </si>
  <si>
    <t>Centro</t>
  </si>
  <si>
    <t>Sede</t>
  </si>
  <si>
    <t>bloque_area_edificio_zona</t>
  </si>
  <si>
    <t>Piso</t>
  </si>
  <si>
    <t>Tipo del Ambiente</t>
  </si>
  <si>
    <t>Nombre del Ambiente</t>
  </si>
  <si>
    <t>Categoria Base</t>
  </si>
  <si>
    <t>Subcategoria</t>
  </si>
  <si>
    <t>Marca</t>
  </si>
  <si>
    <t>Referencia /Modelo</t>
  </si>
  <si>
    <t>Capacidad</t>
  </si>
  <si>
    <t>Columna1</t>
  </si>
  <si>
    <t>Refrigerante</t>
  </si>
  <si>
    <t>Cantidad</t>
  </si>
  <si>
    <t>Frecuencia de uso</t>
  </si>
  <si>
    <t># Horas al dia</t>
  </si>
  <si>
    <t># Dias al mes</t>
  </si>
  <si>
    <t>Potencia W</t>
  </si>
  <si>
    <t>Voltaje (V)</t>
  </si>
  <si>
    <t>Corriente (A)</t>
  </si>
  <si>
    <t>Consumo
Energia KWH/mes</t>
  </si>
  <si>
    <t>observaciones</t>
  </si>
  <si>
    <t>2023-09-12 10:27:18.000000</t>
  </si>
  <si>
    <t>danistir1458@gmail.com</t>
  </si>
  <si>
    <t>CGTS</t>
  </si>
  <si>
    <t>ESCUELA_GASTRONOMICA</t>
  </si>
  <si>
    <t>Piso 3</t>
  </si>
  <si>
    <t>PISO_3</t>
  </si>
  <si>
    <t>AUDITORIO</t>
  </si>
  <si>
    <t>Auditorio</t>
  </si>
  <si>
    <t>AIRE_ACONDICIONADO</t>
  </si>
  <si>
    <t>PISO TECHO</t>
  </si>
  <si>
    <t xml:space="preserve">INOVAAIR </t>
  </si>
  <si>
    <t>VORTEX</t>
  </si>
  <si>
    <t>R-404A</t>
  </si>
  <si>
    <t>DIARIO</t>
  </si>
  <si>
    <t>INOVAAIR VORTEX (controlador 174W)</t>
  </si>
  <si>
    <t>2023-09-12 09:53:07.000000</t>
  </si>
  <si>
    <t>Piso 2</t>
  </si>
  <si>
    <t>PISO_2</t>
  </si>
  <si>
    <t>TALLER</t>
  </si>
  <si>
    <t>Cocina cerrada  E04-9311</t>
  </si>
  <si>
    <t>EQUIPO INDUSTRIAL</t>
  </si>
  <si>
    <t>REFRIGERADOR</t>
  </si>
  <si>
    <t>TURBO AIR</t>
  </si>
  <si>
    <t xml:space="preserve">Refrigerador 3 puertas  pallomaro turbo air </t>
  </si>
  <si>
    <t>2023-09-28 09:59:28.000000</t>
  </si>
  <si>
    <t>Piso 1</t>
  </si>
  <si>
    <t>PISO_1</t>
  </si>
  <si>
    <t>9311-E01 Cafe y Bar</t>
  </si>
  <si>
    <t>Turbo Air</t>
  </si>
  <si>
    <t>TUR- 48SD-N</t>
  </si>
  <si>
    <t>Refrigerador Pallomaro Turboair 2 Puertas Modelo TUR- 48SD-N</t>
  </si>
  <si>
    <t>2023-09-12 10:03:21.000000</t>
  </si>
  <si>
    <t>cristhian_cardona@soy.sena.edu.co</t>
  </si>
  <si>
    <t>Cocina_abierta</t>
  </si>
  <si>
    <t>Refrigerador dos puerta Turbo Air Pallomaro</t>
  </si>
  <si>
    <t>2023-09-12 10:00:31.000000</t>
  </si>
  <si>
    <t>joesuarez@sena.edu.co</t>
  </si>
  <si>
    <t>BODEGA</t>
  </si>
  <si>
    <t>Almacen</t>
  </si>
  <si>
    <t>refrigerador</t>
  </si>
  <si>
    <t>2023-09-12 09:29:43.000000</t>
  </si>
  <si>
    <t>Maquina Café Expresso</t>
  </si>
  <si>
    <t>Astoria</t>
  </si>
  <si>
    <t>Patric Avan</t>
  </si>
  <si>
    <t>Maquina expresso Astoria Patric Avan</t>
  </si>
  <si>
    <t>2023-09-12 10:12:58.000000</t>
  </si>
  <si>
    <t>Refrigerador_de_uso_diario_las_24_horas</t>
  </si>
  <si>
    <t>2023-09-12 10:28:11.000000</t>
  </si>
  <si>
    <t>jfperezv@sena.edu.co</t>
  </si>
  <si>
    <t>OTROS</t>
  </si>
  <si>
    <t>MDF</t>
  </si>
  <si>
    <t>EQUIPO_TELECOMUNICACIONES</t>
  </si>
  <si>
    <t>Switch de red</t>
  </si>
  <si>
    <t>2023-09-12 10:07:40.000000</t>
  </si>
  <si>
    <t>Refrigerador_de_uso_diario_las_24_horas_del_mes</t>
  </si>
  <si>
    <t>2023-09-12 10:04:54.000000</t>
  </si>
  <si>
    <t>4.3</t>
  </si>
  <si>
    <t>refrigerador_de_uso_diario_las_24_horas</t>
  </si>
  <si>
    <t>2023-09-12 09:52:19.000000</t>
  </si>
  <si>
    <t>Limpieza y desinfeccion</t>
  </si>
  <si>
    <t>Lavaplatos Electrico</t>
  </si>
  <si>
    <t>FAGOR</t>
  </si>
  <si>
    <t>EXPORADICO</t>
  </si>
  <si>
    <t>Lavaplatos electrico Marca FAGOR agua y energia</t>
  </si>
  <si>
    <t>2023-09-12 10:08:01.000000</t>
  </si>
  <si>
    <t>adflorez672@soy.sena.edu.co</t>
  </si>
  <si>
    <t>Refrigerador_turbo_air Vertical</t>
  </si>
  <si>
    <t>2023-09-12 10:36:10.000000</t>
  </si>
  <si>
    <t>daniel.orozco3@soy.sena.edu.co</t>
  </si>
  <si>
    <t>Piso 4</t>
  </si>
  <si>
    <t>PISO_4</t>
  </si>
  <si>
    <t>OFICINA</t>
  </si>
  <si>
    <t>Sala_de_instructores</t>
  </si>
  <si>
    <t>MINI_SPLIT</t>
  </si>
  <si>
    <t>Mini Split</t>
  </si>
  <si>
    <t xml:space="preserve">Router	</t>
  </si>
  <si>
    <t>2023-09-12 10:27:04.000000</t>
  </si>
  <si>
    <t>EQUIPO_COMP_MULTIMEDIA</t>
  </si>
  <si>
    <t>COMPUTADOR_ESCRITORIO</t>
  </si>
  <si>
    <t>verificar_con_fotos</t>
  </si>
  <si>
    <t>2023-09-12 10:07:16.000000</t>
  </si>
  <si>
    <t>Pasillo_principal</t>
  </si>
  <si>
    <t>Halsey Taylor</t>
  </si>
  <si>
    <t>HTTZ</t>
  </si>
  <si>
    <t>Bebedero Enfriador de Agua Halsey Taylor modelo httz8-1b</t>
  </si>
  <si>
    <t>2023-09-12 09:52:53.000000</t>
  </si>
  <si>
    <t xml:space="preserve">Pasillo </t>
  </si>
  <si>
    <t xml:space="preserve">Halsey Taylor </t>
  </si>
  <si>
    <t>HTTZ8-1b</t>
  </si>
  <si>
    <t xml:space="preserve">Bebedero Enfriador de Agua </t>
  </si>
  <si>
    <t>2023-09-28 09:58:05.000000</t>
  </si>
  <si>
    <t>Pallomaro</t>
  </si>
  <si>
    <t xml:space="preserve">Hielera Pallomaro </t>
  </si>
  <si>
    <t>2023-09-12 09:45:49.000000</t>
  </si>
  <si>
    <t>Administración</t>
  </si>
  <si>
    <t>Electrolux</t>
  </si>
  <si>
    <t>Marca Electrolux</t>
  </si>
  <si>
    <t>2023-09-28 10:27:01.000000</t>
  </si>
  <si>
    <t>9311-E02_panadería</t>
  </si>
  <si>
    <t>TSR-49SE</t>
  </si>
  <si>
    <t>Refrigerador Turbo Air TSR-49SE</t>
  </si>
  <si>
    <t>2023-09-12 10:24:25.000000</t>
  </si>
  <si>
    <t>ILUMINACION</t>
  </si>
  <si>
    <t>LED</t>
  </si>
  <si>
    <t>Lampara redonda mediana de empotrar</t>
  </si>
  <si>
    <t>2023-09-28 10:55:37.000000</t>
  </si>
  <si>
    <t>usuario</t>
  </si>
  <si>
    <t>HORNOS</t>
  </si>
  <si>
    <t>technicook</t>
  </si>
  <si>
    <t>Horno Marca Pratica TECHNICOOK requiere energía_y_agua</t>
  </si>
  <si>
    <t>2023-09-28 10:01:21.000000</t>
  </si>
  <si>
    <t>Tostadora de Café</t>
  </si>
  <si>
    <t>Kaffemat</t>
  </si>
  <si>
    <t>Tostadora_kaffemat</t>
  </si>
  <si>
    <t>2023-09-12 09:29:35.000000</t>
  </si>
  <si>
    <t>CI-TALSA</t>
  </si>
  <si>
    <t>GFO-6C INOX</t>
  </si>
  <si>
    <t>HORNO GAS DIGITAL GFO-6C INOX - Electrica y Gas</t>
  </si>
  <si>
    <t>2023-09-28 11:24:33.000000</t>
  </si>
  <si>
    <t>Cocina_Abierta</t>
  </si>
  <si>
    <t>Extractor Industrial</t>
  </si>
  <si>
    <t>2023-09-12 09:32:42.000000</t>
  </si>
  <si>
    <t>HORNO FERMENTADOR</t>
  </si>
  <si>
    <t>Electric Prover</t>
  </si>
  <si>
    <t xml:space="preserve">PWX-13A </t>
  </si>
  <si>
    <t>Maquina Fermentadora  PWX-13A - Electrica y Agua</t>
  </si>
  <si>
    <t>2023-09-28 12:26:03.000000</t>
  </si>
  <si>
    <t>Cocina</t>
  </si>
  <si>
    <t>Cocina Personal Aseo</t>
  </si>
  <si>
    <t>ELECTRODOMESTICOS</t>
  </si>
  <si>
    <t>Estufa_Electrica_4_boquillas</t>
  </si>
  <si>
    <t>2023-09-12 09:28:43.000000</t>
  </si>
  <si>
    <t>HORNO Microondas</t>
  </si>
  <si>
    <t>SAMSUM</t>
  </si>
  <si>
    <t>AMD1114TST</t>
  </si>
  <si>
    <t>Horno_microondas SAMSUM Modelo amd1114TST</t>
  </si>
  <si>
    <t>2023-09-12 09:33:03.000000</t>
  </si>
  <si>
    <t>Cafetera</t>
  </si>
  <si>
    <t>Bunn</t>
  </si>
  <si>
    <t>Cafetera Marca BUNN</t>
  </si>
  <si>
    <t>2023-09-12 10:07:46.000000</t>
  </si>
  <si>
    <t>BAR</t>
  </si>
  <si>
    <t>HACEB</t>
  </si>
  <si>
    <t>Haceb  pequeño</t>
  </si>
  <si>
    <t>UPS</t>
  </si>
  <si>
    <t>2023-09-12 10:15:44.000000</t>
  </si>
  <si>
    <t>AMBIENTE_CONVENCIONAL</t>
  </si>
  <si>
    <t>Ambiente_9311 - E06-E07</t>
  </si>
  <si>
    <t>Led_cuadradas_en_buen_estado</t>
  </si>
  <si>
    <t>2023-09-28 10:03:52.000000</t>
  </si>
  <si>
    <t xml:space="preserve">Maquina de Café </t>
  </si>
  <si>
    <t>Practic Avant</t>
  </si>
  <si>
    <t xml:space="preserve">Máquina de café  Astoira PRATIC AVANT </t>
  </si>
  <si>
    <t>2023-09-12 10:06:08.000000</t>
  </si>
  <si>
    <t>CHALLENGER</t>
  </si>
  <si>
    <t>Challenger Refrigerador   pequeñ</t>
  </si>
  <si>
    <t>2023-09-12 10:26:22.000000</t>
  </si>
  <si>
    <t>COMPUTADOR PORTATIL</t>
  </si>
  <si>
    <t>portátil Nota, la sede tiene 25 Portatiles</t>
  </si>
  <si>
    <t>2023-09-12 09:41:36.000000</t>
  </si>
  <si>
    <t>luminarias_led_cuadradas_aproximadamente_de_48_w de empotrar</t>
  </si>
  <si>
    <t>2023-09-12 10:05:03.000000</t>
  </si>
  <si>
    <t>EQUIPOS INDUSTRIALES</t>
  </si>
  <si>
    <t>Microondas_cocina_abierta Turbo Air</t>
  </si>
  <si>
    <t>2023-09-12 09:57:18.000000</t>
  </si>
  <si>
    <t>todas_en_buen_estado led cuadrada empotrar grande</t>
  </si>
  <si>
    <t>2023-09-12 10:18:33.000000</t>
  </si>
  <si>
    <t>SAMURAI</t>
  </si>
  <si>
    <t>ventiladores marca SAMURAI</t>
  </si>
  <si>
    <t>2023-09-12 10:33:07.000000</t>
  </si>
  <si>
    <t xml:space="preserve">Nevera Marca HACEB de 219 litros </t>
  </si>
  <si>
    <t>Patch Panels</t>
  </si>
  <si>
    <t>2023-09-12 10:10:40.000000</t>
  </si>
  <si>
    <t>bombillos_clasicos_Bar_piso_2</t>
  </si>
  <si>
    <t>2023-09-28 10:15:03.000000</t>
  </si>
  <si>
    <t>Amasadora Industrial</t>
  </si>
  <si>
    <t>HS40DA</t>
  </si>
  <si>
    <t>Amasadora para masas pesadas Industrial-Hs40dA</t>
  </si>
  <si>
    <t>2023-09-12 09:57:33.000000</t>
  </si>
  <si>
    <t>Maquina de Vacio</t>
  </si>
  <si>
    <t xml:space="preserve">máquina_industrial_al_vacío Pallomaro </t>
  </si>
  <si>
    <t>2023-09-12 09:19:31.000000</t>
  </si>
  <si>
    <t>Pasillo_Principal</t>
  </si>
  <si>
    <t>8.6 Pulgadas</t>
  </si>
  <si>
    <t>Lampara redonda de Empotrar 8.6'</t>
  </si>
  <si>
    <t>2023-09-12 09:35:54.000000</t>
  </si>
  <si>
    <t>Samsung</t>
  </si>
  <si>
    <t>Computador de Escritorio Marca samsung</t>
  </si>
  <si>
    <t>2023-09-12 10:28:19.000000</t>
  </si>
  <si>
    <t>TELEVISOR</t>
  </si>
  <si>
    <t>Televisor_Samsung_Modelo_UN40H5103AK</t>
  </si>
  <si>
    <t>2023-09-12 09:39:17.000000</t>
  </si>
  <si>
    <t>IMPRESORA</t>
  </si>
  <si>
    <t>lexmar</t>
  </si>
  <si>
    <t xml:space="preserve">Marca Lexmar </t>
  </si>
  <si>
    <t>2023-09-12 09:54:09.000000</t>
  </si>
  <si>
    <t>led cuadrada de empotar</t>
  </si>
  <si>
    <t>2023-09-28 10:15:01.000000</t>
  </si>
  <si>
    <t xml:space="preserve">Batidora Industrial </t>
  </si>
  <si>
    <t>Mixer</t>
  </si>
  <si>
    <t>B20-F</t>
  </si>
  <si>
    <t>Batidora Industrial B20-F Mixer</t>
  </si>
  <si>
    <t>2023-09-28 10:42:59.000000</t>
  </si>
  <si>
    <t xml:space="preserve">Licuadora Industrial </t>
  </si>
  <si>
    <t>JTC</t>
  </si>
  <si>
    <t>Licuadora_Industrial JTC</t>
  </si>
  <si>
    <t>2023-09-12 10:17:59.000000</t>
  </si>
  <si>
    <t>OTROS_EQUIPOS</t>
  </si>
  <si>
    <t>Bascula</t>
  </si>
  <si>
    <t>pesa_sin_placa_visible_de_iso_diario_5_horas_por_día</t>
  </si>
  <si>
    <t>2023-09-12 09:24:43.000000</t>
  </si>
  <si>
    <t>Ventilador</t>
  </si>
  <si>
    <t>Kalley</t>
  </si>
  <si>
    <t xml:space="preserve">Ventilador Piso Industrial Kalley </t>
  </si>
  <si>
    <t>2023-09-12 10:19:54.000000</t>
  </si>
  <si>
    <t>Baños piso 3</t>
  </si>
  <si>
    <t>Lampara Redonda</t>
  </si>
  <si>
    <t>2023-09-12 09:28:27.000000</t>
  </si>
  <si>
    <t>lamparas_LED redonda de empotrar</t>
  </si>
  <si>
    <t>2023-09-12 09:44:07.000000</t>
  </si>
  <si>
    <t xml:space="preserve">ILUMINACION  De sobre poner </t>
  </si>
  <si>
    <t>2023-09-12 10:24:15.000000</t>
  </si>
  <si>
    <t>Luminarias_Led_Cuadradas</t>
  </si>
  <si>
    <t>2023-09-12 09:36:54.000000</t>
  </si>
  <si>
    <t>NBX</t>
  </si>
  <si>
    <t>licuadora Industrial NBK</t>
  </si>
  <si>
    <t>2023-09-12 10:16:25.000000</t>
  </si>
  <si>
    <t>Horno_Microondas Marca Samsung</t>
  </si>
  <si>
    <t>2023-09-12 10:35:57.000000</t>
  </si>
  <si>
    <t>Ventilador SAMURAI</t>
  </si>
  <si>
    <t>2023-09-12 10:39:14.000000</t>
  </si>
  <si>
    <t>2023-09-28 11:36:51.000000</t>
  </si>
  <si>
    <t>OSTER</t>
  </si>
  <si>
    <t>Licuadora_Oster</t>
  </si>
  <si>
    <t>2023-09-28 10:07:29.000000</t>
  </si>
  <si>
    <t>Samurai</t>
  </si>
  <si>
    <t>Ventilador Samurai</t>
  </si>
  <si>
    <t>2023-09-28 11:37:38.000000</t>
  </si>
  <si>
    <t>NBK</t>
  </si>
  <si>
    <t>Licuadora_nbk</t>
  </si>
  <si>
    <t>2023-09-12 09:59:37.000000</t>
  </si>
  <si>
    <t>Lampara led redonda de empotrar</t>
  </si>
  <si>
    <t>2023-09-12 10:24:36.000000</t>
  </si>
  <si>
    <t>BIBLIOTECA</t>
  </si>
  <si>
    <t>Biblioteca</t>
  </si>
  <si>
    <t>2023-09-12 09:22:36.000000</t>
  </si>
  <si>
    <t>ROUTER</t>
  </si>
  <si>
    <t>2023-09-28 12:00:46.000000</t>
  </si>
  <si>
    <t>2023-09-12 10:37:01.000000</t>
  </si>
  <si>
    <t>Pasillo</t>
  </si>
  <si>
    <t>2023-09-12 10:37:05.000000</t>
  </si>
  <si>
    <t>Camara Seguridad</t>
  </si>
  <si>
    <t>ASIS</t>
  </si>
  <si>
    <t>2023-09-12 10:29:55.000000</t>
  </si>
  <si>
    <t>Camaras Marca AXIS</t>
  </si>
  <si>
    <t>2023-09-12 10:30:01.000000</t>
  </si>
  <si>
    <t>2023-09-28 11:02:41.000000</t>
  </si>
  <si>
    <t>Lámpara_Cuadrada</t>
  </si>
  <si>
    <t>2023-09-12 09:37:57.000000</t>
  </si>
  <si>
    <t>Licuadora</t>
  </si>
  <si>
    <t>licuadora - Oster</t>
  </si>
  <si>
    <t>2023-09-28 10:02:36.000000</t>
  </si>
  <si>
    <t xml:space="preserve">Molino de Café </t>
  </si>
  <si>
    <t>Quality Express</t>
  </si>
  <si>
    <t>PQH102</t>
  </si>
  <si>
    <t xml:space="preserve">Molino Café Quality express, PQH102N </t>
  </si>
  <si>
    <t>2023-09-28 11:55:49.000000</t>
  </si>
  <si>
    <t>LG</t>
  </si>
  <si>
    <t>Televisor_LG</t>
  </si>
  <si>
    <t>2023-09-12 10:23:37.000000</t>
  </si>
  <si>
    <t>Bombillos Ahorrador</t>
  </si>
  <si>
    <t>2023-09-12 10:39:31.000000</t>
  </si>
  <si>
    <t>Hp</t>
  </si>
  <si>
    <t>Portatil Maraca H.P</t>
  </si>
  <si>
    <t>2023-09-28 11:49:09.000000</t>
  </si>
  <si>
    <t>2023-09-12 09:47:48.000000</t>
  </si>
  <si>
    <t>Baños Piso 2</t>
  </si>
  <si>
    <t>Lámpara_de_18,_baño_de_hombres</t>
  </si>
  <si>
    <t>2023-09-12 09:48:31.000000</t>
  </si>
  <si>
    <t>una_en_buen_estado_y_otra_en_mal_estado_baño_hombre</t>
  </si>
  <si>
    <t>2023-09-28 10:25:17.000000</t>
  </si>
  <si>
    <t xml:space="preserve">Laminadora de Masa </t>
  </si>
  <si>
    <t>SM-1136</t>
  </si>
  <si>
    <t>Laminadora de masa SM1136</t>
  </si>
  <si>
    <t>2023-09-12 09:38:15.000000</t>
  </si>
  <si>
    <t>Cuarto_de_aseó</t>
  </si>
  <si>
    <t>2023-09-12 10:21:47.000000</t>
  </si>
  <si>
    <t>Gramera_uso_exporadico</t>
  </si>
  <si>
    <t>2023-09-28 11:03:18.000000</t>
  </si>
  <si>
    <t>Bombillos_LED</t>
  </si>
  <si>
    <t>2023-09-12 10:25:29.000000</t>
  </si>
  <si>
    <t>UN40H5103AK</t>
  </si>
  <si>
    <t>2023-09-12 09:29:13.000000</t>
  </si>
  <si>
    <t>Fluorescente</t>
  </si>
  <si>
    <t>Lámpara_Marca_Silvania</t>
  </si>
  <si>
    <t>2023-09-28 12:24:31.000000</t>
  </si>
  <si>
    <t>Computador de escritorio</t>
  </si>
  <si>
    <t>2023-09-28 10:20:47.000000</t>
  </si>
  <si>
    <t>Kitchen-Aid</t>
  </si>
  <si>
    <t xml:space="preserve">Batidora KitchenAid Profesional </t>
  </si>
  <si>
    <t>2023-09-12 10:12:06.000000</t>
  </si>
  <si>
    <t>en_buen_estado grameras</t>
  </si>
  <si>
    <t>2023-09-28 12:25:37.000000</t>
  </si>
  <si>
    <t>Televisor Marca samsung</t>
  </si>
  <si>
    <t>2023-09-12 10:00:39.000000</t>
  </si>
  <si>
    <t>HAMILTON BEATCH</t>
  </si>
  <si>
    <t>batidora_industrial hamilton Beatch</t>
  </si>
  <si>
    <t>2023-09-12 09:35:30.000000</t>
  </si>
  <si>
    <t>Televisor SAMSUNG</t>
  </si>
  <si>
    <t>2023-09-12 10:18:36.000000</t>
  </si>
  <si>
    <t>Computador_Lenovo</t>
  </si>
  <si>
    <t>2023-09-12 09:15:54.000000</t>
  </si>
  <si>
    <t>Bañós_Administrativos</t>
  </si>
  <si>
    <t>2023-09-12 09:46:03.000000</t>
  </si>
  <si>
    <t>2023-09-12 09:49:17.000000</t>
  </si>
  <si>
    <t>vestier_de_hombres</t>
  </si>
  <si>
    <t>2023-09-28 12:00:22.000000</t>
  </si>
  <si>
    <t>VENTILADOR</t>
  </si>
  <si>
    <t>SAMURAY</t>
  </si>
  <si>
    <t>Samuray</t>
  </si>
  <si>
    <t>2023-09-12 10:34:20.000000</t>
  </si>
  <si>
    <t>Bombillo Led</t>
  </si>
  <si>
    <t>2023-09-12 10:34:22.000000</t>
  </si>
  <si>
    <t>2023-09-12 10:27:49.000000</t>
  </si>
  <si>
    <t>Lampara de Sobre Poner</t>
  </si>
  <si>
    <t>2023-09-12 09:37:30.000000</t>
  </si>
  <si>
    <t>Computador Portatil Uso exporadico</t>
  </si>
  <si>
    <t>2023-09-12 09:29:31.000000</t>
  </si>
  <si>
    <t>Batidora Industrial SPAN</t>
  </si>
  <si>
    <t>2023-09-12 09:24:17.000000</t>
  </si>
  <si>
    <t>2023-09-12 10:03:49.000000</t>
  </si>
  <si>
    <t>Hielera Marca HACEB</t>
  </si>
  <si>
    <t>2023-09-28 11:26:10.000000</t>
  </si>
  <si>
    <t>Moledor_de_carne_industrial</t>
  </si>
  <si>
    <t>2023-09-12 10:42:40.000000</t>
  </si>
  <si>
    <t>están_sin_tapa</t>
  </si>
  <si>
    <t>2023-09-28 10:57:56.000000</t>
  </si>
  <si>
    <t>Licuadora Industrial</t>
  </si>
  <si>
    <t>Licuadora_Industrial</t>
  </si>
  <si>
    <t>2023-09-12 10:20:51.000000</t>
  </si>
  <si>
    <t>2023-09-28 12:04:39.000000</t>
  </si>
  <si>
    <t>Pasillo_Interno</t>
  </si>
  <si>
    <t xml:space="preserve">Iluminacion led redonda </t>
  </si>
  <si>
    <t>2023-09-28 10:53:19.000000</t>
  </si>
  <si>
    <t>Cortadora de Carne Industrial</t>
  </si>
  <si>
    <t>Cortadora_de_Carne_industrial_marca_pallomaro</t>
  </si>
  <si>
    <t>2023-09-28 12:16:57.000000</t>
  </si>
  <si>
    <t>SEMANAL</t>
  </si>
  <si>
    <t>2023-09-12 09:50:49.000000</t>
  </si>
  <si>
    <t>MENSUAL</t>
  </si>
  <si>
    <t>Televisor 65 Pulgadas</t>
  </si>
  <si>
    <t>2023-09-12 09:56:24.000000</t>
  </si>
  <si>
    <t>bañó_de_mujeres_cocina_2_piso</t>
  </si>
  <si>
    <t>2023-09-28 10:39:02.000000</t>
  </si>
  <si>
    <t>OHAUS</t>
  </si>
  <si>
    <t>Bascula 6v_a_400mA</t>
  </si>
  <si>
    <t>2023-09-12 10:15:04.000000</t>
  </si>
  <si>
    <t>SIN_USO</t>
  </si>
  <si>
    <t>Refrigerador_sin_uso_debido_a_que_esta_dañado</t>
  </si>
  <si>
    <t>2023-09-28 10:03:18.000000</t>
  </si>
  <si>
    <t>Molino</t>
  </si>
  <si>
    <t>Cunill</t>
  </si>
  <si>
    <t>Molino_cunill_no_lo_utilizan</t>
  </si>
  <si>
    <t>2023-09-28 10:25:37.000000</t>
  </si>
  <si>
    <t>Estufa Electrica</t>
  </si>
  <si>
    <t>Estufa__Industrial_Electrica_sin_uso</t>
  </si>
  <si>
    <t>2023-09-12 09:52:52.000000</t>
  </si>
  <si>
    <t>TSR-23SD</t>
  </si>
  <si>
    <t>refrigerador_turbo_air SIN USO</t>
  </si>
  <si>
    <t>2023-09-12 10:34:49.000000</t>
  </si>
  <si>
    <t>Sin Uso</t>
  </si>
  <si>
    <t xml:space="preserve">Subcategoria  de equipos </t>
  </si>
  <si>
    <t>Potencial de Consumo energetico 
KWH x MES</t>
  </si>
  <si>
    <t>Potencial de Consumo energetico 
%</t>
  </si>
  <si>
    <t>EQUIPO_INDUSTRIAL</t>
  </si>
  <si>
    <t>EQUIPO_DE_LABORATORIO</t>
  </si>
  <si>
    <t>HERRAMIENTAS</t>
  </si>
  <si>
    <t>TOTAL</t>
  </si>
  <si>
    <t>Potencial de Consumo por subcategoria de Equipos
%</t>
  </si>
  <si>
    <t>Nombre del ambiente</t>
  </si>
  <si>
    <t>Bloque</t>
  </si>
  <si>
    <t>Mes</t>
  </si>
  <si>
    <t>Año 2022 
Consumo energía activa (KWh)</t>
  </si>
  <si>
    <t>Año 2023
Consumo energía activa (KWh)</t>
  </si>
  <si>
    <t>Ocupacion
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</si>
  <si>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</si>
  <si>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</si>
  <si>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</si>
  <si>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</si>
  <si>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</si>
  <si>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</si>
  <si>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</si>
  <si>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</si>
  <si>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</si>
  <si>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</si>
  <si>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</si>
  <si>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</si>
  <si>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Ocupacion # Personas
2023</t>
  </si>
  <si>
    <t>Año 2022
Consumo Agua  (m3)</t>
  </si>
  <si>
    <t>Año 2023
Consumo Agua  (m3)</t>
  </si>
  <si>
    <t>Fecha</t>
  </si>
  <si>
    <t xml:space="preserve"> </t>
  </si>
  <si>
    <t>tipo_ambiente</t>
  </si>
  <si>
    <t>nombre_ambiente</t>
  </si>
  <si>
    <t>categoria_base</t>
  </si>
  <si>
    <t>subcategoria</t>
  </si>
  <si>
    <t>cantidad</t>
  </si>
  <si>
    <t>frecuencia_uso</t>
  </si>
  <si>
    <t>tipo_apertura</t>
  </si>
  <si>
    <t>Litros/descarga</t>
  </si>
  <si>
    <t>l/minuto</t>
  </si>
  <si>
    <t>Promedio Descargas por dia</t>
  </si>
  <si>
    <t>Promedio minutos por dia</t>
  </si>
  <si>
    <t>Numero de dias al mes</t>
  </si>
  <si>
    <t>Consumo por
 mes m3</t>
  </si>
  <si>
    <t>2023-09-12 09:44:38.000000</t>
  </si>
  <si>
    <t>Baño Hombres 1</t>
  </si>
  <si>
    <t>BAÑOS</t>
  </si>
  <si>
    <t>DUCHA</t>
  </si>
  <si>
    <t>MANUAL</t>
  </si>
  <si>
    <t>2023-09-12 09:48:23.000000</t>
  </si>
  <si>
    <t>Baño Mujeres 1</t>
  </si>
  <si>
    <t>2023-09-12 10:35:20.000000</t>
  </si>
  <si>
    <t>sala_de_instructores</t>
  </si>
  <si>
    <t>Fuera de Servicio</t>
  </si>
  <si>
    <t>2023-09-12 09:14:25.000000</t>
  </si>
  <si>
    <t>Baño para Administrativos</t>
  </si>
  <si>
    <t>LAVAMANOS</t>
  </si>
  <si>
    <t>Fluxometro</t>
  </si>
  <si>
    <t>2023-09-12 09:47:09.000000</t>
  </si>
  <si>
    <t>2023-09-12 09:55:34.000000</t>
  </si>
  <si>
    <t>2023-09-12 09:57:31.000000</t>
  </si>
  <si>
    <t>Baño Mujeres 2</t>
  </si>
  <si>
    <t>2023-09-12 10:36:20.000000</t>
  </si>
  <si>
    <t>2023-09-28 11:47:03.000000</t>
  </si>
  <si>
    <t xml:space="preserve">LAVAMANOS </t>
  </si>
  <si>
    <t>Baño Hombres 2</t>
  </si>
  <si>
    <t>2023-09-12 10:09:45.000000</t>
  </si>
  <si>
    <t>LAVAPLATOS</t>
  </si>
  <si>
    <t>2023-09-28 10:50:53.000000</t>
  </si>
  <si>
    <t>piso_1</t>
  </si>
  <si>
    <t>Lavaplatos</t>
  </si>
  <si>
    <t>2023-09-28 11:13:03.000000</t>
  </si>
  <si>
    <t>limpieza_y_definición</t>
  </si>
  <si>
    <t>2023-09-28 11:15:49.000000</t>
  </si>
  <si>
    <t>2023-09-28 11:16:27.000000</t>
  </si>
  <si>
    <t>2023-09-28 11:19:10.000000</t>
  </si>
  <si>
    <t>2023-09-12 09:45:24.000000</t>
  </si>
  <si>
    <t>ORINAL</t>
  </si>
  <si>
    <t>2023-09-12 09:57:10.000000</t>
  </si>
  <si>
    <t>2023-09-12 09:46:20.000000</t>
  </si>
  <si>
    <t>SANITARIO</t>
  </si>
  <si>
    <t>2023-09-12 09:46:49.000000</t>
  </si>
  <si>
    <t>2023-09-12 09:55:13.000000</t>
  </si>
  <si>
    <t>2023-09-12 10:36:02.000000</t>
  </si>
  <si>
    <t>Convencional</t>
  </si>
  <si>
    <t>Ocupacion Diaria Promedio</t>
  </si>
  <si>
    <t>Total lavamanos</t>
  </si>
  <si>
    <t>Usuario por orinal</t>
  </si>
  <si>
    <t xml:space="preserve">80% de uso </t>
  </si>
  <si>
    <t>Numero de descargas por usurio</t>
  </si>
  <si>
    <t>Total Orinales</t>
  </si>
  <si>
    <t>Total Sanitarios</t>
  </si>
  <si>
    <t>Usuario por sanitario</t>
  </si>
  <si>
    <t>Numero de descargas por usuario</t>
  </si>
  <si>
    <t>Uso del Agua</t>
  </si>
  <si>
    <t>Potencial  de consumo m3 por mes</t>
  </si>
  <si>
    <t>Lavamanos</t>
  </si>
  <si>
    <t>Orinales</t>
  </si>
  <si>
    <t>Sanitarios</t>
  </si>
  <si>
    <t>Duchas</t>
  </si>
  <si>
    <t>Categoria</t>
  </si>
  <si>
    <t xml:space="preserve">Consumo mes Teorico (m3)
</t>
  </si>
  <si>
    <t>Porcentaje Consumo en un mes  Teorico
%</t>
  </si>
  <si>
    <t>Consumo Agua en un mes según factura
m3</t>
  </si>
  <si>
    <t>Estimado Consumo Agua en al año
(m3)</t>
  </si>
  <si>
    <t>Ahorro de un 30%  al año ( m3)</t>
  </si>
  <si>
    <t>Costo /mes
$2933 m3</t>
  </si>
  <si>
    <t>Costo /año
$2933 m3</t>
  </si>
  <si>
    <t>Ahorro de un 30%  al año
$$</t>
  </si>
  <si>
    <t>Lavaderos generales</t>
  </si>
  <si>
    <t xml:space="preserve">Consumo mes Total Teorico </t>
  </si>
  <si>
    <t>Consumo Promedio Facturas</t>
  </si>
  <si>
    <t>correo</t>
  </si>
  <si>
    <t>centro</t>
  </si>
  <si>
    <t>sede</t>
  </si>
  <si>
    <t>PISO</t>
  </si>
  <si>
    <t xml:space="preserve">Marca </t>
  </si>
  <si>
    <t>Referencia</t>
  </si>
  <si>
    <t>horas de uso diario</t>
  </si>
  <si>
    <t>Dias al mes</t>
  </si>
  <si>
    <t>BTU/h Capacidad al 60%</t>
  </si>
  <si>
    <t>Consumo gas en m3/hora 
Poder Calorifico = 39683,2 BTU/m3</t>
  </si>
  <si>
    <t>m3/mes</t>
  </si>
  <si>
    <t>Consumo Equivalente en KWh</t>
  </si>
  <si>
    <t>Observaciones</t>
  </si>
  <si>
    <t xml:space="preserve">TALLER </t>
  </si>
  <si>
    <t>9311-E02 panadería</t>
  </si>
  <si>
    <t>Equipo Industrial</t>
  </si>
  <si>
    <t xml:space="preserve">Estufa Industrial Pallomaro 4 boquillas </t>
  </si>
  <si>
    <t>2023-09-28 10:21:50.000000</t>
  </si>
  <si>
    <t>PISO 1</t>
  </si>
  <si>
    <t xml:space="preserve">Equipo Indutrial </t>
  </si>
  <si>
    <t>Estufa Gas</t>
  </si>
  <si>
    <t>Estufa Industrial Pallomaro 2 boquillas  - Sin Uso</t>
  </si>
  <si>
    <t>2023-09-28 10:25:01.000000</t>
  </si>
  <si>
    <t xml:space="preserve">SIN USO </t>
  </si>
  <si>
    <t>Parrilla_industrial_gas</t>
  </si>
  <si>
    <t>2023-09-28 11:28:53.000000</t>
  </si>
  <si>
    <t>PISO 2</t>
  </si>
  <si>
    <t>Parrilla Gas</t>
  </si>
  <si>
    <t>Estufa_industrial_de_4_boquillas</t>
  </si>
  <si>
    <t>2023-09-28 11:20:57.000000</t>
  </si>
  <si>
    <t>Estufas_industriales_de_4_boquillas_a_gas</t>
  </si>
  <si>
    <t>2023-09-28 10:53:07.000000</t>
  </si>
  <si>
    <t>E04-9311 Cocina cerrada</t>
  </si>
  <si>
    <t>Artefacto</t>
  </si>
  <si>
    <t>Consumo m3/mes</t>
  </si>
  <si>
    <t>Consumo KW/mes</t>
  </si>
  <si>
    <t>Combustible</t>
  </si>
  <si>
    <t>Frecuencia_uso</t>
  </si>
  <si>
    <t>Potencia KW
SALIDA</t>
  </si>
  <si>
    <t>voltaje (V)</t>
  </si>
  <si>
    <t>2023-09-12 10:37:20.000000</t>
  </si>
  <si>
    <t>Planta Electrica</t>
  </si>
  <si>
    <t>PLATA_ELECTRICA</t>
  </si>
  <si>
    <t>DIESEL</t>
  </si>
  <si>
    <t>ENERMAX</t>
  </si>
  <si>
    <t>GDL135 SS-MA</t>
  </si>
  <si>
    <t>127 /240</t>
  </si>
  <si>
    <t>CATEGORÍA BASE</t>
  </si>
  <si>
    <t>SUBCATEGORÍA</t>
  </si>
  <si>
    <t>CANTIDAD</t>
  </si>
  <si>
    <t>NO. HORAS DÍA</t>
  </si>
  <si>
    <t>NO. DE HORAS AL MES</t>
  </si>
  <si>
    <t>POTENCIA
EN W</t>
  </si>
  <si>
    <t>ENERGÍA TOTAL MES</t>
  </si>
  <si>
    <t>KWH</t>
  </si>
  <si>
    <t>Aire Acondicionado</t>
  </si>
  <si>
    <t>Piso Techo</t>
  </si>
  <si>
    <t>Energia Total Consumida por los Aires Acondicionados en un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</si>
</sst>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"/>
    <numFmt numFmtId="165" formatCode="_-&quot;$&quot;\ * #,##0_-;\-&quot;$&quot;\ * #,##0_-;_-&quot;$&quot;\ * &quot;-&quot;??_-;_-@_-"/>
    <numFmt numFmtId="166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63238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mbria"/>
      <family val="1"/>
    </font>
    <font>
      <b/>
      <sz val="9"/>
      <color rgb="FF000000"/>
      <name val="Cambria"/>
      <family val="1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0" xfId="0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5" borderId="0" xfId="0" applyFill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37" borderId="0" xfId="0" applyFill="1"/>
    <xf numFmtId="0" fontId="0" fillId="35" borderId="12" xfId="0" applyFill="1" applyBorder="1"/>
    <xf numFmtId="0" fontId="0" fillId="33" borderId="13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33" borderId="19" xfId="0" applyFill="1" applyBorder="1" applyAlignment="1">
      <alignment horizontal="center" vertical="center"/>
    </xf>
    <xf numFmtId="0" fontId="0" fillId="35" borderId="11" xfId="0" applyFill="1" applyBorder="1"/>
    <xf numFmtId="0" fontId="0" fillId="35" borderId="14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3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33" borderId="13" xfId="0" applyFill="1" applyBorder="1" applyAlignment="1">
      <alignment horizontal="left" vertical="center"/>
    </xf>
    <xf numFmtId="0" fontId="0" fillId="33" borderId="15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33" borderId="15" xfId="0" applyFill="1" applyBorder="1" applyAlignment="1">
      <alignment horizontal="left" vertical="center"/>
    </xf>
    <xf numFmtId="3" fontId="0" fillId="0" borderId="12" xfId="0" applyNumberFormat="1" applyBorder="1" applyAlignment="1">
      <alignment horizontal="center"/>
    </xf>
    <xf numFmtId="3" fontId="0" fillId="0" borderId="12" xfId="0" applyNumberFormat="1" applyBorder="1" applyAlignment="1">
      <alignment horizontal="center" vertical="center"/>
    </xf>
    <xf numFmtId="0" fontId="0" fillId="35" borderId="18" xfId="0" applyFill="1" applyBorder="1"/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/>
    </xf>
    <xf numFmtId="0" fontId="0" fillId="0" borderId="0" xfId="0" applyAlignment="1">
      <alignment wrapText="1"/>
    </xf>
    <xf numFmtId="0" fontId="0" fillId="33" borderId="15" xfId="0" applyFill="1" applyBorder="1" applyAlignment="1">
      <alignment vertical="center"/>
    </xf>
    <xf numFmtId="0" fontId="0" fillId="33" borderId="15" xfId="0" applyFill="1" applyBorder="1" applyAlignment="1">
      <alignment vertical="center" wrapText="1"/>
    </xf>
    <xf numFmtId="164" fontId="0" fillId="0" borderId="12" xfId="0" applyNumberFormat="1" applyBorder="1"/>
    <xf numFmtId="2" fontId="0" fillId="0" borderId="12" xfId="0" applyNumberFormat="1" applyBorder="1"/>
    <xf numFmtId="0" fontId="0" fillId="0" borderId="12" xfId="0" applyBorder="1" applyAlignment="1">
      <alignment vertical="center"/>
    </xf>
    <xf numFmtId="0" fontId="16" fillId="0" borderId="12" xfId="0" applyFont="1" applyBorder="1"/>
    <xf numFmtId="0" fontId="0" fillId="33" borderId="15" xfId="0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33" borderId="22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1" fontId="0" fillId="41" borderId="12" xfId="0" applyNumberFormat="1" applyFill="1" applyBorder="1"/>
    <xf numFmtId="0" fontId="16" fillId="40" borderId="12" xfId="0" applyFont="1" applyFill="1" applyBorder="1" applyAlignment="1">
      <alignment vertical="center" wrapText="1"/>
    </xf>
    <xf numFmtId="0" fontId="16" fillId="0" borderId="12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/>
    </xf>
    <xf numFmtId="0" fontId="16" fillId="40" borderId="12" xfId="0" applyFont="1" applyFill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/>
    </xf>
    <xf numFmtId="0" fontId="16" fillId="40" borderId="12" xfId="0" applyFont="1" applyFill="1" applyBorder="1"/>
    <xf numFmtId="165" fontId="16" fillId="0" borderId="12" xfId="42" applyNumberFormat="1" applyFont="1" applyBorder="1"/>
    <xf numFmtId="165" fontId="0" fillId="0" borderId="12" xfId="0" applyNumberFormat="1" applyBorder="1"/>
    <xf numFmtId="0" fontId="0" fillId="33" borderId="12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left" vertical="center" wrapText="1"/>
    </xf>
    <xf numFmtId="0" fontId="22" fillId="42" borderId="35" xfId="0" applyFont="1" applyFill="1" applyBorder="1" applyAlignment="1">
      <alignment horizontal="center" vertical="center" wrapText="1"/>
    </xf>
    <xf numFmtId="0" fontId="22" fillId="42" borderId="31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16" fillId="43" borderId="30" xfId="0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top"/>
    </xf>
    <xf numFmtId="0" fontId="16" fillId="43" borderId="0" xfId="0" applyFont="1" applyFill="1" applyAlignment="1">
      <alignment horizontal="center" vertical="center" wrapText="1"/>
    </xf>
    <xf numFmtId="0" fontId="0" fillId="0" borderId="41" xfId="0" applyBorder="1"/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43" borderId="2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16" fillId="44" borderId="30" xfId="0" applyFont="1" applyFill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/>
    </xf>
    <xf numFmtId="0" fontId="16" fillId="44" borderId="30" xfId="0" applyFont="1" applyFill="1" applyBorder="1" applyAlignment="1">
      <alignment vertical="center"/>
    </xf>
    <xf numFmtId="0" fontId="16" fillId="44" borderId="12" xfId="0" applyFont="1" applyFill="1" applyBorder="1" applyAlignment="1">
      <alignment horizontal="center" vertical="center" wrapText="1"/>
    </xf>
    <xf numFmtId="3" fontId="0" fillId="35" borderId="10" xfId="0" applyNumberForma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0" fontId="0" fillId="33" borderId="11" xfId="0" applyFill="1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vertical="center" wrapText="1"/>
    </xf>
    <xf numFmtId="0" fontId="0" fillId="33" borderId="14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44" borderId="12" xfId="0" applyFill="1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35" borderId="38" xfId="0" applyFill="1" applyBorder="1" applyAlignment="1">
      <alignment horizontal="left"/>
    </xf>
    <xf numFmtId="0" fontId="0" fillId="35" borderId="46" xfId="0" applyFill="1" applyBorder="1" applyAlignment="1">
      <alignment horizontal="left"/>
    </xf>
    <xf numFmtId="2" fontId="0" fillId="0" borderId="46" xfId="0" applyNumberFormat="1" applyBorder="1" applyAlignment="1">
      <alignment horizontal="center"/>
    </xf>
    <xf numFmtId="0" fontId="16" fillId="44" borderId="25" xfId="0" applyFont="1" applyFill="1" applyBorder="1" applyAlignment="1">
      <alignment horizontal="right"/>
    </xf>
    <xf numFmtId="164" fontId="16" fillId="44" borderId="23" xfId="0" applyNumberFormat="1" applyFont="1" applyFill="1" applyBorder="1" applyAlignment="1">
      <alignment horizontal="center"/>
    </xf>
    <xf numFmtId="0" fontId="16" fillId="44" borderId="30" xfId="0" applyFont="1" applyFill="1" applyBorder="1" applyAlignment="1">
      <alignment horizontal="right" vertical="center" wrapText="1"/>
    </xf>
    <xf numFmtId="166" fontId="0" fillId="0" borderId="40" xfId="0" applyNumberFormat="1" applyBorder="1" applyAlignment="1">
      <alignment horizontal="right"/>
    </xf>
    <xf numFmtId="166" fontId="0" fillId="0" borderId="36" xfId="0" applyNumberFormat="1" applyBorder="1" applyAlignment="1">
      <alignment horizontal="right"/>
    </xf>
    <xf numFmtId="166" fontId="16" fillId="44" borderId="30" xfId="0" applyNumberFormat="1" applyFont="1" applyFill="1" applyBorder="1" applyAlignment="1">
      <alignment horizontal="right"/>
    </xf>
    <xf numFmtId="0" fontId="16" fillId="44" borderId="32" xfId="0" applyFont="1" applyFill="1" applyBorder="1" applyAlignment="1">
      <alignment horizontal="center" vertical="center" wrapText="1"/>
    </xf>
    <xf numFmtId="0" fontId="16" fillId="44" borderId="34" xfId="0" applyFont="1" applyFill="1" applyBorder="1" applyAlignment="1">
      <alignment vertical="center"/>
    </xf>
    <xf numFmtId="0" fontId="0" fillId="0" borderId="41" xfId="0" applyBorder="1" applyAlignment="1">
      <alignment horizontal="left"/>
    </xf>
    <xf numFmtId="0" fontId="0" fillId="35" borderId="41" xfId="0" applyFill="1" applyBorder="1" applyAlignment="1">
      <alignment horizontal="left"/>
    </xf>
    <xf numFmtId="0" fontId="0" fillId="44" borderId="29" xfId="0" applyFill="1" applyBorder="1" applyAlignment="1">
      <alignment horizontal="left"/>
    </xf>
    <xf numFmtId="2" fontId="0" fillId="0" borderId="38" xfId="42" applyNumberFormat="1" applyFont="1" applyBorder="1" applyAlignment="1">
      <alignment horizontal="center"/>
    </xf>
    <xf numFmtId="2" fontId="0" fillId="44" borderId="27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/>
    <xf numFmtId="0" fontId="16" fillId="0" borderId="0" xfId="0" applyFont="1" applyAlignment="1">
      <alignment horizontal="right"/>
    </xf>
    <xf numFmtId="0" fontId="16" fillId="0" borderId="30" xfId="0" applyFont="1" applyBorder="1" applyAlignment="1">
      <alignment horizontal="center"/>
    </xf>
    <xf numFmtId="2" fontId="16" fillId="0" borderId="23" xfId="0" applyNumberFormat="1" applyFon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0" fontId="16" fillId="43" borderId="30" xfId="0" applyFont="1" applyFill="1" applyBorder="1" applyAlignment="1">
      <alignment horizontal="center" vertical="center"/>
    </xf>
    <xf numFmtId="0" fontId="16" fillId="43" borderId="23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/>
    <xf numFmtId="0" fontId="16" fillId="43" borderId="24" xfId="0" applyFont="1" applyFill="1" applyBorder="1" applyAlignment="1">
      <alignment horizontal="center" vertical="center" wrapText="1"/>
    </xf>
    <xf numFmtId="166" fontId="0" fillId="0" borderId="47" xfId="0" applyNumberFormat="1" applyBorder="1" applyAlignment="1">
      <alignment horizontal="center"/>
    </xf>
    <xf numFmtId="166" fontId="0" fillId="0" borderId="48" xfId="0" applyNumberFormat="1" applyBorder="1" applyAlignment="1">
      <alignment horizontal="center"/>
    </xf>
    <xf numFmtId="166" fontId="0" fillId="0" borderId="49" xfId="0" applyNumberFormat="1" applyBorder="1" applyAlignment="1">
      <alignment horizontal="center"/>
    </xf>
    <xf numFmtId="166" fontId="0" fillId="0" borderId="37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6" fontId="23" fillId="0" borderId="25" xfId="0" applyNumberFormat="1" applyFont="1" applyBorder="1" applyAlignment="1">
      <alignment horizontal="center"/>
    </xf>
    <xf numFmtId="166" fontId="23" fillId="0" borderId="30" xfId="0" applyNumberFormat="1" applyFont="1" applyBorder="1" applyAlignment="1">
      <alignment horizontal="center"/>
    </xf>
    <xf numFmtId="0" fontId="16" fillId="44" borderId="37" xfId="0" applyFont="1" applyFill="1" applyBorder="1" applyAlignment="1">
      <alignment vertical="center"/>
    </xf>
    <xf numFmtId="0" fontId="16" fillId="44" borderId="37" xfId="0" applyFont="1" applyFill="1" applyBorder="1" applyAlignment="1">
      <alignment horizontal="center" vertical="center" wrapText="1"/>
    </xf>
    <xf numFmtId="4" fontId="0" fillId="0" borderId="38" xfId="42" applyNumberFormat="1" applyFont="1" applyBorder="1" applyAlignment="1">
      <alignment horizontal="right"/>
    </xf>
    <xf numFmtId="0" fontId="0" fillId="0" borderId="46" xfId="0" applyBorder="1"/>
    <xf numFmtId="4" fontId="0" fillId="0" borderId="46" xfId="42" applyNumberFormat="1" applyFont="1" applyBorder="1" applyAlignment="1">
      <alignment horizontal="right"/>
    </xf>
    <xf numFmtId="0" fontId="16" fillId="0" borderId="30" xfId="0" applyFont="1" applyBorder="1"/>
    <xf numFmtId="4" fontId="23" fillId="0" borderId="30" xfId="0" applyNumberFormat="1" applyFont="1" applyBorder="1" applyAlignment="1">
      <alignment horizontal="right"/>
    </xf>
    <xf numFmtId="166" fontId="0" fillId="0" borderId="12" xfId="0" applyNumberFormat="1" applyBorder="1" applyAlignment="1">
      <alignment horizontal="center"/>
    </xf>
    <xf numFmtId="166" fontId="0" fillId="0" borderId="12" xfId="0" applyNumberFormat="1" applyBorder="1"/>
    <xf numFmtId="0" fontId="0" fillId="43" borderId="12" xfId="0" applyFill="1" applyBorder="1" applyAlignment="1">
      <alignment horizontal="center" vertical="center"/>
    </xf>
    <xf numFmtId="0" fontId="0" fillId="43" borderId="12" xfId="0" applyFill="1" applyBorder="1" applyAlignment="1">
      <alignment horizontal="center"/>
    </xf>
    <xf numFmtId="0" fontId="0" fillId="35" borderId="12" xfId="0" applyFill="1" applyBorder="1" applyAlignment="1">
      <alignment horizontal="center" vertical="center"/>
    </xf>
    <xf numFmtId="3" fontId="0" fillId="35" borderId="12" xfId="0" applyNumberFormat="1" applyFill="1" applyBorder="1" applyAlignment="1">
      <alignment horizontal="center"/>
    </xf>
    <xf numFmtId="3" fontId="0" fillId="35" borderId="12" xfId="0" applyNumberFormat="1" applyFill="1" applyBorder="1" applyAlignment="1">
      <alignment horizontal="center" vertical="center"/>
    </xf>
    <xf numFmtId="0" fontId="0" fillId="0" borderId="20" xfId="0" applyBorder="1"/>
    <xf numFmtId="0" fontId="0" fillId="0" borderId="18" xfId="0" applyBorder="1"/>
    <xf numFmtId="0" fontId="0" fillId="0" borderId="18" xfId="0" applyBorder="1" applyAlignment="1">
      <alignment wrapText="1"/>
    </xf>
    <xf numFmtId="0" fontId="0" fillId="33" borderId="51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0" borderId="54" xfId="0" applyBorder="1"/>
    <xf numFmtId="0" fontId="0" fillId="0" borderId="15" xfId="0" applyBorder="1"/>
    <xf numFmtId="0" fontId="0" fillId="0" borderId="22" xfId="0" applyBorder="1"/>
    <xf numFmtId="49" fontId="0" fillId="33" borderId="16" xfId="0" applyNumberFormat="1" applyFill="1" applyBorder="1" applyAlignment="1">
      <alignment horizontal="center" vertical="center"/>
    </xf>
    <xf numFmtId="49" fontId="0" fillId="0" borderId="12" xfId="0" applyNumberFormat="1" applyBorder="1"/>
    <xf numFmtId="49" fontId="0" fillId="0" borderId="15" xfId="0" applyNumberFormat="1" applyBorder="1"/>
    <xf numFmtId="49" fontId="0" fillId="0" borderId="0" xfId="0" applyNumberFormat="1"/>
    <xf numFmtId="49" fontId="0" fillId="33" borderId="16" xfId="0" applyNumberFormat="1" applyFill="1" applyBorder="1" applyAlignment="1">
      <alignment horizontal="center" vertical="center" wrapText="1"/>
    </xf>
    <xf numFmtId="49" fontId="0" fillId="39" borderId="16" xfId="0" applyNumberFormat="1" applyFill="1" applyBorder="1" applyAlignment="1">
      <alignment horizontal="center" vertical="center"/>
    </xf>
    <xf numFmtId="49" fontId="0" fillId="38" borderId="16" xfId="0" applyNumberFormat="1" applyFill="1" applyBorder="1" applyAlignment="1">
      <alignment horizontal="center"/>
    </xf>
    <xf numFmtId="49" fontId="0" fillId="38" borderId="5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/>
    </xf>
    <xf numFmtId="49" fontId="0" fillId="0" borderId="15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2" fontId="0" fillId="36" borderId="16" xfId="0" applyNumberForma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1" fontId="0" fillId="36" borderId="16" xfId="0" applyNumberFormat="1" applyFill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top"/>
    </xf>
    <xf numFmtId="1" fontId="0" fillId="0" borderId="1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1" fontId="0" fillId="33" borderId="16" xfId="0" applyNumberFormat="1" applyFill="1" applyBorder="1" applyAlignment="1">
      <alignment horizontal="center" vertical="center"/>
    </xf>
    <xf numFmtId="1" fontId="0" fillId="0" borderId="12" xfId="0" applyNumberFormat="1" applyBorder="1"/>
    <xf numFmtId="2" fontId="0" fillId="33" borderId="16" xfId="0" applyNumberForma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5" borderId="55" xfId="0" applyFill="1" applyBorder="1"/>
    <xf numFmtId="0" fontId="0" fillId="35" borderId="56" xfId="0" applyFill="1" applyBorder="1"/>
    <xf numFmtId="0" fontId="0" fillId="0" borderId="18" xfId="0" applyBorder="1" applyAlignment="1">
      <alignment horizontal="center"/>
    </xf>
    <xf numFmtId="0" fontId="23" fillId="0" borderId="25" xfId="0" applyFont="1" applyBorder="1" applyAlignment="1">
      <alignment horizontal="right"/>
    </xf>
    <xf numFmtId="0" fontId="23" fillId="0" borderId="24" xfId="0" applyFont="1" applyBorder="1" applyAlignment="1">
      <alignment horizontal="right"/>
    </xf>
    <xf numFmtId="0" fontId="16" fillId="0" borderId="25" xfId="0" applyFont="1" applyBorder="1" applyAlignment="1">
      <alignment horizontal="right"/>
    </xf>
    <xf numFmtId="0" fontId="16" fillId="0" borderId="23" xfId="0" applyFont="1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0" xfId="0" applyAlignment="1">
      <alignment horizontal="center"/>
    </xf>
    <xf numFmtId="0" fontId="16" fillId="44" borderId="1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16" fillId="40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41" borderId="20" xfId="0" applyFill="1" applyBorder="1" applyAlignment="1">
      <alignment horizontal="left" wrapText="1"/>
    </xf>
    <xf numFmtId="0" fontId="0" fillId="41" borderId="12" xfId="0" applyFill="1" applyBorder="1" applyAlignment="1">
      <alignment horizontal="left" wrapText="1"/>
    </xf>
    <xf numFmtId="0" fontId="16" fillId="0" borderId="24" xfId="0" applyFont="1" applyBorder="1" applyAlignment="1">
      <alignment horizontal="right"/>
    </xf>
    <xf numFmtId="0" fontId="22" fillId="42" borderId="32" xfId="0" applyFont="1" applyFill="1" applyBorder="1" applyAlignment="1">
      <alignment horizontal="center" vertical="center" wrapText="1"/>
    </xf>
    <xf numFmtId="0" fontId="22" fillId="42" borderId="36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8"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Potencial de Consumo energético 
KWH x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18-483B-8CC2-01D20513521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418-483B-8CC2-01D20513521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418-483B-8CC2-01D20513521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418-483B-8CC2-01D20513521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418-483B-8CC2-01D20513521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418-483B-8CC2-01D20513521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9C-44BC-BDC5-18F207980EE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9C-44BC-BDC5-18F207980EE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9C-44BC-BDC5-18F207980E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Categoria!$B$2:$B$10</c:f>
              <c:strCache>
                <c:ptCount val="9"/>
                <c:pt idx="0">
                  <c:v>EQUIPO_INDUSTRIAL</c:v>
                </c:pt>
                <c:pt idx="1">
                  <c:v>AIRE_ACONDICIONADO</c:v>
                </c:pt>
                <c:pt idx="2">
                  <c:v>ILUMINACION</c:v>
                </c:pt>
                <c:pt idx="3">
                  <c:v>EQUIPO_COMP_MULTIMEDIA</c:v>
                </c:pt>
                <c:pt idx="4">
                  <c:v>EQUIPO_TELECOMUNICACIONES</c:v>
                </c:pt>
                <c:pt idx="5">
                  <c:v>OTROS_EQUIPOS</c:v>
                </c:pt>
                <c:pt idx="6">
                  <c:v>ELECTRODOMESTICOS</c:v>
                </c:pt>
                <c:pt idx="7">
                  <c:v>EQUIPO_DE_LABORATORIO</c:v>
                </c:pt>
                <c:pt idx="8">
                  <c:v>HERRAMIENTAS</c:v>
                </c:pt>
              </c:strCache>
            </c:strRef>
          </c:cat>
          <c:val>
            <c:numRef>
              <c:f>Categoria!$C$2:$C$10</c:f>
              <c:numCache>
                <c:formatCode>#,##0.0</c:formatCode>
                <c:ptCount val="9"/>
                <c:pt idx="0">
                  <c:v>8332.6439999999966</c:v>
                </c:pt>
                <c:pt idx="1">
                  <c:v>1446.4</c:v>
                </c:pt>
                <c:pt idx="2">
                  <c:v>574.65200000000004</c:v>
                </c:pt>
                <c:pt idx="3">
                  <c:v>496.90349999999995</c:v>
                </c:pt>
                <c:pt idx="4">
                  <c:v>1009.44</c:v>
                </c:pt>
                <c:pt idx="5">
                  <c:v>27.951999999999998</c:v>
                </c:pt>
                <c:pt idx="6">
                  <c:v>321.54700000000003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18-483B-8CC2-01D2051352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0729722679194"/>
          <c:y val="0.22717878546607481"/>
          <c:w val="0.39449400195746964"/>
          <c:h val="0.613411929158836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Energía activa KWH x mes </a:t>
            </a:r>
          </a:p>
          <a:p>
            <a:pPr>
              <a:defRPr sz="1600" cap="all" spc="120" normalizeH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s-CO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2022 - 2023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Fac_Energia!$B$1</c:f>
              <c:strCache>
                <c:ptCount val="1"/>
                <c:pt idx="0">
                  <c:v>Año 2022 
Consumo energía activa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Fac_Energia!$A$2:$A$13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Fac_Energia!$B$2:$B$13</c:f>
              <c:numCache>
                <c:formatCode>General</c:formatCode>
                <c:ptCount val="12"/>
                <c:pt idx="0">
                  <c:v>4240</c:v>
                </c:pt>
                <c:pt idx="1">
                  <c:v>5280</c:v>
                </c:pt>
                <c:pt idx="2">
                  <c:v>5520</c:v>
                </c:pt>
                <c:pt idx="3">
                  <c:v>6080</c:v>
                </c:pt>
                <c:pt idx="4">
                  <c:v>5840</c:v>
                </c:pt>
                <c:pt idx="5">
                  <c:v>5200</c:v>
                </c:pt>
                <c:pt idx="6">
                  <c:v>5280</c:v>
                </c:pt>
                <c:pt idx="7">
                  <c:v>5440</c:v>
                </c:pt>
                <c:pt idx="8">
                  <c:v>4400</c:v>
                </c:pt>
                <c:pt idx="9">
                  <c:v>4560</c:v>
                </c:pt>
                <c:pt idx="10">
                  <c:v>4400</c:v>
                </c:pt>
                <c:pt idx="11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5-42F3-95DB-92683A6599C2}"/>
            </c:ext>
          </c:extLst>
        </c:ser>
        <c:ser>
          <c:idx val="1"/>
          <c:order val="1"/>
          <c:tx>
            <c:strRef>
              <c:f>Fac_Energia!$C$1</c:f>
              <c:strCache>
                <c:ptCount val="1"/>
                <c:pt idx="0">
                  <c:v>Año 2023
Consumo energía activa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Fac_Energia!$A$2:$A$13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Fac_Energia!$C$2:$C$13</c:f>
              <c:numCache>
                <c:formatCode>General</c:formatCode>
                <c:ptCount val="12"/>
                <c:pt idx="0">
                  <c:v>3440</c:v>
                </c:pt>
                <c:pt idx="1">
                  <c:v>4480</c:v>
                </c:pt>
                <c:pt idx="2">
                  <c:v>5120</c:v>
                </c:pt>
                <c:pt idx="3">
                  <c:v>3520</c:v>
                </c:pt>
                <c:pt idx="4">
                  <c:v>5360</c:v>
                </c:pt>
                <c:pt idx="5">
                  <c:v>6880</c:v>
                </c:pt>
                <c:pt idx="6">
                  <c:v>6320</c:v>
                </c:pt>
                <c:pt idx="7">
                  <c:v>6800</c:v>
                </c:pt>
                <c:pt idx="8">
                  <c:v>7360</c:v>
                </c:pt>
                <c:pt idx="9">
                  <c:v>7040</c:v>
                </c:pt>
                <c:pt idx="10">
                  <c:v>5760</c:v>
                </c:pt>
                <c:pt idx="11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F5-42F3-95DB-92683A65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677119"/>
        <c:axId val="17567039"/>
      </c:barChart>
      <c:catAx>
        <c:axId val="29167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7039"/>
        <c:crosses val="autoZero"/>
        <c:auto val="1"/>
        <c:lblAlgn val="ctr"/>
        <c:lblOffset val="100"/>
        <c:noMultiLvlLbl val="0"/>
      </c:catAx>
      <c:valAx>
        <c:axId val="175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167711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 energia Activa (KWh) vs Ocupacion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Fac_Energia!$B$20</c:f>
              <c:strCache>
                <c:ptCount val="1"/>
                <c:pt idx="0">
                  <c:v>Año 2023
Consumo energía activa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Fac_Energia!$A$21:$A$32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Fac_Energia!$B$21:$B$32</c:f>
              <c:numCache>
                <c:formatCode>General</c:formatCode>
                <c:ptCount val="12"/>
                <c:pt idx="0">
                  <c:v>3440</c:v>
                </c:pt>
                <c:pt idx="1">
                  <c:v>4480</c:v>
                </c:pt>
                <c:pt idx="2">
                  <c:v>5120</c:v>
                </c:pt>
                <c:pt idx="3">
                  <c:v>3520</c:v>
                </c:pt>
                <c:pt idx="4">
                  <c:v>5360</c:v>
                </c:pt>
                <c:pt idx="5">
                  <c:v>6880</c:v>
                </c:pt>
                <c:pt idx="6">
                  <c:v>6320</c:v>
                </c:pt>
                <c:pt idx="7">
                  <c:v>6800</c:v>
                </c:pt>
                <c:pt idx="8">
                  <c:v>7360</c:v>
                </c:pt>
                <c:pt idx="9">
                  <c:v>7040</c:v>
                </c:pt>
                <c:pt idx="10">
                  <c:v>5760</c:v>
                </c:pt>
                <c:pt idx="11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8A4-BB6A-84A28AC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35679"/>
        <c:axId val="573517967"/>
      </c:barChart>
      <c:lineChart>
        <c:grouping val="stacked"/>
        <c:varyColors val="0"/>
        <c:ser>
          <c:idx val="1"/>
          <c:order val="1"/>
          <c:tx>
            <c:strRef>
              <c:f>Fac_Energia!$C$20</c:f>
              <c:strCache>
                <c:ptCount val="1"/>
                <c:pt idx="0">
                  <c:v>Ocupacion # Personas
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Fac_Energia!$A$21:$A$32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Fac_Energia!$C$21:$C$32</c:f>
              <c:numCache>
                <c:formatCode>General</c:formatCode>
                <c:ptCount val="12"/>
                <c:pt idx="0">
                  <c:v>540</c:v>
                </c:pt>
                <c:pt idx="1">
                  <c:v>246</c:v>
                </c:pt>
                <c:pt idx="2">
                  <c:v>225</c:v>
                </c:pt>
                <c:pt idx="3">
                  <c:v>231</c:v>
                </c:pt>
                <c:pt idx="4">
                  <c:v>396</c:v>
                </c:pt>
                <c:pt idx="5">
                  <c:v>269</c:v>
                </c:pt>
                <c:pt idx="6">
                  <c:v>207</c:v>
                </c:pt>
                <c:pt idx="7">
                  <c:v>207</c:v>
                </c:pt>
                <c:pt idx="8">
                  <c:v>229</c:v>
                </c:pt>
                <c:pt idx="9">
                  <c:v>267</c:v>
                </c:pt>
                <c:pt idx="10">
                  <c:v>267</c:v>
                </c:pt>
                <c:pt idx="11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0-48A4-BB6A-84A28AC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01151"/>
        <c:axId val="555983455"/>
      </c:lineChart>
      <c:catAx>
        <c:axId val="5306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517967"/>
        <c:crosses val="autoZero"/>
        <c:auto val="1"/>
        <c:lblAlgn val="ctr"/>
        <c:lblOffset val="100"/>
        <c:noMultiLvlLbl val="0"/>
      </c:catAx>
      <c:valAx>
        <c:axId val="573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energia Activa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635679"/>
        <c:crosses val="autoZero"/>
        <c:crossBetween val="between"/>
      </c:valAx>
      <c:valAx>
        <c:axId val="55598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personas  por 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301151"/>
        <c:crosses val="max"/>
        <c:crossBetween val="between"/>
      </c:valAx>
      <c:catAx>
        <c:axId val="49730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98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9046369203848"/>
          <c:y val="0.84374890638670164"/>
          <c:w val="0.72830774278215216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agua m3 </a:t>
            </a:r>
          </a:p>
          <a:p>
            <a:pPr>
              <a:defRPr sz="1600" cap="all" spc="120" normalizeH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s-CO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2022 - 2023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Fac_Agua!$B$1</c:f>
              <c:strCache>
                <c:ptCount val="1"/>
                <c:pt idx="0">
                  <c:v>Año 2022
Consumo Agua  (m3)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Fac_Agua!$A$2:$A$13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Fac_Agua!$B$2:$B$13</c:f>
              <c:numCache>
                <c:formatCode>#,##0</c:formatCode>
                <c:ptCount val="12"/>
                <c:pt idx="0">
                  <c:v>25</c:v>
                </c:pt>
                <c:pt idx="1">
                  <c:v>87</c:v>
                </c:pt>
                <c:pt idx="2">
                  <c:v>86</c:v>
                </c:pt>
                <c:pt idx="3">
                  <c:v>76</c:v>
                </c:pt>
                <c:pt idx="4">
                  <c:v>72</c:v>
                </c:pt>
                <c:pt idx="5">
                  <c:v>73</c:v>
                </c:pt>
                <c:pt idx="6">
                  <c:v>60</c:v>
                </c:pt>
                <c:pt idx="7">
                  <c:v>71</c:v>
                </c:pt>
                <c:pt idx="8">
                  <c:v>57</c:v>
                </c:pt>
                <c:pt idx="9">
                  <c:v>50</c:v>
                </c:pt>
                <c:pt idx="10">
                  <c:v>53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2-4982-8812-96FD832B44B7}"/>
            </c:ext>
          </c:extLst>
        </c:ser>
        <c:ser>
          <c:idx val="1"/>
          <c:order val="1"/>
          <c:tx>
            <c:strRef>
              <c:f>Fac_Agua!$C$1</c:f>
              <c:strCache>
                <c:ptCount val="1"/>
                <c:pt idx="0">
                  <c:v>Año 2023
Consumo Agua  (m3)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Fac_Agua!$A$2:$A$13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Fac_Agua!$C$2:$C$13</c:f>
              <c:numCache>
                <c:formatCode>#,##0</c:formatCode>
                <c:ptCount val="12"/>
                <c:pt idx="0">
                  <c:v>19</c:v>
                </c:pt>
                <c:pt idx="1">
                  <c:v>56</c:v>
                </c:pt>
                <c:pt idx="2">
                  <c:v>71</c:v>
                </c:pt>
                <c:pt idx="3">
                  <c:v>49</c:v>
                </c:pt>
                <c:pt idx="4">
                  <c:v>51</c:v>
                </c:pt>
                <c:pt idx="5">
                  <c:v>49</c:v>
                </c:pt>
                <c:pt idx="6">
                  <c:v>118</c:v>
                </c:pt>
                <c:pt idx="7">
                  <c:v>87</c:v>
                </c:pt>
                <c:pt idx="8">
                  <c:v>103</c:v>
                </c:pt>
                <c:pt idx="9">
                  <c:v>112</c:v>
                </c:pt>
                <c:pt idx="10">
                  <c:v>112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A2-4982-8812-96FD832B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677119"/>
        <c:axId val="17567039"/>
      </c:barChart>
      <c:catAx>
        <c:axId val="29167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7039"/>
        <c:crosses val="autoZero"/>
        <c:auto val="1"/>
        <c:lblAlgn val="ctr"/>
        <c:lblOffset val="100"/>
        <c:noMultiLvlLbl val="0"/>
      </c:catAx>
      <c:valAx>
        <c:axId val="175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167711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agua(m3) vs Ocupacion Programada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Fac_Agua!$B$20</c:f>
              <c:strCache>
                <c:ptCount val="1"/>
                <c:pt idx="0">
                  <c:v>Año 2023
Consumo Agua  (m3)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Fac_Agua!$A$21:$A$32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Fac_Agua!$B$21:$B$32</c:f>
              <c:numCache>
                <c:formatCode>#,##0</c:formatCode>
                <c:ptCount val="12"/>
                <c:pt idx="0">
                  <c:v>19</c:v>
                </c:pt>
                <c:pt idx="1">
                  <c:v>56</c:v>
                </c:pt>
                <c:pt idx="2">
                  <c:v>71</c:v>
                </c:pt>
                <c:pt idx="3">
                  <c:v>49</c:v>
                </c:pt>
                <c:pt idx="4">
                  <c:v>51</c:v>
                </c:pt>
                <c:pt idx="5">
                  <c:v>49</c:v>
                </c:pt>
                <c:pt idx="6">
                  <c:v>118</c:v>
                </c:pt>
                <c:pt idx="7">
                  <c:v>87</c:v>
                </c:pt>
                <c:pt idx="8">
                  <c:v>103</c:v>
                </c:pt>
                <c:pt idx="9">
                  <c:v>112</c:v>
                </c:pt>
                <c:pt idx="10">
                  <c:v>112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9EA-97AA-BC1C55BB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734735"/>
        <c:axId val="623062591"/>
      </c:barChart>
      <c:lineChart>
        <c:grouping val="stacked"/>
        <c:varyColors val="0"/>
        <c:ser>
          <c:idx val="1"/>
          <c:order val="1"/>
          <c:tx>
            <c:strRef>
              <c:f>Fac_Agua!$C$20</c:f>
              <c:strCache>
                <c:ptCount val="1"/>
                <c:pt idx="0">
                  <c:v>Ocupacion # Personas
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Fac_Agua!$A$21:$A$32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Fac_Agua!$C$21:$C$32</c:f>
              <c:numCache>
                <c:formatCode>General</c:formatCode>
                <c:ptCount val="12"/>
                <c:pt idx="0">
                  <c:v>540</c:v>
                </c:pt>
                <c:pt idx="1">
                  <c:v>246</c:v>
                </c:pt>
                <c:pt idx="2">
                  <c:v>225</c:v>
                </c:pt>
                <c:pt idx="3">
                  <c:v>231</c:v>
                </c:pt>
                <c:pt idx="4">
                  <c:v>396</c:v>
                </c:pt>
                <c:pt idx="5">
                  <c:v>269</c:v>
                </c:pt>
                <c:pt idx="6">
                  <c:v>207</c:v>
                </c:pt>
                <c:pt idx="7">
                  <c:v>207</c:v>
                </c:pt>
                <c:pt idx="8">
                  <c:v>229</c:v>
                </c:pt>
                <c:pt idx="9">
                  <c:v>267</c:v>
                </c:pt>
                <c:pt idx="10">
                  <c:v>267</c:v>
                </c:pt>
                <c:pt idx="11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6-49EA-97AA-BC1C55BB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99919"/>
        <c:axId val="280666335"/>
      </c:lineChart>
      <c:catAx>
        <c:axId val="3987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062591"/>
        <c:crosses val="autoZero"/>
        <c:auto val="1"/>
        <c:lblAlgn val="ctr"/>
        <c:lblOffset val="100"/>
        <c:noMultiLvlLbl val="0"/>
      </c:catAx>
      <c:valAx>
        <c:axId val="6230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734735"/>
        <c:crosses val="autoZero"/>
        <c:crossBetween val="between"/>
      </c:valAx>
      <c:valAx>
        <c:axId val="280666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899919"/>
        <c:crosses val="max"/>
        <c:crossBetween val="between"/>
      </c:valAx>
      <c:catAx>
        <c:axId val="28589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666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usos Consumo de Agua %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24157407407407408"/>
          <c:w val="0.35540244969378826"/>
          <c:h val="0.59233741615631375"/>
        </c:manualLayout>
      </c:layout>
      <c:pieChart>
        <c:varyColors val="1"/>
        <c:ser>
          <c:idx val="0"/>
          <c:order val="0"/>
          <c:tx>
            <c:strRef>
              <c:f>Graf_Agua!$B$1</c:f>
              <c:strCache>
                <c:ptCount val="1"/>
                <c:pt idx="0">
                  <c:v>Consumo mes Teorico (m3)
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91-4B0F-9C8B-98D4F79DD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C91-4B0F-9C8B-98D4F79DD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91-4B0F-9C8B-98D4F79DD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C91-4B0F-9C8B-98D4F79DD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91-4B0F-9C8B-98D4F79DDB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57A-4756-AB03-30B79400A3B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C91-4B0F-9C8B-98D4F79DDB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C91-4B0F-9C8B-98D4F79DDBD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C91-4B0F-9C8B-98D4F79DDB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C91-4B0F-9C8B-98D4F79DDBD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C91-4B0F-9C8B-98D4F79DDBD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C57A-4756-AB03-30B79400A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Graf_Agua!$A$2:$A$7</c:f>
              <c:strCache>
                <c:ptCount val="6"/>
                <c:pt idx="0">
                  <c:v>DUCHA</c:v>
                </c:pt>
                <c:pt idx="1">
                  <c:v>LAVAMANOS</c:v>
                </c:pt>
                <c:pt idx="2">
                  <c:v>LAVAPLATOS</c:v>
                </c:pt>
                <c:pt idx="3">
                  <c:v>ORINAL</c:v>
                </c:pt>
                <c:pt idx="4">
                  <c:v>SANITARIO</c:v>
                </c:pt>
                <c:pt idx="5">
                  <c:v>Lavaderos generales</c:v>
                </c:pt>
              </c:strCache>
            </c:strRef>
          </c:cat>
          <c:val>
            <c:numRef>
              <c:f>Graf_Agua!$B$2:$B$7</c:f>
              <c:numCache>
                <c:formatCode>General</c:formatCode>
                <c:ptCount val="6"/>
                <c:pt idx="0">
                  <c:v>52.8</c:v>
                </c:pt>
                <c:pt idx="1">
                  <c:v>9.4</c:v>
                </c:pt>
                <c:pt idx="2">
                  <c:v>60</c:v>
                </c:pt>
                <c:pt idx="3">
                  <c:v>5.8</c:v>
                </c:pt>
                <c:pt idx="4">
                  <c:v>29.6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B0F-9C8B-98D4F79DDBD2}"/>
            </c:ext>
          </c:extLst>
        </c:ser>
        <c:ser>
          <c:idx val="1"/>
          <c:order val="1"/>
          <c:tx>
            <c:strRef>
              <c:f>Graf_Agua!$C$1</c:f>
              <c:strCache>
                <c:ptCount val="1"/>
                <c:pt idx="0">
                  <c:v>Porcentaje Consumo en un mes  Teorico
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91-4B0F-9C8B-98D4F79DD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91-4B0F-9C8B-98D4F79DD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91-4B0F-9C8B-98D4F79DD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91-4B0F-9C8B-98D4F79DD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C91-4B0F-9C8B-98D4F79DDB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57A-4756-AB03-30B79400A3B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C91-4B0F-9C8B-98D4F79DDB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C91-4B0F-9C8B-98D4F79DDBD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C91-4B0F-9C8B-98D4F79DDB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C91-4B0F-9C8B-98D4F79DDBD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C91-4B0F-9C8B-98D4F79DDBD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C57A-4756-AB03-30B79400A3B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Graf_Agua!$A$2:$A$7</c:f>
              <c:strCache>
                <c:ptCount val="6"/>
                <c:pt idx="0">
                  <c:v>DUCHA</c:v>
                </c:pt>
                <c:pt idx="1">
                  <c:v>LAVAMANOS</c:v>
                </c:pt>
                <c:pt idx="2">
                  <c:v>LAVAPLATOS</c:v>
                </c:pt>
                <c:pt idx="3">
                  <c:v>ORINAL</c:v>
                </c:pt>
                <c:pt idx="4">
                  <c:v>SANITARIO</c:v>
                </c:pt>
                <c:pt idx="5">
                  <c:v>Lavaderos generales</c:v>
                </c:pt>
              </c:strCache>
            </c:strRef>
          </c:cat>
          <c:val>
            <c:numRef>
              <c:f>Graf_Agua!$C$2:$C$7</c:f>
              <c:numCache>
                <c:formatCode>0.0</c:formatCode>
                <c:ptCount val="6"/>
                <c:pt idx="0">
                  <c:v>28.14498933901919</c:v>
                </c:pt>
                <c:pt idx="1">
                  <c:v>5.0106609808102345</c:v>
                </c:pt>
                <c:pt idx="2">
                  <c:v>31.982942430703627</c:v>
                </c:pt>
                <c:pt idx="3">
                  <c:v>3.091684434968017</c:v>
                </c:pt>
                <c:pt idx="4">
                  <c:v>15.778251599147122</c:v>
                </c:pt>
                <c:pt idx="5">
                  <c:v>15.991471215351813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1-4B0F-9C8B-98D4F79DDBD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USO</a:t>
            </a:r>
            <a:r>
              <a:rPr lang="es-CO" baseline="0"/>
              <a:t> GAS NATURAL %</a:t>
            </a:r>
            <a:endParaRPr lang="es-CO"/>
          </a:p>
        </c:rich>
      </c:tx>
      <c:layout>
        <c:manualLayout>
          <c:xMode val="edge"/>
          <c:yMode val="edge"/>
          <c:x val="0.1953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7A-4C82-99EE-6E26B7ADD78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EA-4EE5-A08F-541A05D956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EA-4EE5-A08F-541A05D956CA}"/>
              </c:ext>
            </c:extLst>
          </c:dPt>
          <c:dLbls>
            <c:dLbl>
              <c:idx val="0"/>
              <c:layout>
                <c:manualLayout>
                  <c:x val="-4.6074584426946633E-2"/>
                  <c:y val="0.122473388743073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7A-4C82-99EE-6E26B7ADD78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Graficas_Gas!$B$3:$B$5</c:f>
              <c:strCache>
                <c:ptCount val="3"/>
                <c:pt idx="0">
                  <c:v>HORNOS</c:v>
                </c:pt>
                <c:pt idx="1">
                  <c:v>Estufa Gas</c:v>
                </c:pt>
                <c:pt idx="2">
                  <c:v>Parrilla Gas</c:v>
                </c:pt>
              </c:strCache>
            </c:strRef>
          </c:cat>
          <c:val>
            <c:numRef>
              <c:f>Graficas_Gas!$C$3:$C$5</c:f>
              <c:numCache>
                <c:formatCode>General</c:formatCode>
                <c:ptCount val="3"/>
                <c:pt idx="0" formatCode="0.00">
                  <c:v>27.215547133295708</c:v>
                </c:pt>
                <c:pt idx="1">
                  <c:v>237</c:v>
                </c:pt>
                <c:pt idx="2">
                  <c:v>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C82-99EE-6E26B7ADD7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</a:t>
            </a:r>
            <a:r>
              <a:rPr lang="es-CO" baseline="0"/>
              <a:t> Gas natural </a:t>
            </a:r>
          </a:p>
          <a:p>
            <a:pPr>
              <a:defRPr/>
            </a:pPr>
            <a:r>
              <a:rPr lang="es-CO" baseline="0"/>
              <a:t>Tipo de Equipo KW/mes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Graficas_Gas!$B$19:$B$21</c:f>
              <c:strCache>
                <c:ptCount val="3"/>
                <c:pt idx="0">
                  <c:v>HORNOS</c:v>
                </c:pt>
                <c:pt idx="1">
                  <c:v>Estufa Gas</c:v>
                </c:pt>
                <c:pt idx="2">
                  <c:v>Parrilla Gas</c:v>
                </c:pt>
              </c:strCache>
            </c:strRef>
          </c:cat>
          <c:val>
            <c:numRef>
              <c:f>Graficas_Gas!$C$19:$C$21</c:f>
              <c:numCache>
                <c:formatCode>0.00</c:formatCode>
                <c:ptCount val="3"/>
                <c:pt idx="0">
                  <c:v>7.5598742036932522</c:v>
                </c:pt>
                <c:pt idx="1">
                  <c:v>65.833333333333329</c:v>
                </c:pt>
                <c:pt idx="2">
                  <c:v>2.0166666666666666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5-46B6-A8D1-13086DE891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2450704"/>
        <c:axId val="1849322240"/>
      </c:barChart>
      <c:catAx>
        <c:axId val="9724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322240"/>
        <c:crosses val="autoZero"/>
        <c:auto val="1"/>
        <c:lblAlgn val="ctr"/>
        <c:lblOffset val="100"/>
        <c:noMultiLvlLbl val="0"/>
      </c:catAx>
      <c:valAx>
        <c:axId val="1849322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4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Potencial de Consumo energético 
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D-4DD5-84AF-829A8E4527D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D-4DD5-84AF-829A8E4527D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8D-4DD5-84AF-829A8E4527D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8D-4DD5-84AF-829A8E4527D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8D-4DD5-84AF-829A8E4527D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8D-4DD5-84AF-829A8E4527D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F4-463A-A5D8-2EC40EE2F2A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F4-463A-A5D8-2EC40EE2F2A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F4-463A-A5D8-2EC40EE2F2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Categoria!$B$20:$B$28</c:f>
              <c:strCache>
                <c:ptCount val="9"/>
                <c:pt idx="0">
                  <c:v>EQUIPO_INDUSTRIAL</c:v>
                </c:pt>
                <c:pt idx="1">
                  <c:v>AIRE_ACONDICIONADO</c:v>
                </c:pt>
                <c:pt idx="2">
                  <c:v>ILUMINACION</c:v>
                </c:pt>
                <c:pt idx="3">
                  <c:v>EQUIPO_COMP_MULTIMEDIA</c:v>
                </c:pt>
                <c:pt idx="4">
                  <c:v>EQUIPO_TELECOMUNICACIONES</c:v>
                </c:pt>
                <c:pt idx="5">
                  <c:v>OTROS_EQUIPOS</c:v>
                </c:pt>
                <c:pt idx="6">
                  <c:v>ELECTRODOMESTICOS</c:v>
                </c:pt>
                <c:pt idx="7">
                  <c:v>EQUIPO_DE_LABORATORIO</c:v>
                </c:pt>
                <c:pt idx="8">
                  <c:v>HERRAMIENTAS</c:v>
                </c:pt>
              </c:strCache>
            </c:strRef>
          </c:cat>
          <c:val>
            <c:numRef>
              <c:f>Categoria!$C$20:$C$28</c:f>
              <c:numCache>
                <c:formatCode>0.00</c:formatCode>
                <c:ptCount val="9"/>
                <c:pt idx="0">
                  <c:v>68.247002128704523</c:v>
                </c:pt>
                <c:pt idx="1">
                  <c:v>11.846475605937115</c:v>
                </c:pt>
                <c:pt idx="2">
                  <c:v>4.7065824805745127</c:v>
                </c:pt>
                <c:pt idx="3">
                  <c:v>4.0697975603254788</c:v>
                </c:pt>
                <c:pt idx="4">
                  <c:v>8.2676343581700511</c:v>
                </c:pt>
                <c:pt idx="5">
                  <c:v>0.22893576198641746</c:v>
                </c:pt>
                <c:pt idx="6">
                  <c:v>2.6335721043018956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8D-4DD5-84AF-829A8E4527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01180401086939"/>
          <c:y val="0.23420820235021014"/>
          <c:w val="0.39449400195746964"/>
          <c:h val="0.613411929158836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Potencial de Consumo energetico por Ambiente</a:t>
            </a:r>
          </a:p>
          <a:p>
            <a:pPr>
              <a:defRPr/>
            </a:pPr>
            <a:r>
              <a:rPr lang="es-CO"/>
              <a:t>Piso</a:t>
            </a:r>
            <a:r>
              <a:rPr lang="es-CO" baseline="0"/>
              <a:t> 1</a:t>
            </a:r>
            <a:r>
              <a:rPr lang="es-CO"/>
              <a:t> (KWH x 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7-4DF2-98F0-33FB3F24DA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7-4DF2-98F0-33FB3F24DA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87-4DF2-98F0-33FB3F24DA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87-4DF2-98F0-33FB3F24DA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87-4DF2-98F0-33FB3F24D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Ambintes!$B$2:$B$6</c:f>
              <c:strCache>
                <c:ptCount val="5"/>
                <c:pt idx="0">
                  <c:v>9311-E01 Cafe y Bar</c:v>
                </c:pt>
                <c:pt idx="1">
                  <c:v>Pasillo_principal</c:v>
                </c:pt>
                <c:pt idx="2">
                  <c:v>Administración</c:v>
                </c:pt>
                <c:pt idx="3">
                  <c:v>9311-E02_panadería</c:v>
                </c:pt>
                <c:pt idx="4">
                  <c:v>Bañós_Administrativos</c:v>
                </c:pt>
              </c:strCache>
            </c:strRef>
          </c:cat>
          <c:val>
            <c:numRef>
              <c:f>Ambintes!$C$2:$C$6</c:f>
              <c:numCache>
                <c:formatCode>General</c:formatCode>
                <c:ptCount val="5"/>
                <c:pt idx="0">
                  <c:v>1968.1054999999999</c:v>
                </c:pt>
                <c:pt idx="1">
                  <c:v>312.12</c:v>
                </c:pt>
                <c:pt idx="2">
                  <c:v>266.15999999999997</c:v>
                </c:pt>
                <c:pt idx="3">
                  <c:v>701.05600000000004</c:v>
                </c:pt>
                <c:pt idx="4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C-4F47-BEDA-F5777986C9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Potencial de consumo Energético por espacio</a:t>
            </a:r>
          </a:p>
          <a:p>
            <a:pPr>
              <a:defRPr/>
            </a:pPr>
            <a:r>
              <a:rPr lang="es-CO"/>
              <a:t>Edificio Escuela Gastronomica - CGTS  KWH</a:t>
            </a:r>
            <a:r>
              <a:rPr lang="es-CO" baseline="0"/>
              <a:t> x Mes</a:t>
            </a:r>
            <a:r>
              <a:rPr lang="es-CO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Ambintes!$B$74:$B$95</c:f>
              <c:strCache>
                <c:ptCount val="22"/>
                <c:pt idx="0">
                  <c:v>9311-E01 Cafe y Bar</c:v>
                </c:pt>
                <c:pt idx="1">
                  <c:v>Pasillo_principal</c:v>
                </c:pt>
                <c:pt idx="2">
                  <c:v>Administración</c:v>
                </c:pt>
                <c:pt idx="3">
                  <c:v>9311-E02_panadería</c:v>
                </c:pt>
                <c:pt idx="4">
                  <c:v>Bañós_Administrativos</c:v>
                </c:pt>
                <c:pt idx="5">
                  <c:v>Cocina cerrada  E04-9311</c:v>
                </c:pt>
                <c:pt idx="6">
                  <c:v>Almacen</c:v>
                </c:pt>
                <c:pt idx="7">
                  <c:v>Baños Piso 2</c:v>
                </c:pt>
                <c:pt idx="8">
                  <c:v>BAR</c:v>
                </c:pt>
                <c:pt idx="9">
                  <c:v>Cocina_abierta</c:v>
                </c:pt>
                <c:pt idx="10">
                  <c:v>Limpieza y desinfeccion</c:v>
                </c:pt>
                <c:pt idx="11">
                  <c:v>Pasillo </c:v>
                </c:pt>
                <c:pt idx="12">
                  <c:v>Ambiente_9311 - E06-E07</c:v>
                </c:pt>
                <c:pt idx="13">
                  <c:v>Auditorio</c:v>
                </c:pt>
                <c:pt idx="14">
                  <c:v>Baños piso 3</c:v>
                </c:pt>
                <c:pt idx="15">
                  <c:v>Biblioteca</c:v>
                </c:pt>
                <c:pt idx="16">
                  <c:v>MDF</c:v>
                </c:pt>
                <c:pt idx="17">
                  <c:v>Pasillo</c:v>
                </c:pt>
                <c:pt idx="18">
                  <c:v>Pasillo_Interno</c:v>
                </c:pt>
                <c:pt idx="19">
                  <c:v>Sala_de_instructores</c:v>
                </c:pt>
                <c:pt idx="20">
                  <c:v>Cocina Personal Aseo</c:v>
                </c:pt>
                <c:pt idx="21">
                  <c:v>Pasillo</c:v>
                </c:pt>
              </c:strCache>
            </c:strRef>
          </c:cat>
          <c:val>
            <c:numRef>
              <c:f>Ambintes!$C$74:$C$95</c:f>
              <c:numCache>
                <c:formatCode>#,##0.0</c:formatCode>
                <c:ptCount val="22"/>
                <c:pt idx="0">
                  <c:v>1968.1054999999999</c:v>
                </c:pt>
                <c:pt idx="1">
                  <c:v>312.12</c:v>
                </c:pt>
                <c:pt idx="2">
                  <c:v>266.15999999999997</c:v>
                </c:pt>
                <c:pt idx="3">
                  <c:v>701.05600000000004</c:v>
                </c:pt>
                <c:pt idx="4">
                  <c:v>2.88</c:v>
                </c:pt>
                <c:pt idx="5">
                  <c:v>988.64199999999994</c:v>
                </c:pt>
                <c:pt idx="6">
                  <c:v>2437.42</c:v>
                </c:pt>
                <c:pt idx="7">
                  <c:v>17.423999999999996</c:v>
                </c:pt>
                <c:pt idx="8">
                  <c:v>218.64000000000001</c:v>
                </c:pt>
                <c:pt idx="9">
                  <c:v>1476.963</c:v>
                </c:pt>
                <c:pt idx="10">
                  <c:v>479.04</c:v>
                </c:pt>
                <c:pt idx="11">
                  <c:v>266.39999999999998</c:v>
                </c:pt>
                <c:pt idx="12">
                  <c:v>94.16</c:v>
                </c:pt>
                <c:pt idx="13">
                  <c:v>1471.9600000000003</c:v>
                </c:pt>
                <c:pt idx="14">
                  <c:v>19.2</c:v>
                </c:pt>
                <c:pt idx="15">
                  <c:v>14.88</c:v>
                </c:pt>
                <c:pt idx="16">
                  <c:v>972</c:v>
                </c:pt>
                <c:pt idx="17">
                  <c:v>7.68</c:v>
                </c:pt>
                <c:pt idx="18">
                  <c:v>1.296</c:v>
                </c:pt>
                <c:pt idx="19">
                  <c:v>316.64</c:v>
                </c:pt>
                <c:pt idx="20">
                  <c:v>148</c:v>
                </c:pt>
                <c:pt idx="21">
                  <c:v>23.472000000000001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45B6-81FF-D0A21D72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8020959"/>
        <c:axId val="1518278271"/>
      </c:barChart>
      <c:catAx>
        <c:axId val="15080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Espacio - Embiente de Formación  </a:t>
                </a:r>
              </a:p>
            </c:rich>
          </c:tx>
          <c:layout>
            <c:manualLayout>
              <c:xMode val="edge"/>
              <c:yMode val="edge"/>
              <c:x val="0.34311170766940469"/>
              <c:y val="0.9241942047299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8278271"/>
        <c:crosses val="autoZero"/>
        <c:auto val="1"/>
        <c:lblAlgn val="ctr"/>
        <c:lblOffset val="100"/>
        <c:noMultiLvlLbl val="0"/>
      </c:catAx>
      <c:valAx>
        <c:axId val="1518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KWH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0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Potencial de Consumo energetico por Ambiente</a:t>
            </a:r>
          </a:p>
          <a:p>
            <a:pPr>
              <a:defRPr/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Piso 2 (KWH x 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Ambintes!$C$15</c:f>
              <c:strCache>
                <c:ptCount val="1"/>
                <c:pt idx="0">
                  <c:v>Potencial de Consumo energetico 
KWH x MES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6-442D-9ECE-4FE36966F7D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76-442D-9ECE-4FE36966F7D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76-442D-9ECE-4FE36966F7D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76-442D-9ECE-4FE36966F7D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76-442D-9ECE-4FE36966F7D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5C-4A00-BE19-6F79303FEF6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5C-4A00-BE19-6F79303FE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Ambintes!$B$16:$B$22</c:f>
              <c:strCache>
                <c:ptCount val="7"/>
                <c:pt idx="0">
                  <c:v>Cocina cerrada  E04-9311</c:v>
                </c:pt>
                <c:pt idx="1">
                  <c:v>Almacen</c:v>
                </c:pt>
                <c:pt idx="2">
                  <c:v>Baños Piso 2</c:v>
                </c:pt>
                <c:pt idx="3">
                  <c:v>BAR</c:v>
                </c:pt>
                <c:pt idx="4">
                  <c:v>Cocina_abierta</c:v>
                </c:pt>
                <c:pt idx="5">
                  <c:v>Limpieza y desinfeccion</c:v>
                </c:pt>
                <c:pt idx="6">
                  <c:v>Pasillo </c:v>
                </c:pt>
              </c:strCache>
            </c:strRef>
          </c:cat>
          <c:val>
            <c:numRef>
              <c:f>Ambintes!$C$16:$C$22</c:f>
              <c:numCache>
                <c:formatCode>General</c:formatCode>
                <c:ptCount val="7"/>
                <c:pt idx="0">
                  <c:v>988.64199999999994</c:v>
                </c:pt>
                <c:pt idx="1">
                  <c:v>2437.42</c:v>
                </c:pt>
                <c:pt idx="2">
                  <c:v>17.423999999999996</c:v>
                </c:pt>
                <c:pt idx="3">
                  <c:v>218.64000000000001</c:v>
                </c:pt>
                <c:pt idx="4">
                  <c:v>1476.963</c:v>
                </c:pt>
                <c:pt idx="5">
                  <c:v>479.04</c:v>
                </c:pt>
                <c:pt idx="6">
                  <c:v>266.39999999999998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76-442D-9ECE-4FE36966F7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Potencial de Consumo energetico por Ambiente</a:t>
            </a:r>
          </a:p>
          <a:p>
            <a:pPr>
              <a:defRPr/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Piso 3 (KWH x 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Ambintes!$C$29</c:f>
              <c:strCache>
                <c:ptCount val="1"/>
                <c:pt idx="0">
                  <c:v>Potencial de Consumo energetico 
KWH x MES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E-4B9F-BBB4-2FB39EC03C4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E-4B9F-BBB4-2FB39EC03C4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E-4B9F-BBB4-2FB39EC03C4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E-4B9F-BBB4-2FB39EC03C4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AE-4B9F-BBB4-2FB39EC03C4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AE-4B9F-BBB4-2FB39EC03C4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AE-4B9F-BBB4-2FB39EC03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Ambintes!$B$30:$B$36</c:f>
              <c:strCache>
                <c:ptCount val="7"/>
                <c:pt idx="0">
                  <c:v>Ambiente_9311 - E06-E07</c:v>
                </c:pt>
                <c:pt idx="1">
                  <c:v>Auditorio</c:v>
                </c:pt>
                <c:pt idx="2">
                  <c:v>Baños piso 3</c:v>
                </c:pt>
                <c:pt idx="3">
                  <c:v>Biblioteca</c:v>
                </c:pt>
                <c:pt idx="4">
                  <c:v>MDF</c:v>
                </c:pt>
                <c:pt idx="5">
                  <c:v>Pasillo</c:v>
                </c:pt>
                <c:pt idx="6">
                  <c:v>Pasillo_Interno</c:v>
                </c:pt>
              </c:strCache>
            </c:strRef>
          </c:cat>
          <c:val>
            <c:numRef>
              <c:f>Ambintes!$C$30:$C$36</c:f>
              <c:numCache>
                <c:formatCode>General</c:formatCode>
                <c:ptCount val="7"/>
                <c:pt idx="0">
                  <c:v>94.16</c:v>
                </c:pt>
                <c:pt idx="1">
                  <c:v>1471.9600000000003</c:v>
                </c:pt>
                <c:pt idx="2">
                  <c:v>19.2</c:v>
                </c:pt>
                <c:pt idx="3">
                  <c:v>14.88</c:v>
                </c:pt>
                <c:pt idx="4">
                  <c:v>972</c:v>
                </c:pt>
                <c:pt idx="5">
                  <c:v>7.68</c:v>
                </c:pt>
                <c:pt idx="6">
                  <c:v>1.296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AE-4B9F-BBB4-2FB39EC03C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Potencial de Consumo energetico por Ambiente</a:t>
            </a:r>
          </a:p>
          <a:p>
            <a:pPr>
              <a:defRPr/>
            </a:pPr>
            <a:r>
              <a:rPr lang="es-CO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Piso 4 (KWH x 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Ambintes!$C$44</c:f>
              <c:strCache>
                <c:ptCount val="1"/>
                <c:pt idx="0">
                  <c:v>Potencial de Consumo energetico 
KWH x MES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A-4E47-9EF5-1D3AED99F1B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8A-4E47-9EF5-1D3AED99F1B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8A-4E47-9EF5-1D3AED99F1B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8A-4E47-9EF5-1D3AED99F1B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8A-4E47-9EF5-1D3AED99F1B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8A-4E47-9EF5-1D3AED99F1B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8A-4E47-9EF5-1D3AED99F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Ambintes!$B$45:$B$47</c:f>
              <c:strCache>
                <c:ptCount val="3"/>
                <c:pt idx="0">
                  <c:v>Sala_de_instructores</c:v>
                </c:pt>
                <c:pt idx="1">
                  <c:v>Cocina Personal Aseo</c:v>
                </c:pt>
                <c:pt idx="2">
                  <c:v>Pasillo</c:v>
                </c:pt>
              </c:strCache>
            </c:strRef>
          </c:cat>
          <c:val>
            <c:numRef>
              <c:f>Ambintes!$C$45:$C$47</c:f>
              <c:numCache>
                <c:formatCode>General</c:formatCode>
                <c:ptCount val="3"/>
                <c:pt idx="0">
                  <c:v>316.64</c:v>
                </c:pt>
                <c:pt idx="1">
                  <c:v>148</c:v>
                </c:pt>
                <c:pt idx="2">
                  <c:v>23.472000000000001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8A-4E47-9EF5-1D3AED99F1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58682551903371"/>
          <c:y val="0.42631821801616582"/>
          <c:w val="0.30489514726366623"/>
          <c:h val="0.2969647625987204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TOTAL Potencial de Consumo energetico por Piso  
KWH x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Ambintes!$B$57</c:f>
              <c:strCache>
                <c:ptCount val="1"/>
                <c:pt idx="0">
                  <c:v>Potencial de Consumo energetico 
KWH x MES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6-4127-8E0F-7A031A0769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86-4127-8E0F-7A031A0769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86-4127-8E0F-7A031A0769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86-4127-8E0F-7A031A0769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86-4127-8E0F-7A031A0769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86-4127-8E0F-7A031A0769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86-4127-8E0F-7A031A0769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Ambintes!$A$58:$A$61</c:f>
              <c:strCache>
                <c:ptCount val="4"/>
                <c:pt idx="0">
                  <c:v>Piso 1</c:v>
                </c:pt>
                <c:pt idx="1">
                  <c:v>Piso 2</c:v>
                </c:pt>
                <c:pt idx="2">
                  <c:v>Piso 3</c:v>
                </c:pt>
                <c:pt idx="3">
                  <c:v>Piso 4</c:v>
                </c:pt>
              </c:strCache>
            </c:strRef>
          </c:cat>
          <c:val>
            <c:numRef>
              <c:f>Ambintes!$B$58:$B$61</c:f>
              <c:numCache>
                <c:formatCode>#,##0.00</c:formatCode>
                <c:ptCount val="4"/>
                <c:pt idx="0">
                  <c:v>3250.3215</c:v>
                </c:pt>
                <c:pt idx="1">
                  <c:v>5884.5289999999995</c:v>
                </c:pt>
                <c:pt idx="2">
                  <c:v>2581.1760000000004</c:v>
                </c:pt>
                <c:pt idx="3">
                  <c:v>488.11199999999997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86-4127-8E0F-7A031A0769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58682551903371"/>
          <c:y val="0.42631821801616582"/>
          <c:w val="0.30489514726366623"/>
          <c:h val="0.2969647625987204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Potencial de consumo Energético por espacio</a:t>
            </a:r>
          </a:p>
          <a:p>
            <a:pPr>
              <a:defRPr/>
            </a:pPr>
            <a:r>
              <a:rPr lang="es-CO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Edificio Escuela Gastronomica - CGTS  KWH x Mes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Ambintes!$C$100</c:f>
              <c:strCache>
                <c:ptCount val="1"/>
                <c:pt idx="0">
                  <c:v>Potencial de Consumo energetico 
KWH x MES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Ambintes!$B$101:$B$122</c:f>
              <c:strCache>
                <c:ptCount val="22"/>
                <c:pt idx="0">
                  <c:v>Almacen</c:v>
                </c:pt>
                <c:pt idx="1">
                  <c:v>9311-E01 Cafe y Bar</c:v>
                </c:pt>
                <c:pt idx="2">
                  <c:v>Cocina_abierta</c:v>
                </c:pt>
                <c:pt idx="3">
                  <c:v>Auditorio</c:v>
                </c:pt>
                <c:pt idx="4">
                  <c:v>Cocina cerrada  E04-9311</c:v>
                </c:pt>
                <c:pt idx="5">
                  <c:v>MDF</c:v>
                </c:pt>
                <c:pt idx="6">
                  <c:v>9311-E02_panadería</c:v>
                </c:pt>
                <c:pt idx="7">
                  <c:v>Limpieza y desinfeccion</c:v>
                </c:pt>
                <c:pt idx="8">
                  <c:v>Sala_de_instructores</c:v>
                </c:pt>
                <c:pt idx="9">
                  <c:v>Pasillo_principal</c:v>
                </c:pt>
                <c:pt idx="10">
                  <c:v>Pasillo </c:v>
                </c:pt>
                <c:pt idx="11">
                  <c:v>Administración</c:v>
                </c:pt>
                <c:pt idx="12">
                  <c:v>BAR</c:v>
                </c:pt>
                <c:pt idx="13">
                  <c:v>Cocina Personal Aseo</c:v>
                </c:pt>
                <c:pt idx="14">
                  <c:v>Ambiente_9311 - E06-E07</c:v>
                </c:pt>
                <c:pt idx="15">
                  <c:v>Pasillo</c:v>
                </c:pt>
                <c:pt idx="16">
                  <c:v>Baños piso 3</c:v>
                </c:pt>
                <c:pt idx="17">
                  <c:v>Baños Piso 2</c:v>
                </c:pt>
                <c:pt idx="18">
                  <c:v>Biblioteca</c:v>
                </c:pt>
                <c:pt idx="19">
                  <c:v>Pasillo</c:v>
                </c:pt>
                <c:pt idx="20">
                  <c:v>Bañós_Administrativos</c:v>
                </c:pt>
                <c:pt idx="21">
                  <c:v>Pasillo_Interno</c:v>
                </c:pt>
              </c:strCache>
            </c:strRef>
          </c:cat>
          <c:val>
            <c:numRef>
              <c:f>Ambintes!$C$101:$C$122</c:f>
              <c:numCache>
                <c:formatCode>#,##0.0</c:formatCode>
                <c:ptCount val="22"/>
                <c:pt idx="0">
                  <c:v>2437.42</c:v>
                </c:pt>
                <c:pt idx="1">
                  <c:v>1968.1054999999999</c:v>
                </c:pt>
                <c:pt idx="2">
                  <c:v>1476.963</c:v>
                </c:pt>
                <c:pt idx="3">
                  <c:v>1471.9600000000003</c:v>
                </c:pt>
                <c:pt idx="4">
                  <c:v>988.64199999999994</c:v>
                </c:pt>
                <c:pt idx="5">
                  <c:v>972</c:v>
                </c:pt>
                <c:pt idx="6">
                  <c:v>701.05600000000004</c:v>
                </c:pt>
                <c:pt idx="7">
                  <c:v>479.04</c:v>
                </c:pt>
                <c:pt idx="8">
                  <c:v>316.64</c:v>
                </c:pt>
                <c:pt idx="9">
                  <c:v>312.12</c:v>
                </c:pt>
                <c:pt idx="10">
                  <c:v>266.39999999999998</c:v>
                </c:pt>
                <c:pt idx="11">
                  <c:v>266.15999999999997</c:v>
                </c:pt>
                <c:pt idx="12">
                  <c:v>218.64000000000001</c:v>
                </c:pt>
                <c:pt idx="13">
                  <c:v>148</c:v>
                </c:pt>
                <c:pt idx="14">
                  <c:v>94.16</c:v>
                </c:pt>
                <c:pt idx="15">
                  <c:v>23.472000000000001</c:v>
                </c:pt>
                <c:pt idx="16">
                  <c:v>19.2</c:v>
                </c:pt>
                <c:pt idx="17">
                  <c:v>17.423999999999996</c:v>
                </c:pt>
                <c:pt idx="18">
                  <c:v>14.88</c:v>
                </c:pt>
                <c:pt idx="19">
                  <c:v>7.68</c:v>
                </c:pt>
                <c:pt idx="20">
                  <c:v>2.88</c:v>
                </c:pt>
                <c:pt idx="21">
                  <c:v>1.296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8-46BE-B02E-EDB33953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6938479"/>
        <c:axId val="536218271"/>
      </c:barChart>
      <c:catAx>
        <c:axId val="39693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218271"/>
        <c:crosses val="autoZero"/>
        <c:auto val="1"/>
        <c:lblAlgn val="ctr"/>
        <c:lblOffset val="100"/>
        <c:noMultiLvlLbl val="0"/>
      </c:catAx>
      <c:valAx>
        <c:axId val="5362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69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0</xdr:row>
      <xdr:rowOff>29254</xdr:rowOff>
    </xdr:from>
    <xdr:to>
      <xdr:col>13</xdr:col>
      <xdr:colOff>503463</xdr:colOff>
      <xdr:row>18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A04117-6191-4867-BDA3-B32A6279F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58507</xdr:colOff>
      <xdr:row>18</xdr:row>
      <xdr:rowOff>780366</xdr:rowOff>
    </xdr:from>
    <xdr:to>
      <xdr:col>12</xdr:col>
      <xdr:colOff>530676</xdr:colOff>
      <xdr:row>37</xdr:row>
      <xdr:rowOff>175530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5B3D6E-BB52-4365-9B52-C648256BC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33336</xdr:rowOff>
    </xdr:from>
    <xdr:to>
      <xdr:col>11</xdr:col>
      <xdr:colOff>352425</xdr:colOff>
      <xdr:row>11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08638-293A-14CE-FD6D-22800E34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432954</xdr:colOff>
      <xdr:row>72</xdr:row>
      <xdr:rowOff>630877</xdr:rowOff>
    </xdr:from>
    <xdr:to>
      <xdr:col>13</xdr:col>
      <xdr:colOff>160812</xdr:colOff>
      <xdr:row>97</xdr:row>
      <xdr:rowOff>24740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5A490A-C9A1-BC27-BA86-38F98E2C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13</xdr:row>
      <xdr:rowOff>86591</xdr:rowOff>
    </xdr:from>
    <xdr:to>
      <xdr:col>12</xdr:col>
      <xdr:colOff>74221</xdr:colOff>
      <xdr:row>26</xdr:row>
      <xdr:rowOff>185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FB9106-A2FD-5E15-FD8D-D7B32B33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503463</xdr:colOff>
      <xdr:row>27</xdr:row>
      <xdr:rowOff>24742</xdr:rowOff>
    </xdr:from>
    <xdr:to>
      <xdr:col>12</xdr:col>
      <xdr:colOff>98960</xdr:colOff>
      <xdr:row>40</xdr:row>
      <xdr:rowOff>148442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B1E8FB-B595-5821-B4F6-44B96072E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429241</xdr:colOff>
      <xdr:row>42</xdr:row>
      <xdr:rowOff>111330</xdr:rowOff>
    </xdr:from>
    <xdr:to>
      <xdr:col>12</xdr:col>
      <xdr:colOff>74221</xdr:colOff>
      <xdr:row>55</xdr:row>
      <xdr:rowOff>12369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6D19A8-631B-637B-32C4-26AE98E7D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410689</xdr:colOff>
      <xdr:row>56</xdr:row>
      <xdr:rowOff>61849</xdr:rowOff>
    </xdr:from>
    <xdr:to>
      <xdr:col>12</xdr:col>
      <xdr:colOff>86591</xdr:colOff>
      <xdr:row>72</xdr:row>
      <xdr:rowOff>482434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6541DA-E368-ECE9-7C9B-9182CEAB2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348836</xdr:colOff>
      <xdr:row>98</xdr:row>
      <xdr:rowOff>197921</xdr:rowOff>
    </xdr:from>
    <xdr:to>
      <xdr:col>13</xdr:col>
      <xdr:colOff>222662</xdr:colOff>
      <xdr:row>127</xdr:row>
      <xdr:rowOff>12370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7EE610-9E55-C686-A0A7-105525F7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</xdr:rowOff>
    </xdr:from>
    <xdr:to>
      <xdr:col>12</xdr:col>
      <xdr:colOff>295275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30122-43C1-68CE-77D6-32FED2311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104775</xdr:rowOff>
    </xdr:from>
    <xdr:to>
      <xdr:col>12</xdr:col>
      <xdr:colOff>285750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7CF9B-48BE-FF15-DD1E-99C73E0E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38100</xdr:rowOff>
    </xdr:from>
    <xdr:to>
      <xdr:col>12</xdr:col>
      <xdr:colOff>209549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5F5BCF-DA27-59E7-83F0-444EDC74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18</xdr:row>
      <xdr:rowOff>180975</xdr:rowOff>
    </xdr:from>
    <xdr:to>
      <xdr:col>12</xdr:col>
      <xdr:colOff>209550</xdr:colOff>
      <xdr:row>34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115F61-0F83-B13A-B047-D8671EF5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109415</xdr:rowOff>
    </xdr:to>
    <xdr:sp macro="" textlink="">
      <xdr:nvSpPr>
        <xdr:cNvPr id="5121" name="AutoShape 1" descr="A close-up photograph of a campfire under a starry night sky. The image is focused on the flickering flames and glowing embers of the fire, with the background being a blurred view of a starry night. The warm light of the fire is the central element, casting a soft glow that illuminates the surrounding area. The atmosphere is serene and peaceful, capturing the essence of a quiet night in nature.">
          <a:extLst>
            <a:ext uri="{FF2B5EF4-FFF2-40B4-BE49-F238E27FC236}">
              <a16:creationId xmlns:a16="http://schemas.microsoft.com/office/drawing/2014/main" id="{ADE8AA78-DF26-F4BB-6662-22E56A07B229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753817</xdr:colOff>
      <xdr:row>0</xdr:row>
      <xdr:rowOff>0</xdr:rowOff>
    </xdr:from>
    <xdr:to>
      <xdr:col>17</xdr:col>
      <xdr:colOff>464038</xdr:colOff>
      <xdr:row>17</xdr:row>
      <xdr:rowOff>12212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D0B0B-BEC3-CA57-697A-86DA75DE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10</xdr:col>
      <xdr:colOff>9525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9BC52-F4AB-2BA6-D90F-461BAED3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728662</xdr:colOff>
      <xdr:row>16</xdr:row>
      <xdr:rowOff>176212</xdr:rowOff>
    </xdr:from>
    <xdr:to>
      <xdr:col>9</xdr:col>
      <xdr:colOff>728662</xdr:colOff>
      <xdr:row>31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3ABD0E-AFB8-50D5-A6A8-3DC768C9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123" totalsRowShown="0" headerRowDxfId="47" dataDxfId="46" tableBorderDxfId="45">
  <autoFilter ref="A1:X123" xr:uid="{00000000-0009-0000-0100-000001000000}"/>
  <tableColumns count="24">
    <tableColumn id="1" xr3:uid="{00000000-0010-0000-0000-000001000000}" name="fecha" dataDxfId="44"/>
    <tableColumn id="2" xr3:uid="{00000000-0010-0000-0000-000002000000}" name="Correo" dataDxfId="43"/>
    <tableColumn id="3" xr3:uid="{00000000-0010-0000-0000-000003000000}" name="Centro" dataDxfId="42"/>
    <tableColumn id="4" xr3:uid="{00000000-0010-0000-0000-000004000000}" name="Sede" dataDxfId="41"/>
    <tableColumn id="5" xr3:uid="{00000000-0010-0000-0000-000005000000}" name="bloque_area_edificio_zona" dataDxfId="40"/>
    <tableColumn id="6" xr3:uid="{00000000-0010-0000-0000-000006000000}" name="Piso" dataDxfId="39"/>
    <tableColumn id="7" xr3:uid="{00000000-0010-0000-0000-000007000000}" name="Tipo del Ambiente" dataDxfId="38"/>
    <tableColumn id="8" xr3:uid="{00000000-0010-0000-0000-000008000000}" name="Nombre del Ambiente" dataDxfId="37"/>
    <tableColumn id="9" xr3:uid="{00000000-0010-0000-0000-000009000000}" name="Categoria Base" dataDxfId="36"/>
    <tableColumn id="10" xr3:uid="{00000000-0010-0000-0000-00000A000000}" name="Subcategoria" dataDxfId="35"/>
    <tableColumn id="11" xr3:uid="{00000000-0010-0000-0000-00000B000000}" name="Marca" dataDxfId="34"/>
    <tableColumn id="12" xr3:uid="{00000000-0010-0000-0000-00000C000000}" name="Referencia /Modelo" dataDxfId="33"/>
    <tableColumn id="13" xr3:uid="{00000000-0010-0000-0000-00000D000000}" name="Capacidad" dataDxfId="32"/>
    <tableColumn id="14" xr3:uid="{00000000-0010-0000-0000-00000E000000}" name="Columna1" dataDxfId="31"/>
    <tableColumn id="15" xr3:uid="{00000000-0010-0000-0000-00000F000000}" name="Refrigerante" dataDxfId="30"/>
    <tableColumn id="16" xr3:uid="{00000000-0010-0000-0000-000010000000}" name="Cantidad" dataDxfId="29"/>
    <tableColumn id="17" xr3:uid="{00000000-0010-0000-0000-000011000000}" name="Frecuencia de uso" dataDxfId="28"/>
    <tableColumn id="18" xr3:uid="{00000000-0010-0000-0000-000012000000}" name="# Horas al dia" dataDxfId="27"/>
    <tableColumn id="19" xr3:uid="{00000000-0010-0000-0000-000013000000}" name="# Dias al mes" dataDxfId="26"/>
    <tableColumn id="20" xr3:uid="{00000000-0010-0000-0000-000014000000}" name="Potencia W" dataDxfId="25"/>
    <tableColumn id="21" xr3:uid="{00000000-0010-0000-0000-000015000000}" name="Voltaje (V)" dataDxfId="24"/>
    <tableColumn id="22" xr3:uid="{00000000-0010-0000-0000-000016000000}" name="Corriente (A)" dataDxfId="23"/>
    <tableColumn id="23" xr3:uid="{00000000-0010-0000-0000-000017000000}" name="Consumo_x000a_Energia KWH/mes" dataDxfId="22">
      <calculatedColumnFormula>(P2*R2*S2*T2)/1000</calculatedColumnFormula>
    </tableColumn>
    <tableColumn id="24" xr3:uid="{00000000-0010-0000-0000-000018000000}" name="observaciones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U7" totalsRowShown="0" headerRowDxfId="20" tableBorderDxfId="19">
  <autoFilter ref="A1:U7" xr:uid="{00000000-0009-0000-0100-000002000000}"/>
  <tableColumns count="21">
    <tableColumn id="1" xr3:uid="{00000000-0010-0000-0100-000001000000}" name="fecha" dataDxfId="18"/>
    <tableColumn id="2" xr3:uid="{00000000-0010-0000-0100-000002000000}" name="correo" dataDxfId="17"/>
    <tableColumn id="3" xr3:uid="{00000000-0010-0000-0100-000003000000}" name="centro" dataDxfId="16"/>
    <tableColumn id="4" xr3:uid="{00000000-0010-0000-0100-000004000000}" name="sede" dataDxfId="15"/>
    <tableColumn id="5" xr3:uid="{00000000-0010-0000-0100-000005000000}" name="bloque_area_edificio_zona" dataDxfId="14"/>
    <tableColumn id="6" xr3:uid="{00000000-0010-0000-0100-000006000000}" name="PISO" dataDxfId="13"/>
    <tableColumn id="7" xr3:uid="{00000000-0010-0000-0100-000007000000}" name="tipo_ambiente" dataDxfId="12"/>
    <tableColumn id="8" xr3:uid="{00000000-0010-0000-0100-000008000000}" name="nombre_ambiente" dataDxfId="11"/>
    <tableColumn id="9" xr3:uid="{00000000-0010-0000-0100-000009000000}" name="categoria_base" dataDxfId="10"/>
    <tableColumn id="10" xr3:uid="{00000000-0010-0000-0100-00000A000000}" name="subcategoria" dataDxfId="9"/>
    <tableColumn id="11" xr3:uid="{00000000-0010-0000-0100-00000B000000}" name="Marca " dataDxfId="8"/>
    <tableColumn id="12" xr3:uid="{00000000-0010-0000-0100-00000C000000}" name="Referencia" dataDxfId="7"/>
    <tableColumn id="13" xr3:uid="{00000000-0010-0000-0100-00000D000000}" name="cantidad"/>
    <tableColumn id="14" xr3:uid="{00000000-0010-0000-0100-00000E000000}" name="Frecuencia de uso" dataDxfId="6"/>
    <tableColumn id="15" xr3:uid="{00000000-0010-0000-0100-00000F000000}" name="horas de uso diario" dataDxfId="5"/>
    <tableColumn id="16" xr3:uid="{00000000-0010-0000-0100-000010000000}" name="Dias al mes" dataDxfId="4"/>
    <tableColumn id="17" xr3:uid="{00000000-0010-0000-0100-000011000000}" name="BTU/h Capacidad al 60%" dataDxfId="3"/>
    <tableColumn id="18" xr3:uid="{00000000-0010-0000-0100-000012000000}" name="Consumo gas en m3/hora _x000a_Poder Calorifico = 39683,2 BTU/m3" dataDxfId="2">
      <calculatedColumnFormula>Q2 / 39683.2</calculatedColumnFormula>
    </tableColumn>
    <tableColumn id="19" xr3:uid="{00000000-0010-0000-0100-000013000000}" name="m3/mes" dataDxfId="1">
      <calculatedColumnFormula>(R2*O2*P2)*M2</calculatedColumnFormula>
    </tableColumn>
    <tableColumn id="20" xr3:uid="{00000000-0010-0000-0100-000014000000}" name="Consumo Equivalente en KWh" dataDxfId="0">
      <calculatedColumnFormula>S2/3.6</calculatedColumnFormula>
    </tableColumn>
    <tableColumn id="21" xr3:uid="{00000000-0010-0000-0100-000015000000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48571"/>
  <sheetViews>
    <sheetView tabSelected="1" topLeftCell="G1" zoomScale="84" zoomScaleNormal="84" workbookViewId="0">
      <pane ySplit="1" topLeftCell="A80" activePane="bottomLeft" state="frozen"/>
      <selection pane="bottomLeft" activeCell="I1" sqref="I1"/>
    </sheetView>
  </sheetViews>
  <sheetFormatPr baseColWidth="10" defaultColWidth="11.42578125" defaultRowHeight="15" x14ac:dyDescent="0.25"/>
  <cols>
    <col min="1" max="1" width="26.85546875" bestFit="1" customWidth="1"/>
    <col min="2" max="2" width="33.5703125" bestFit="1" customWidth="1"/>
    <col min="3" max="3" width="9.5703125" style="173" customWidth="1"/>
    <col min="4" max="4" width="24.5703125" style="173" bestFit="1" customWidth="1"/>
    <col min="5" max="5" width="27.140625" style="183" customWidth="1"/>
    <col min="6" max="6" width="16" style="173" customWidth="1"/>
    <col min="7" max="7" width="25.85546875" style="184" bestFit="1" customWidth="1"/>
    <col min="8" max="8" width="26.85546875" style="173" customWidth="1"/>
    <col min="9" max="9" width="35.28515625" style="173" customWidth="1"/>
    <col min="10" max="10" width="27.28515625" style="173" customWidth="1"/>
    <col min="11" max="11" width="27.28515625" style="184" hidden="1" customWidth="1"/>
    <col min="12" max="12" width="27.28515625" style="173" hidden="1" customWidth="1"/>
    <col min="13" max="13" width="12.140625" style="173" hidden="1" customWidth="1"/>
    <col min="14" max="15" width="16.140625" style="173" hidden="1" customWidth="1"/>
    <col min="16" max="16" width="10.42578125" style="183" hidden="1" customWidth="1"/>
    <col min="17" max="17" width="19.5703125" style="183" customWidth="1"/>
    <col min="18" max="18" width="17.42578125" style="193" customWidth="1"/>
    <col min="19" max="19" width="17.5703125" style="193" customWidth="1"/>
    <col min="20" max="20" width="16.42578125" style="193" customWidth="1"/>
    <col min="21" max="21" width="12.7109375" style="193" customWidth="1"/>
    <col min="22" max="22" width="14.7109375" style="84" customWidth="1"/>
    <col min="23" max="23" width="13.42578125" style="84" customWidth="1"/>
    <col min="24" max="24" width="79.42578125" customWidth="1"/>
  </cols>
  <sheetData>
    <row r="1" spans="1:24" ht="45" x14ac:dyDescent="0.25">
      <c r="A1" s="164" t="s">
        <v>0</v>
      </c>
      <c r="B1" s="165" t="s">
        <v>1</v>
      </c>
      <c r="C1" s="170" t="s">
        <v>2</v>
      </c>
      <c r="D1" s="170" t="s">
        <v>3</v>
      </c>
      <c r="E1" s="174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5" t="s">
        <v>10</v>
      </c>
      <c r="L1" s="175" t="s">
        <v>11</v>
      </c>
      <c r="M1" s="176" t="s">
        <v>12</v>
      </c>
      <c r="N1" s="176" t="s">
        <v>13</v>
      </c>
      <c r="O1" s="177" t="s">
        <v>14</v>
      </c>
      <c r="P1" s="170" t="s">
        <v>15</v>
      </c>
      <c r="Q1" s="174" t="s">
        <v>16</v>
      </c>
      <c r="R1" s="188" t="s">
        <v>17</v>
      </c>
      <c r="S1" s="188" t="s">
        <v>18</v>
      </c>
      <c r="T1" s="188" t="s">
        <v>19</v>
      </c>
      <c r="U1" s="196" t="s">
        <v>20</v>
      </c>
      <c r="V1" s="198" t="s">
        <v>21</v>
      </c>
      <c r="W1" s="185" t="s">
        <v>22</v>
      </c>
      <c r="X1" s="166" t="s">
        <v>23</v>
      </c>
    </row>
    <row r="2" spans="1:24" x14ac:dyDescent="0.25">
      <c r="A2" s="161" t="s">
        <v>24</v>
      </c>
      <c r="B2" s="8" t="s">
        <v>25</v>
      </c>
      <c r="C2" s="171" t="s">
        <v>26</v>
      </c>
      <c r="D2" s="171" t="s">
        <v>27</v>
      </c>
      <c r="E2" s="178" t="s">
        <v>28</v>
      </c>
      <c r="F2" s="171" t="s">
        <v>29</v>
      </c>
      <c r="G2" s="179" t="s">
        <v>30</v>
      </c>
      <c r="H2" s="171" t="s">
        <v>31</v>
      </c>
      <c r="I2" s="171" t="s">
        <v>32</v>
      </c>
      <c r="J2" s="171" t="s">
        <v>33</v>
      </c>
      <c r="K2" s="179" t="s">
        <v>34</v>
      </c>
      <c r="L2" s="171" t="s">
        <v>35</v>
      </c>
      <c r="M2" s="178">
        <v>60000</v>
      </c>
      <c r="N2" s="178">
        <f>M2/12000</f>
        <v>5</v>
      </c>
      <c r="O2" s="178" t="s">
        <v>36</v>
      </c>
      <c r="P2" s="178">
        <v>3</v>
      </c>
      <c r="Q2" s="178" t="s">
        <v>37</v>
      </c>
      <c r="R2" s="189">
        <v>6</v>
      </c>
      <c r="S2" s="189">
        <v>12</v>
      </c>
      <c r="T2" s="189">
        <v>4400</v>
      </c>
      <c r="U2" s="189">
        <v>240</v>
      </c>
      <c r="V2" s="47">
        <v>20</v>
      </c>
      <c r="W2" s="47">
        <f t="shared" ref="W2:W33" si="0">(P2*R2*S2*T2)/1000</f>
        <v>950.4</v>
      </c>
      <c r="X2" s="162" t="s">
        <v>38</v>
      </c>
    </row>
    <row r="3" spans="1:24" x14ac:dyDescent="0.25">
      <c r="A3" s="161" t="s">
        <v>39</v>
      </c>
      <c r="B3" s="8" t="s">
        <v>25</v>
      </c>
      <c r="C3" s="171" t="s">
        <v>26</v>
      </c>
      <c r="D3" s="171" t="s">
        <v>27</v>
      </c>
      <c r="E3" s="178" t="s">
        <v>40</v>
      </c>
      <c r="F3" s="171" t="s">
        <v>41</v>
      </c>
      <c r="G3" s="179" t="s">
        <v>42</v>
      </c>
      <c r="H3" s="171" t="s">
        <v>43</v>
      </c>
      <c r="I3" s="171" t="s">
        <v>44</v>
      </c>
      <c r="J3" s="171" t="s">
        <v>45</v>
      </c>
      <c r="K3" s="179" t="s">
        <v>46</v>
      </c>
      <c r="L3" s="171"/>
      <c r="M3" s="171"/>
      <c r="N3" s="171"/>
      <c r="O3" s="171"/>
      <c r="P3" s="178">
        <v>1</v>
      </c>
      <c r="Q3" s="178" t="s">
        <v>37</v>
      </c>
      <c r="R3" s="190">
        <v>24</v>
      </c>
      <c r="S3" s="190">
        <v>30</v>
      </c>
      <c r="T3" s="190">
        <f>U3*V3</f>
        <v>1138.5</v>
      </c>
      <c r="U3" s="189">
        <v>115</v>
      </c>
      <c r="V3" s="186">
        <v>9.9</v>
      </c>
      <c r="W3" s="186">
        <f t="shared" si="0"/>
        <v>819.72</v>
      </c>
      <c r="X3" s="162" t="s">
        <v>47</v>
      </c>
    </row>
    <row r="4" spans="1:24" x14ac:dyDescent="0.25">
      <c r="A4" s="161" t="s">
        <v>48</v>
      </c>
      <c r="B4" s="8" t="s">
        <v>25</v>
      </c>
      <c r="C4" s="171" t="s">
        <v>26</v>
      </c>
      <c r="D4" s="171" t="s">
        <v>27</v>
      </c>
      <c r="E4" s="178" t="s">
        <v>49</v>
      </c>
      <c r="F4" s="171" t="s">
        <v>50</v>
      </c>
      <c r="G4" s="179" t="s">
        <v>42</v>
      </c>
      <c r="H4" s="171" t="s">
        <v>51</v>
      </c>
      <c r="I4" s="171" t="s">
        <v>44</v>
      </c>
      <c r="J4" s="171" t="s">
        <v>45</v>
      </c>
      <c r="K4" s="179" t="s">
        <v>52</v>
      </c>
      <c r="L4" s="171" t="s">
        <v>53</v>
      </c>
      <c r="M4" s="171"/>
      <c r="N4" s="171"/>
      <c r="O4" s="171"/>
      <c r="P4" s="178">
        <v>1</v>
      </c>
      <c r="Q4" s="178" t="s">
        <v>37</v>
      </c>
      <c r="R4" s="191">
        <v>24</v>
      </c>
      <c r="S4" s="191">
        <v>30</v>
      </c>
      <c r="T4" s="191">
        <f>U4*V4</f>
        <v>1023.5</v>
      </c>
      <c r="U4" s="189">
        <v>115</v>
      </c>
      <c r="V4" s="78">
        <v>8.9</v>
      </c>
      <c r="W4" s="78">
        <f t="shared" si="0"/>
        <v>736.92</v>
      </c>
      <c r="X4" s="162" t="s">
        <v>54</v>
      </c>
    </row>
    <row r="5" spans="1:24" x14ac:dyDescent="0.25">
      <c r="A5" s="161" t="s">
        <v>55</v>
      </c>
      <c r="B5" s="8" t="s">
        <v>56</v>
      </c>
      <c r="C5" s="171" t="s">
        <v>26</v>
      </c>
      <c r="D5" s="171" t="s">
        <v>27</v>
      </c>
      <c r="E5" s="178" t="s">
        <v>40</v>
      </c>
      <c r="F5" s="171" t="s">
        <v>41</v>
      </c>
      <c r="G5" s="179" t="s">
        <v>42</v>
      </c>
      <c r="H5" s="171" t="s">
        <v>57</v>
      </c>
      <c r="I5" s="171" t="s">
        <v>44</v>
      </c>
      <c r="J5" s="171" t="s">
        <v>45</v>
      </c>
      <c r="K5" s="179" t="s">
        <v>46</v>
      </c>
      <c r="L5" s="171"/>
      <c r="M5" s="171"/>
      <c r="N5" s="171"/>
      <c r="O5" s="171"/>
      <c r="P5" s="178">
        <v>1</v>
      </c>
      <c r="Q5" s="178" t="s">
        <v>37</v>
      </c>
      <c r="R5" s="189">
        <v>24</v>
      </c>
      <c r="S5" s="189">
        <v>30</v>
      </c>
      <c r="T5" s="189">
        <f>U5*V5</f>
        <v>1023.5</v>
      </c>
      <c r="U5" s="189">
        <v>115</v>
      </c>
      <c r="V5" s="47">
        <v>8.9</v>
      </c>
      <c r="W5" s="47">
        <f t="shared" si="0"/>
        <v>736.92</v>
      </c>
      <c r="X5" s="162" t="s">
        <v>58</v>
      </c>
    </row>
    <row r="6" spans="1:24" x14ac:dyDescent="0.25">
      <c r="A6" s="161" t="s">
        <v>59</v>
      </c>
      <c r="B6" s="8" t="s">
        <v>60</v>
      </c>
      <c r="C6" s="171" t="s">
        <v>26</v>
      </c>
      <c r="D6" s="171" t="s">
        <v>27</v>
      </c>
      <c r="E6" s="178" t="s">
        <v>40</v>
      </c>
      <c r="F6" s="171" t="s">
        <v>41</v>
      </c>
      <c r="G6" s="179" t="s">
        <v>61</v>
      </c>
      <c r="H6" s="171" t="s">
        <v>62</v>
      </c>
      <c r="I6" s="171" t="s">
        <v>44</v>
      </c>
      <c r="J6" s="171" t="s">
        <v>45</v>
      </c>
      <c r="K6" s="179"/>
      <c r="L6" s="171"/>
      <c r="M6" s="171"/>
      <c r="N6" s="171"/>
      <c r="O6" s="171"/>
      <c r="P6" s="178">
        <v>1</v>
      </c>
      <c r="Q6" s="178" t="s">
        <v>37</v>
      </c>
      <c r="R6" s="189">
        <v>24</v>
      </c>
      <c r="S6" s="189">
        <v>30</v>
      </c>
      <c r="T6" s="189">
        <v>1000</v>
      </c>
      <c r="U6" s="189">
        <v>115</v>
      </c>
      <c r="V6" s="47">
        <v>9</v>
      </c>
      <c r="W6" s="47">
        <f t="shared" si="0"/>
        <v>720</v>
      </c>
      <c r="X6" s="162" t="s">
        <v>63</v>
      </c>
    </row>
    <row r="7" spans="1:24" x14ac:dyDescent="0.25">
      <c r="A7" s="161" t="s">
        <v>64</v>
      </c>
      <c r="B7" s="8" t="s">
        <v>25</v>
      </c>
      <c r="C7" s="171" t="s">
        <v>26</v>
      </c>
      <c r="D7" s="171" t="s">
        <v>27</v>
      </c>
      <c r="E7" s="178" t="s">
        <v>49</v>
      </c>
      <c r="F7" s="171" t="s">
        <v>50</v>
      </c>
      <c r="G7" s="179" t="s">
        <v>42</v>
      </c>
      <c r="H7" s="171" t="s">
        <v>51</v>
      </c>
      <c r="I7" s="171" t="s">
        <v>44</v>
      </c>
      <c r="J7" s="171" t="s">
        <v>65</v>
      </c>
      <c r="K7" s="179" t="s">
        <v>66</v>
      </c>
      <c r="L7" s="171" t="s">
        <v>67</v>
      </c>
      <c r="M7" s="171"/>
      <c r="N7" s="171"/>
      <c r="O7" s="171"/>
      <c r="P7" s="178">
        <v>2</v>
      </c>
      <c r="Q7" s="178" t="s">
        <v>37</v>
      </c>
      <c r="R7" s="191">
        <v>6</v>
      </c>
      <c r="S7" s="191">
        <v>15</v>
      </c>
      <c r="T7" s="191">
        <v>3700</v>
      </c>
      <c r="U7" s="189">
        <v>240</v>
      </c>
      <c r="V7" s="78"/>
      <c r="W7" s="78">
        <f>(P7*R7*S7*T7)/1000</f>
        <v>666</v>
      </c>
      <c r="X7" s="162" t="s">
        <v>68</v>
      </c>
    </row>
    <row r="8" spans="1:24" x14ac:dyDescent="0.25">
      <c r="A8" s="161" t="s">
        <v>69</v>
      </c>
      <c r="B8" s="8" t="s">
        <v>60</v>
      </c>
      <c r="C8" s="171" t="s">
        <v>26</v>
      </c>
      <c r="D8" s="171" t="s">
        <v>27</v>
      </c>
      <c r="E8" s="178" t="s">
        <v>40</v>
      </c>
      <c r="F8" s="171" t="s">
        <v>41</v>
      </c>
      <c r="G8" s="179" t="s">
        <v>61</v>
      </c>
      <c r="H8" s="171" t="s">
        <v>62</v>
      </c>
      <c r="I8" s="171" t="s">
        <v>44</v>
      </c>
      <c r="J8" s="171" t="s">
        <v>45</v>
      </c>
      <c r="K8" s="179"/>
      <c r="L8" s="171"/>
      <c r="M8" s="171"/>
      <c r="N8" s="171"/>
      <c r="O8" s="171"/>
      <c r="P8" s="178">
        <v>1</v>
      </c>
      <c r="Q8" s="178" t="s">
        <v>37</v>
      </c>
      <c r="R8" s="189">
        <v>24</v>
      </c>
      <c r="S8" s="189">
        <v>30</v>
      </c>
      <c r="T8" s="189">
        <v>800</v>
      </c>
      <c r="U8" s="189">
        <v>115</v>
      </c>
      <c r="V8" s="47"/>
      <c r="W8" s="47">
        <f t="shared" si="0"/>
        <v>576</v>
      </c>
      <c r="X8" s="162" t="s">
        <v>70</v>
      </c>
    </row>
    <row r="9" spans="1:24" x14ac:dyDescent="0.25">
      <c r="A9" s="161" t="s">
        <v>71</v>
      </c>
      <c r="B9" s="8" t="s">
        <v>72</v>
      </c>
      <c r="C9" s="171" t="s">
        <v>26</v>
      </c>
      <c r="D9" s="171" t="s">
        <v>27</v>
      </c>
      <c r="E9" s="178" t="s">
        <v>28</v>
      </c>
      <c r="F9" s="171" t="s">
        <v>29</v>
      </c>
      <c r="G9" s="179" t="s">
        <v>73</v>
      </c>
      <c r="H9" s="171" t="s">
        <v>74</v>
      </c>
      <c r="I9" s="171" t="s">
        <v>75</v>
      </c>
      <c r="J9" s="171" t="s">
        <v>76</v>
      </c>
      <c r="K9" s="179"/>
      <c r="L9" s="171"/>
      <c r="M9" s="171"/>
      <c r="N9" s="171"/>
      <c r="O9" s="171"/>
      <c r="P9" s="178">
        <v>1</v>
      </c>
      <c r="Q9" s="178" t="s">
        <v>37</v>
      </c>
      <c r="R9" s="189">
        <v>24</v>
      </c>
      <c r="S9" s="189">
        <v>30</v>
      </c>
      <c r="T9" s="189">
        <v>800</v>
      </c>
      <c r="U9" s="189">
        <v>115</v>
      </c>
      <c r="V9" s="47">
        <v>1</v>
      </c>
      <c r="W9" s="47">
        <f t="shared" si="0"/>
        <v>576</v>
      </c>
      <c r="X9" s="162"/>
    </row>
    <row r="10" spans="1:24" x14ac:dyDescent="0.25">
      <c r="A10" s="161" t="s">
        <v>77</v>
      </c>
      <c r="B10" s="8" t="s">
        <v>60</v>
      </c>
      <c r="C10" s="171" t="s">
        <v>26</v>
      </c>
      <c r="D10" s="171" t="s">
        <v>27</v>
      </c>
      <c r="E10" s="178" t="s">
        <v>40</v>
      </c>
      <c r="F10" s="171" t="s">
        <v>41</v>
      </c>
      <c r="G10" s="179" t="s">
        <v>61</v>
      </c>
      <c r="H10" s="171" t="s">
        <v>62</v>
      </c>
      <c r="I10" s="171" t="s">
        <v>44</v>
      </c>
      <c r="J10" s="171" t="s">
        <v>45</v>
      </c>
      <c r="K10" s="179"/>
      <c r="L10" s="171"/>
      <c r="M10" s="171"/>
      <c r="N10" s="171"/>
      <c r="O10" s="171"/>
      <c r="P10" s="178">
        <v>1</v>
      </c>
      <c r="Q10" s="178" t="s">
        <v>37</v>
      </c>
      <c r="R10" s="189">
        <v>24</v>
      </c>
      <c r="S10" s="189">
        <v>30</v>
      </c>
      <c r="T10" s="189">
        <v>746</v>
      </c>
      <c r="U10" s="189">
        <v>115</v>
      </c>
      <c r="V10" s="47">
        <v>10.5</v>
      </c>
      <c r="W10" s="47">
        <f t="shared" si="0"/>
        <v>537.12</v>
      </c>
      <c r="X10" s="162" t="s">
        <v>78</v>
      </c>
    </row>
    <row r="11" spans="1:24" x14ac:dyDescent="0.25">
      <c r="A11" s="161" t="s">
        <v>79</v>
      </c>
      <c r="B11" s="8" t="s">
        <v>60</v>
      </c>
      <c r="C11" s="171" t="s">
        <v>26</v>
      </c>
      <c r="D11" s="171" t="s">
        <v>27</v>
      </c>
      <c r="E11" s="178" t="s">
        <v>40</v>
      </c>
      <c r="F11" s="171" t="s">
        <v>41</v>
      </c>
      <c r="G11" s="179" t="s">
        <v>61</v>
      </c>
      <c r="H11" s="171" t="s">
        <v>62</v>
      </c>
      <c r="I11" s="171" t="s">
        <v>44</v>
      </c>
      <c r="J11" s="171" t="s">
        <v>45</v>
      </c>
      <c r="K11" s="179"/>
      <c r="L11" s="171"/>
      <c r="M11" s="171"/>
      <c r="N11" s="171"/>
      <c r="O11" s="171"/>
      <c r="P11" s="178">
        <v>1</v>
      </c>
      <c r="Q11" s="178" t="s">
        <v>37</v>
      </c>
      <c r="R11" s="189">
        <v>24</v>
      </c>
      <c r="S11" s="189">
        <v>30</v>
      </c>
      <c r="T11" s="189">
        <v>700</v>
      </c>
      <c r="U11" s="189">
        <v>115</v>
      </c>
      <c r="V11" s="47" t="s">
        <v>80</v>
      </c>
      <c r="W11" s="47">
        <f t="shared" si="0"/>
        <v>504</v>
      </c>
      <c r="X11" s="162" t="s">
        <v>81</v>
      </c>
    </row>
    <row r="12" spans="1:24" x14ac:dyDescent="0.25">
      <c r="A12" s="161" t="s">
        <v>82</v>
      </c>
      <c r="B12" s="8" t="s">
        <v>56</v>
      </c>
      <c r="C12" s="171" t="s">
        <v>26</v>
      </c>
      <c r="D12" s="171" t="s">
        <v>27</v>
      </c>
      <c r="E12" s="178" t="s">
        <v>40</v>
      </c>
      <c r="F12" s="171" t="s">
        <v>41</v>
      </c>
      <c r="G12" s="179" t="s">
        <v>42</v>
      </c>
      <c r="H12" s="171" t="s">
        <v>83</v>
      </c>
      <c r="I12" s="171" t="s">
        <v>44</v>
      </c>
      <c r="J12" s="171" t="s">
        <v>84</v>
      </c>
      <c r="K12" s="179" t="s">
        <v>85</v>
      </c>
      <c r="L12" s="171"/>
      <c r="M12" s="171"/>
      <c r="N12" s="171"/>
      <c r="O12" s="171"/>
      <c r="P12" s="178">
        <v>1</v>
      </c>
      <c r="Q12" s="178" t="s">
        <v>86</v>
      </c>
      <c r="R12" s="189">
        <v>2</v>
      </c>
      <c r="S12" s="189">
        <v>12</v>
      </c>
      <c r="T12" s="194">
        <v>19000</v>
      </c>
      <c r="U12" s="197"/>
      <c r="V12" s="47"/>
      <c r="W12" s="47">
        <f t="shared" si="0"/>
        <v>456</v>
      </c>
      <c r="X12" s="162" t="s">
        <v>87</v>
      </c>
    </row>
    <row r="13" spans="1:24" x14ac:dyDescent="0.25">
      <c r="A13" s="161" t="s">
        <v>88</v>
      </c>
      <c r="B13" s="8" t="s">
        <v>89</v>
      </c>
      <c r="C13" s="171" t="s">
        <v>26</v>
      </c>
      <c r="D13" s="171" t="s">
        <v>27</v>
      </c>
      <c r="E13" s="178" t="s">
        <v>40</v>
      </c>
      <c r="F13" s="171" t="s">
        <v>41</v>
      </c>
      <c r="G13" s="179" t="s">
        <v>42</v>
      </c>
      <c r="H13" s="171" t="s">
        <v>57</v>
      </c>
      <c r="I13" s="171" t="s">
        <v>44</v>
      </c>
      <c r="J13" s="171" t="s">
        <v>45</v>
      </c>
      <c r="K13" s="179" t="s">
        <v>46</v>
      </c>
      <c r="L13" s="171"/>
      <c r="M13" s="171"/>
      <c r="N13" s="171"/>
      <c r="O13" s="171"/>
      <c r="P13" s="178">
        <v>1</v>
      </c>
      <c r="Q13" s="178" t="s">
        <v>37</v>
      </c>
      <c r="R13" s="189">
        <v>24</v>
      </c>
      <c r="S13" s="189">
        <v>30</v>
      </c>
      <c r="T13" s="189">
        <f>U13*V13</f>
        <v>632.5</v>
      </c>
      <c r="U13" s="189">
        <v>115</v>
      </c>
      <c r="V13" s="47">
        <v>5.5</v>
      </c>
      <c r="W13" s="47">
        <f t="shared" si="0"/>
        <v>455.4</v>
      </c>
      <c r="X13" s="162" t="s">
        <v>90</v>
      </c>
    </row>
    <row r="14" spans="1:24" x14ac:dyDescent="0.25">
      <c r="A14" s="161" t="s">
        <v>91</v>
      </c>
      <c r="B14" s="8" t="s">
        <v>92</v>
      </c>
      <c r="C14" s="171" t="s">
        <v>26</v>
      </c>
      <c r="D14" s="171" t="s">
        <v>27</v>
      </c>
      <c r="E14" s="178" t="s">
        <v>93</v>
      </c>
      <c r="F14" s="171" t="s">
        <v>94</v>
      </c>
      <c r="G14" s="179" t="s">
        <v>95</v>
      </c>
      <c r="H14" s="171" t="s">
        <v>96</v>
      </c>
      <c r="I14" s="171" t="s">
        <v>32</v>
      </c>
      <c r="J14" s="171" t="s">
        <v>97</v>
      </c>
      <c r="K14" s="179"/>
      <c r="L14" s="171"/>
      <c r="M14" s="178">
        <v>18000</v>
      </c>
      <c r="N14" s="178">
        <f>M14/12000</f>
        <v>1.5</v>
      </c>
      <c r="O14" s="178" t="s">
        <v>36</v>
      </c>
      <c r="P14" s="178">
        <v>1</v>
      </c>
      <c r="Q14" s="178" t="s">
        <v>37</v>
      </c>
      <c r="R14" s="189">
        <v>8</v>
      </c>
      <c r="S14" s="189">
        <v>20</v>
      </c>
      <c r="T14" s="189">
        <v>1900</v>
      </c>
      <c r="U14" s="189">
        <v>240</v>
      </c>
      <c r="V14" s="47">
        <v>11.7</v>
      </c>
      <c r="W14" s="47">
        <f t="shared" si="0"/>
        <v>304</v>
      </c>
      <c r="X14" s="162" t="s">
        <v>98</v>
      </c>
    </row>
    <row r="15" spans="1:24" x14ac:dyDescent="0.25">
      <c r="A15" s="161" t="s">
        <v>71</v>
      </c>
      <c r="B15" s="8" t="s">
        <v>72</v>
      </c>
      <c r="C15" s="171" t="s">
        <v>26</v>
      </c>
      <c r="D15" s="171" t="s">
        <v>27</v>
      </c>
      <c r="E15" s="178" t="s">
        <v>28</v>
      </c>
      <c r="F15" s="171" t="s">
        <v>29</v>
      </c>
      <c r="G15" s="179" t="s">
        <v>73</v>
      </c>
      <c r="H15" s="171" t="s">
        <v>74</v>
      </c>
      <c r="I15" s="171" t="s">
        <v>75</v>
      </c>
      <c r="J15" s="171" t="s">
        <v>99</v>
      </c>
      <c r="K15" s="179"/>
      <c r="L15" s="171"/>
      <c r="M15" s="171"/>
      <c r="N15" s="171"/>
      <c r="O15" s="171"/>
      <c r="P15" s="178">
        <v>1</v>
      </c>
      <c r="Q15" s="178" t="s">
        <v>37</v>
      </c>
      <c r="R15" s="189">
        <v>24</v>
      </c>
      <c r="S15" s="189">
        <v>30</v>
      </c>
      <c r="T15" s="189">
        <v>400</v>
      </c>
      <c r="U15" s="189"/>
      <c r="V15" s="47"/>
      <c r="W15" s="47">
        <f t="shared" si="0"/>
        <v>288</v>
      </c>
      <c r="X15" s="162"/>
    </row>
    <row r="16" spans="1:24" x14ac:dyDescent="0.25">
      <c r="A16" s="161" t="s">
        <v>100</v>
      </c>
      <c r="B16" s="8" t="s">
        <v>72</v>
      </c>
      <c r="C16" s="171" t="s">
        <v>26</v>
      </c>
      <c r="D16" s="171" t="s">
        <v>27</v>
      </c>
      <c r="E16" s="178" t="s">
        <v>28</v>
      </c>
      <c r="F16" s="171" t="s">
        <v>29</v>
      </c>
      <c r="G16" s="179" t="s">
        <v>30</v>
      </c>
      <c r="H16" s="171" t="s">
        <v>31</v>
      </c>
      <c r="I16" s="171" t="s">
        <v>101</v>
      </c>
      <c r="J16" s="171" t="s">
        <v>102</v>
      </c>
      <c r="K16" s="179"/>
      <c r="L16" s="171"/>
      <c r="M16" s="171"/>
      <c r="N16" s="171"/>
      <c r="O16" s="171"/>
      <c r="P16" s="178">
        <v>6</v>
      </c>
      <c r="Q16" s="178" t="s">
        <v>37</v>
      </c>
      <c r="R16" s="189">
        <v>24</v>
      </c>
      <c r="S16" s="189">
        <v>30</v>
      </c>
      <c r="T16" s="189">
        <v>65</v>
      </c>
      <c r="U16" s="189">
        <v>115</v>
      </c>
      <c r="V16" s="47"/>
      <c r="W16" s="47">
        <f t="shared" si="0"/>
        <v>280.8</v>
      </c>
      <c r="X16" s="162" t="s">
        <v>103</v>
      </c>
    </row>
    <row r="17" spans="1:64" x14ac:dyDescent="0.25">
      <c r="A17" s="161" t="s">
        <v>104</v>
      </c>
      <c r="B17" s="8" t="s">
        <v>72</v>
      </c>
      <c r="C17" s="171" t="s">
        <v>26</v>
      </c>
      <c r="D17" s="171" t="s">
        <v>27</v>
      </c>
      <c r="E17" s="178" t="s">
        <v>49</v>
      </c>
      <c r="F17" s="171" t="s">
        <v>50</v>
      </c>
      <c r="G17" s="179" t="s">
        <v>73</v>
      </c>
      <c r="H17" s="171" t="s">
        <v>105</v>
      </c>
      <c r="I17" s="171" t="s">
        <v>44</v>
      </c>
      <c r="J17" s="171" t="s">
        <v>45</v>
      </c>
      <c r="K17" s="179" t="s">
        <v>106</v>
      </c>
      <c r="L17" s="171" t="s">
        <v>107</v>
      </c>
      <c r="M17" s="171"/>
      <c r="N17" s="171"/>
      <c r="O17" s="171"/>
      <c r="P17" s="178">
        <v>1</v>
      </c>
      <c r="Q17" s="178" t="s">
        <v>37</v>
      </c>
      <c r="R17" s="189">
        <v>24</v>
      </c>
      <c r="S17" s="189">
        <v>30</v>
      </c>
      <c r="T17" s="189">
        <v>370</v>
      </c>
      <c r="U17" s="189">
        <v>115</v>
      </c>
      <c r="V17" s="47">
        <v>5</v>
      </c>
      <c r="W17" s="47">
        <f t="shared" si="0"/>
        <v>266.39999999999998</v>
      </c>
      <c r="X17" s="162" t="s">
        <v>108</v>
      </c>
    </row>
    <row r="18" spans="1:64" x14ac:dyDescent="0.25">
      <c r="A18" s="161" t="s">
        <v>109</v>
      </c>
      <c r="B18" s="8" t="s">
        <v>89</v>
      </c>
      <c r="C18" s="171" t="s">
        <v>26</v>
      </c>
      <c r="D18" s="171" t="s">
        <v>27</v>
      </c>
      <c r="E18" s="178" t="s">
        <v>40</v>
      </c>
      <c r="F18" s="171" t="s">
        <v>41</v>
      </c>
      <c r="G18" s="179" t="s">
        <v>73</v>
      </c>
      <c r="H18" s="171" t="s">
        <v>110</v>
      </c>
      <c r="I18" s="171" t="s">
        <v>44</v>
      </c>
      <c r="J18" s="171" t="s">
        <v>45</v>
      </c>
      <c r="K18" s="179" t="s">
        <v>111</v>
      </c>
      <c r="L18" s="171" t="s">
        <v>112</v>
      </c>
      <c r="M18" s="171"/>
      <c r="N18" s="171"/>
      <c r="O18" s="171"/>
      <c r="P18" s="178">
        <v>1</v>
      </c>
      <c r="Q18" s="178" t="s">
        <v>37</v>
      </c>
      <c r="R18" s="189">
        <v>24</v>
      </c>
      <c r="S18" s="189">
        <v>30</v>
      </c>
      <c r="T18" s="189">
        <v>370</v>
      </c>
      <c r="U18" s="189">
        <v>115</v>
      </c>
      <c r="V18" s="47">
        <v>5</v>
      </c>
      <c r="W18" s="47">
        <f t="shared" si="0"/>
        <v>266.39999999999998</v>
      </c>
      <c r="X18" s="162" t="s">
        <v>113</v>
      </c>
    </row>
    <row r="19" spans="1:64" x14ac:dyDescent="0.25">
      <c r="A19" s="161" t="s">
        <v>114</v>
      </c>
      <c r="B19" s="8" t="s">
        <v>25</v>
      </c>
      <c r="C19" s="171" t="s">
        <v>26</v>
      </c>
      <c r="D19" s="171" t="s">
        <v>27</v>
      </c>
      <c r="E19" s="178" t="s">
        <v>49</v>
      </c>
      <c r="F19" s="171" t="s">
        <v>50</v>
      </c>
      <c r="G19" s="179" t="s">
        <v>42</v>
      </c>
      <c r="H19" s="171" t="s">
        <v>51</v>
      </c>
      <c r="I19" s="171" t="s">
        <v>44</v>
      </c>
      <c r="J19" s="171" t="s">
        <v>45</v>
      </c>
      <c r="K19" s="179" t="s">
        <v>115</v>
      </c>
      <c r="L19" s="171"/>
      <c r="M19" s="171"/>
      <c r="N19" s="171"/>
      <c r="O19" s="171"/>
      <c r="P19" s="178">
        <v>1</v>
      </c>
      <c r="Q19" s="178" t="s">
        <v>37</v>
      </c>
      <c r="R19" s="191">
        <v>24</v>
      </c>
      <c r="S19" s="191">
        <v>30</v>
      </c>
      <c r="T19" s="191">
        <v>310</v>
      </c>
      <c r="U19" s="191"/>
      <c r="V19" s="78"/>
      <c r="W19" s="78">
        <f t="shared" si="0"/>
        <v>223.2</v>
      </c>
      <c r="X19" s="162" t="s">
        <v>116</v>
      </c>
    </row>
    <row r="20" spans="1:64" x14ac:dyDescent="0.25">
      <c r="A20" s="161" t="s">
        <v>117</v>
      </c>
      <c r="B20" s="8" t="s">
        <v>56</v>
      </c>
      <c r="C20" s="171" t="s">
        <v>26</v>
      </c>
      <c r="D20" s="171" t="s">
        <v>27</v>
      </c>
      <c r="E20" s="178" t="s">
        <v>49</v>
      </c>
      <c r="F20" s="171" t="s">
        <v>50</v>
      </c>
      <c r="G20" s="179" t="s">
        <v>95</v>
      </c>
      <c r="H20" s="171" t="s">
        <v>118</v>
      </c>
      <c r="I20" s="171" t="s">
        <v>32</v>
      </c>
      <c r="J20" s="171" t="s">
        <v>97</v>
      </c>
      <c r="K20" s="179" t="s">
        <v>119</v>
      </c>
      <c r="L20" s="171"/>
      <c r="M20" s="178">
        <v>12000</v>
      </c>
      <c r="N20" s="178">
        <f>M20/12000</f>
        <v>1</v>
      </c>
      <c r="O20" s="178" t="s">
        <v>36</v>
      </c>
      <c r="P20" s="178">
        <v>1</v>
      </c>
      <c r="Q20" s="178" t="s">
        <v>37</v>
      </c>
      <c r="R20" s="189">
        <v>8</v>
      </c>
      <c r="S20" s="189">
        <v>20</v>
      </c>
      <c r="T20" s="189">
        <v>1200</v>
      </c>
      <c r="U20" s="189">
        <v>240</v>
      </c>
      <c r="V20" s="47">
        <f>T20/U20</f>
        <v>5</v>
      </c>
      <c r="W20" s="47">
        <f t="shared" si="0"/>
        <v>192</v>
      </c>
      <c r="X20" s="162" t="s">
        <v>120</v>
      </c>
    </row>
    <row r="21" spans="1:64" x14ac:dyDescent="0.25">
      <c r="A21" s="161" t="s">
        <v>121</v>
      </c>
      <c r="B21" s="8" t="s">
        <v>25</v>
      </c>
      <c r="C21" s="171" t="s">
        <v>26</v>
      </c>
      <c r="D21" s="171" t="s">
        <v>27</v>
      </c>
      <c r="E21" s="178" t="s">
        <v>49</v>
      </c>
      <c r="F21" s="171" t="s">
        <v>50</v>
      </c>
      <c r="G21" s="179" t="s">
        <v>42</v>
      </c>
      <c r="H21" s="171" t="s">
        <v>122</v>
      </c>
      <c r="I21" s="171" t="s">
        <v>44</v>
      </c>
      <c r="J21" s="171" t="s">
        <v>45</v>
      </c>
      <c r="K21" s="179" t="s">
        <v>46</v>
      </c>
      <c r="L21" s="171" t="s">
        <v>123</v>
      </c>
      <c r="M21" s="171"/>
      <c r="N21" s="171"/>
      <c r="O21" s="171"/>
      <c r="P21" s="178">
        <v>1</v>
      </c>
      <c r="Q21" s="178" t="s">
        <v>37</v>
      </c>
      <c r="R21" s="189">
        <v>24</v>
      </c>
      <c r="S21" s="189">
        <v>30</v>
      </c>
      <c r="T21" s="189">
        <f>U21*V21</f>
        <v>264.5</v>
      </c>
      <c r="U21" s="189">
        <v>115</v>
      </c>
      <c r="V21" s="47">
        <v>2.2999999999999998</v>
      </c>
      <c r="W21" s="47">
        <f t="shared" si="0"/>
        <v>190.44</v>
      </c>
      <c r="X21" s="162" t="s">
        <v>124</v>
      </c>
    </row>
    <row r="22" spans="1:64" x14ac:dyDescent="0.25">
      <c r="A22" s="161" t="s">
        <v>125</v>
      </c>
      <c r="B22" s="8" t="s">
        <v>92</v>
      </c>
      <c r="C22" s="171" t="s">
        <v>26</v>
      </c>
      <c r="D22" s="171" t="s">
        <v>27</v>
      </c>
      <c r="E22" s="178" t="s">
        <v>28</v>
      </c>
      <c r="F22" s="171" t="s">
        <v>29</v>
      </c>
      <c r="G22" s="179" t="s">
        <v>30</v>
      </c>
      <c r="H22" s="171" t="s">
        <v>31</v>
      </c>
      <c r="I22" s="171" t="s">
        <v>126</v>
      </c>
      <c r="J22" s="171" t="s">
        <v>127</v>
      </c>
      <c r="K22" s="179"/>
      <c r="L22" s="171"/>
      <c r="M22" s="171"/>
      <c r="N22" s="171"/>
      <c r="O22" s="171"/>
      <c r="P22" s="178">
        <v>79</v>
      </c>
      <c r="Q22" s="178" t="s">
        <v>37</v>
      </c>
      <c r="R22" s="189">
        <v>8</v>
      </c>
      <c r="S22" s="189">
        <v>16</v>
      </c>
      <c r="T22" s="189">
        <v>18</v>
      </c>
      <c r="U22" s="189"/>
      <c r="V22" s="47"/>
      <c r="W22" s="47">
        <f t="shared" si="0"/>
        <v>182.01599999999999</v>
      </c>
      <c r="X22" s="162" t="s">
        <v>128</v>
      </c>
    </row>
    <row r="23" spans="1:64" x14ac:dyDescent="0.25">
      <c r="A23" s="161" t="s">
        <v>129</v>
      </c>
      <c r="B23" s="8" t="s">
        <v>130</v>
      </c>
      <c r="C23" s="171" t="s">
        <v>26</v>
      </c>
      <c r="D23" s="171" t="s">
        <v>27</v>
      </c>
      <c r="E23" s="178" t="s">
        <v>40</v>
      </c>
      <c r="F23" s="171" t="s">
        <v>41</v>
      </c>
      <c r="G23" s="179" t="s">
        <v>42</v>
      </c>
      <c r="H23" s="171" t="s">
        <v>43</v>
      </c>
      <c r="I23" s="171" t="s">
        <v>44</v>
      </c>
      <c r="J23" s="171" t="s">
        <v>131</v>
      </c>
      <c r="K23" s="179" t="s">
        <v>132</v>
      </c>
      <c r="L23" s="171"/>
      <c r="M23" s="171"/>
      <c r="N23" s="171"/>
      <c r="O23" s="171"/>
      <c r="P23" s="178">
        <v>1</v>
      </c>
      <c r="Q23" s="178" t="s">
        <v>37</v>
      </c>
      <c r="R23" s="190">
        <v>2</v>
      </c>
      <c r="S23" s="190">
        <v>12</v>
      </c>
      <c r="T23" s="190">
        <v>6375</v>
      </c>
      <c r="U23" s="190"/>
      <c r="V23" s="186"/>
      <c r="W23" s="186">
        <f t="shared" si="0"/>
        <v>153</v>
      </c>
      <c r="X23" s="162" t="s">
        <v>133</v>
      </c>
    </row>
    <row r="24" spans="1:64" x14ac:dyDescent="0.25">
      <c r="A24" s="161" t="s">
        <v>134</v>
      </c>
      <c r="B24" s="8" t="s">
        <v>25</v>
      </c>
      <c r="C24" s="171" t="s">
        <v>26</v>
      </c>
      <c r="D24" s="171" t="s">
        <v>27</v>
      </c>
      <c r="E24" s="178" t="s">
        <v>49</v>
      </c>
      <c r="F24" s="171" t="s">
        <v>50</v>
      </c>
      <c r="G24" s="179" t="s">
        <v>42</v>
      </c>
      <c r="H24" s="171" t="s">
        <v>51</v>
      </c>
      <c r="I24" s="171" t="s">
        <v>44</v>
      </c>
      <c r="J24" s="171" t="s">
        <v>135</v>
      </c>
      <c r="K24" s="179" t="s">
        <v>136</v>
      </c>
      <c r="L24" s="171"/>
      <c r="M24" s="171"/>
      <c r="N24" s="171"/>
      <c r="O24" s="171"/>
      <c r="P24" s="178">
        <v>1</v>
      </c>
      <c r="Q24" s="178" t="s">
        <v>37</v>
      </c>
      <c r="R24" s="191">
        <v>4</v>
      </c>
      <c r="S24" s="191">
        <v>15</v>
      </c>
      <c r="T24" s="191">
        <f>U24*V24</f>
        <v>2300</v>
      </c>
      <c r="U24" s="189">
        <v>115</v>
      </c>
      <c r="V24" s="78">
        <v>20</v>
      </c>
      <c r="W24" s="78">
        <f t="shared" si="0"/>
        <v>138</v>
      </c>
      <c r="X24" s="162" t="s">
        <v>137</v>
      </c>
    </row>
    <row r="25" spans="1:64" x14ac:dyDescent="0.25">
      <c r="A25" s="161" t="s">
        <v>138</v>
      </c>
      <c r="B25" s="8" t="s">
        <v>92</v>
      </c>
      <c r="C25" s="171" t="s">
        <v>26</v>
      </c>
      <c r="D25" s="171" t="s">
        <v>27</v>
      </c>
      <c r="E25" s="178" t="s">
        <v>49</v>
      </c>
      <c r="F25" s="171" t="s">
        <v>50</v>
      </c>
      <c r="G25" s="179" t="s">
        <v>42</v>
      </c>
      <c r="H25" s="171" t="s">
        <v>122</v>
      </c>
      <c r="I25" s="171" t="s">
        <v>44</v>
      </c>
      <c r="J25" s="171" t="s">
        <v>131</v>
      </c>
      <c r="K25" s="179" t="s">
        <v>139</v>
      </c>
      <c r="L25" s="171" t="s">
        <v>140</v>
      </c>
      <c r="M25" s="171"/>
      <c r="N25" s="171"/>
      <c r="O25" s="171"/>
      <c r="P25" s="178">
        <v>1</v>
      </c>
      <c r="Q25" s="178" t="s">
        <v>37</v>
      </c>
      <c r="R25" s="189">
        <v>6</v>
      </c>
      <c r="S25" s="189">
        <v>15</v>
      </c>
      <c r="T25" s="189">
        <v>1400</v>
      </c>
      <c r="U25" s="189">
        <v>240</v>
      </c>
      <c r="V25" s="47"/>
      <c r="W25" s="47">
        <f t="shared" si="0"/>
        <v>126</v>
      </c>
      <c r="X25" s="163" t="s">
        <v>141</v>
      </c>
    </row>
    <row r="26" spans="1:64" s="3" customFormat="1" x14ac:dyDescent="0.25">
      <c r="A26" s="161" t="s">
        <v>142</v>
      </c>
      <c r="B26" s="8" t="s">
        <v>25</v>
      </c>
      <c r="C26" s="171" t="s">
        <v>26</v>
      </c>
      <c r="D26" s="171" t="s">
        <v>27</v>
      </c>
      <c r="E26" s="178" t="s">
        <v>40</v>
      </c>
      <c r="F26" s="171" t="s">
        <v>41</v>
      </c>
      <c r="G26" s="179" t="s">
        <v>42</v>
      </c>
      <c r="H26" s="171" t="s">
        <v>143</v>
      </c>
      <c r="I26" s="171" t="s">
        <v>44</v>
      </c>
      <c r="J26" s="171" t="s">
        <v>73</v>
      </c>
      <c r="K26" s="179"/>
      <c r="L26" s="171"/>
      <c r="M26" s="171"/>
      <c r="N26" s="171"/>
      <c r="O26" s="171"/>
      <c r="P26" s="178">
        <v>1</v>
      </c>
      <c r="Q26" s="178" t="s">
        <v>37</v>
      </c>
      <c r="R26" s="189">
        <v>3</v>
      </c>
      <c r="S26" s="189">
        <v>12</v>
      </c>
      <c r="T26" s="189">
        <v>3400</v>
      </c>
      <c r="U26" s="189"/>
      <c r="V26" s="47"/>
      <c r="W26" s="47">
        <f t="shared" si="0"/>
        <v>122.4</v>
      </c>
      <c r="X26" s="162" t="s">
        <v>144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 s="10"/>
    </row>
    <row r="27" spans="1:64" x14ac:dyDescent="0.25">
      <c r="A27" s="161" t="s">
        <v>145</v>
      </c>
      <c r="B27" s="8" t="s">
        <v>92</v>
      </c>
      <c r="C27" s="171" t="s">
        <v>26</v>
      </c>
      <c r="D27" s="171" t="s">
        <v>27</v>
      </c>
      <c r="E27" s="178" t="s">
        <v>49</v>
      </c>
      <c r="F27" s="171" t="s">
        <v>50</v>
      </c>
      <c r="G27" s="179" t="s">
        <v>42</v>
      </c>
      <c r="H27" s="171" t="s">
        <v>122</v>
      </c>
      <c r="I27" s="171" t="s">
        <v>44</v>
      </c>
      <c r="J27" s="171" t="s">
        <v>146</v>
      </c>
      <c r="K27" s="179" t="s">
        <v>147</v>
      </c>
      <c r="L27" s="171" t="s">
        <v>148</v>
      </c>
      <c r="M27" s="171"/>
      <c r="N27" s="171"/>
      <c r="O27" s="171"/>
      <c r="P27" s="178">
        <v>1</v>
      </c>
      <c r="Q27" s="178" t="s">
        <v>37</v>
      </c>
      <c r="R27" s="189">
        <v>6</v>
      </c>
      <c r="S27" s="189">
        <v>12</v>
      </c>
      <c r="T27" s="189">
        <v>1400</v>
      </c>
      <c r="U27" s="189">
        <v>240</v>
      </c>
      <c r="V27" s="47"/>
      <c r="W27" s="47">
        <f t="shared" si="0"/>
        <v>100.8</v>
      </c>
      <c r="X27" s="162" t="s">
        <v>149</v>
      </c>
    </row>
    <row r="28" spans="1:64" x14ac:dyDescent="0.25">
      <c r="A28" s="161" t="s">
        <v>150</v>
      </c>
      <c r="B28" s="8" t="s">
        <v>72</v>
      </c>
      <c r="C28" s="171" t="s">
        <v>26</v>
      </c>
      <c r="D28" s="171" t="s">
        <v>27</v>
      </c>
      <c r="E28" s="178" t="s">
        <v>93</v>
      </c>
      <c r="F28" s="171" t="s">
        <v>94</v>
      </c>
      <c r="G28" s="179" t="s">
        <v>151</v>
      </c>
      <c r="H28" s="171" t="s">
        <v>152</v>
      </c>
      <c r="I28" s="171" t="s">
        <v>153</v>
      </c>
      <c r="J28" s="171" t="s">
        <v>73</v>
      </c>
      <c r="K28" s="179"/>
      <c r="L28" s="171"/>
      <c r="M28" s="171"/>
      <c r="N28" s="171"/>
      <c r="O28" s="171"/>
      <c r="P28" s="180">
        <v>1</v>
      </c>
      <c r="Q28" s="178" t="s">
        <v>37</v>
      </c>
      <c r="R28" s="189">
        <v>1</v>
      </c>
      <c r="S28" s="189">
        <v>20</v>
      </c>
      <c r="T28" s="189">
        <v>5000</v>
      </c>
      <c r="U28" s="189"/>
      <c r="V28" s="47"/>
      <c r="W28" s="47">
        <f t="shared" si="0"/>
        <v>100</v>
      </c>
      <c r="X28" s="162" t="s">
        <v>154</v>
      </c>
    </row>
    <row r="29" spans="1:64" x14ac:dyDescent="0.25">
      <c r="A29" s="161" t="s">
        <v>155</v>
      </c>
      <c r="B29" s="8" t="s">
        <v>92</v>
      </c>
      <c r="C29" s="171" t="s">
        <v>26</v>
      </c>
      <c r="D29" s="171" t="s">
        <v>27</v>
      </c>
      <c r="E29" s="178" t="s">
        <v>49</v>
      </c>
      <c r="F29" s="171" t="s">
        <v>50</v>
      </c>
      <c r="G29" s="179" t="s">
        <v>42</v>
      </c>
      <c r="H29" s="171" t="s">
        <v>122</v>
      </c>
      <c r="I29" s="171" t="s">
        <v>153</v>
      </c>
      <c r="J29" s="171" t="s">
        <v>156</v>
      </c>
      <c r="K29" s="179" t="s">
        <v>157</v>
      </c>
      <c r="L29" s="171" t="s">
        <v>158</v>
      </c>
      <c r="M29" s="171"/>
      <c r="N29" s="171"/>
      <c r="O29" s="171"/>
      <c r="P29" s="178">
        <v>1</v>
      </c>
      <c r="Q29" s="178" t="s">
        <v>37</v>
      </c>
      <c r="R29" s="189">
        <v>3</v>
      </c>
      <c r="S29" s="189">
        <v>20</v>
      </c>
      <c r="T29" s="189">
        <v>1600</v>
      </c>
      <c r="U29" s="189">
        <v>115</v>
      </c>
      <c r="V29" s="47"/>
      <c r="W29" s="47">
        <f t="shared" si="0"/>
        <v>96</v>
      </c>
      <c r="X29" s="162" t="s">
        <v>159</v>
      </c>
    </row>
    <row r="30" spans="1:64" x14ac:dyDescent="0.25">
      <c r="A30" s="161" t="s">
        <v>160</v>
      </c>
      <c r="B30" s="8" t="s">
        <v>25</v>
      </c>
      <c r="C30" s="171" t="s">
        <v>26</v>
      </c>
      <c r="D30" s="171" t="s">
        <v>27</v>
      </c>
      <c r="E30" s="178" t="s">
        <v>49</v>
      </c>
      <c r="F30" s="171" t="s">
        <v>50</v>
      </c>
      <c r="G30" s="179" t="s">
        <v>42</v>
      </c>
      <c r="H30" s="171" t="s">
        <v>51</v>
      </c>
      <c r="I30" s="171" t="s">
        <v>44</v>
      </c>
      <c r="J30" s="171" t="s">
        <v>161</v>
      </c>
      <c r="K30" s="179" t="s">
        <v>162</v>
      </c>
      <c r="L30" s="171"/>
      <c r="M30" s="171"/>
      <c r="N30" s="171"/>
      <c r="O30" s="171"/>
      <c r="P30" s="178">
        <v>1</v>
      </c>
      <c r="Q30" s="178" t="s">
        <v>37</v>
      </c>
      <c r="R30" s="191">
        <v>4</v>
      </c>
      <c r="S30" s="191">
        <v>15</v>
      </c>
      <c r="T30" s="191">
        <v>1575</v>
      </c>
      <c r="U30" s="189">
        <v>115</v>
      </c>
      <c r="V30" s="78">
        <v>13</v>
      </c>
      <c r="W30" s="78">
        <f t="shared" si="0"/>
        <v>94.5</v>
      </c>
      <c r="X30" s="162" t="s">
        <v>163</v>
      </c>
    </row>
    <row r="31" spans="1:64" s="3" customFormat="1" x14ac:dyDescent="0.25">
      <c r="A31" s="161" t="s">
        <v>164</v>
      </c>
      <c r="B31" s="8" t="s">
        <v>25</v>
      </c>
      <c r="C31" s="171" t="s">
        <v>26</v>
      </c>
      <c r="D31" s="171" t="s">
        <v>27</v>
      </c>
      <c r="E31" s="178" t="s">
        <v>40</v>
      </c>
      <c r="F31" s="171" t="s">
        <v>41</v>
      </c>
      <c r="G31" s="179" t="s">
        <v>42</v>
      </c>
      <c r="H31" s="171" t="s">
        <v>165</v>
      </c>
      <c r="I31" s="171" t="s">
        <v>44</v>
      </c>
      <c r="J31" s="171" t="s">
        <v>45</v>
      </c>
      <c r="K31" s="179" t="s">
        <v>166</v>
      </c>
      <c r="L31" s="171"/>
      <c r="M31" s="171"/>
      <c r="N31" s="171"/>
      <c r="O31" s="171"/>
      <c r="P31" s="178">
        <v>1</v>
      </c>
      <c r="Q31" s="178" t="s">
        <v>37</v>
      </c>
      <c r="R31" s="189">
        <v>24</v>
      </c>
      <c r="S31" s="189">
        <v>30</v>
      </c>
      <c r="T31" s="189">
        <v>100</v>
      </c>
      <c r="U31" s="189">
        <v>115</v>
      </c>
      <c r="V31" s="47">
        <v>1.34</v>
      </c>
      <c r="W31" s="47">
        <f t="shared" si="0"/>
        <v>72</v>
      </c>
      <c r="X31" s="162" t="s">
        <v>167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 s="10"/>
    </row>
    <row r="32" spans="1:64" s="7" customFormat="1" x14ac:dyDescent="0.25">
      <c r="A32" s="161" t="s">
        <v>71</v>
      </c>
      <c r="B32" s="8" t="s">
        <v>72</v>
      </c>
      <c r="C32" s="171" t="s">
        <v>26</v>
      </c>
      <c r="D32" s="171" t="s">
        <v>27</v>
      </c>
      <c r="E32" s="178" t="s">
        <v>28</v>
      </c>
      <c r="F32" s="171" t="s">
        <v>29</v>
      </c>
      <c r="G32" s="179" t="s">
        <v>73</v>
      </c>
      <c r="H32" s="171" t="s">
        <v>74</v>
      </c>
      <c r="I32" s="171" t="s">
        <v>75</v>
      </c>
      <c r="J32" s="171" t="s">
        <v>168</v>
      </c>
      <c r="K32" s="179"/>
      <c r="L32" s="171"/>
      <c r="M32" s="171"/>
      <c r="N32" s="171"/>
      <c r="O32" s="171"/>
      <c r="P32" s="178">
        <v>1</v>
      </c>
      <c r="Q32" s="178" t="s">
        <v>37</v>
      </c>
      <c r="R32" s="189">
        <v>24</v>
      </c>
      <c r="S32" s="189">
        <v>30</v>
      </c>
      <c r="T32" s="189">
        <v>100</v>
      </c>
      <c r="U32" s="189"/>
      <c r="V32" s="47"/>
      <c r="W32" s="47">
        <f t="shared" si="0"/>
        <v>72</v>
      </c>
      <c r="X32" s="16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64" x14ac:dyDescent="0.25">
      <c r="A33" s="161" t="s">
        <v>169</v>
      </c>
      <c r="B33" s="8" t="s">
        <v>89</v>
      </c>
      <c r="C33" s="171" t="s">
        <v>26</v>
      </c>
      <c r="D33" s="171" t="s">
        <v>27</v>
      </c>
      <c r="E33" s="178" t="s">
        <v>28</v>
      </c>
      <c r="F33" s="171" t="s">
        <v>29</v>
      </c>
      <c r="G33" s="179" t="s">
        <v>170</v>
      </c>
      <c r="H33" s="171" t="s">
        <v>171</v>
      </c>
      <c r="I33" s="171" t="s">
        <v>126</v>
      </c>
      <c r="J33" s="171" t="s">
        <v>127</v>
      </c>
      <c r="K33" s="179"/>
      <c r="L33" s="171"/>
      <c r="M33" s="171"/>
      <c r="N33" s="171"/>
      <c r="O33" s="171"/>
      <c r="P33" s="178">
        <v>16</v>
      </c>
      <c r="Q33" s="178" t="s">
        <v>37</v>
      </c>
      <c r="R33" s="189">
        <v>6</v>
      </c>
      <c r="S33" s="189">
        <v>15</v>
      </c>
      <c r="T33" s="189">
        <v>48</v>
      </c>
      <c r="U33" s="197"/>
      <c r="V33" s="47"/>
      <c r="W33" s="47">
        <f t="shared" si="0"/>
        <v>69.12</v>
      </c>
      <c r="X33" s="162" t="s">
        <v>172</v>
      </c>
    </row>
    <row r="34" spans="1:64" s="7" customFormat="1" x14ac:dyDescent="0.25">
      <c r="A34" s="161" t="s">
        <v>173</v>
      </c>
      <c r="B34" s="8" t="s">
        <v>130</v>
      </c>
      <c r="C34" s="171" t="s">
        <v>26</v>
      </c>
      <c r="D34" s="171" t="s">
        <v>27</v>
      </c>
      <c r="E34" s="178" t="s">
        <v>49</v>
      </c>
      <c r="F34" s="171" t="s">
        <v>50</v>
      </c>
      <c r="G34" s="179" t="s">
        <v>42</v>
      </c>
      <c r="H34" s="171" t="s">
        <v>51</v>
      </c>
      <c r="I34" s="171" t="s">
        <v>44</v>
      </c>
      <c r="J34" s="171" t="s">
        <v>174</v>
      </c>
      <c r="K34" s="179" t="s">
        <v>66</v>
      </c>
      <c r="L34" s="171" t="s">
        <v>175</v>
      </c>
      <c r="M34" s="171"/>
      <c r="N34" s="171"/>
      <c r="O34" s="171"/>
      <c r="P34" s="178">
        <v>1</v>
      </c>
      <c r="Q34" s="178" t="s">
        <v>37</v>
      </c>
      <c r="R34" s="189">
        <v>2</v>
      </c>
      <c r="S34" s="191">
        <v>15</v>
      </c>
      <c r="T34" s="189">
        <v>2200</v>
      </c>
      <c r="U34" s="189"/>
      <c r="V34" s="47"/>
      <c r="W34" s="47">
        <f t="shared" ref="W34:W65" si="1">(P34*R34*S34*T34)/1000</f>
        <v>66</v>
      </c>
      <c r="X34" s="162" t="s">
        <v>176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64" s="7" customFormat="1" x14ac:dyDescent="0.25">
      <c r="A35" s="161" t="s">
        <v>177</v>
      </c>
      <c r="B35" s="8" t="s">
        <v>25</v>
      </c>
      <c r="C35" s="171" t="s">
        <v>26</v>
      </c>
      <c r="D35" s="171" t="s">
        <v>27</v>
      </c>
      <c r="E35" s="178" t="s">
        <v>40</v>
      </c>
      <c r="F35" s="171" t="s">
        <v>41</v>
      </c>
      <c r="G35" s="179" t="s">
        <v>42</v>
      </c>
      <c r="H35" s="171" t="s">
        <v>165</v>
      </c>
      <c r="I35" s="171" t="s">
        <v>44</v>
      </c>
      <c r="J35" s="171" t="s">
        <v>45</v>
      </c>
      <c r="K35" s="179" t="s">
        <v>178</v>
      </c>
      <c r="L35" s="171"/>
      <c r="M35" s="171"/>
      <c r="N35" s="171"/>
      <c r="O35" s="171"/>
      <c r="P35" s="178">
        <v>1</v>
      </c>
      <c r="Q35" s="178" t="s">
        <v>37</v>
      </c>
      <c r="R35" s="189">
        <v>24</v>
      </c>
      <c r="S35" s="189">
        <v>30</v>
      </c>
      <c r="T35" s="189">
        <v>90</v>
      </c>
      <c r="U35" s="197"/>
      <c r="V35" s="47">
        <v>1.3</v>
      </c>
      <c r="W35" s="47">
        <f t="shared" si="1"/>
        <v>64.8</v>
      </c>
      <c r="X35" s="162" t="s">
        <v>179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64" s="7" customFormat="1" x14ac:dyDescent="0.25">
      <c r="A36" s="161" t="s">
        <v>180</v>
      </c>
      <c r="B36" s="8" t="s">
        <v>60</v>
      </c>
      <c r="C36" s="171" t="s">
        <v>26</v>
      </c>
      <c r="D36" s="171" t="s">
        <v>27</v>
      </c>
      <c r="E36" s="178" t="s">
        <v>40</v>
      </c>
      <c r="F36" s="171" t="s">
        <v>41</v>
      </c>
      <c r="G36" s="179" t="s">
        <v>61</v>
      </c>
      <c r="H36" s="171" t="s">
        <v>62</v>
      </c>
      <c r="I36" s="171" t="s">
        <v>101</v>
      </c>
      <c r="J36" s="171" t="s">
        <v>181</v>
      </c>
      <c r="K36" s="179"/>
      <c r="L36" s="171"/>
      <c r="M36" s="171"/>
      <c r="N36" s="171"/>
      <c r="O36" s="171"/>
      <c r="P36" s="178">
        <v>22</v>
      </c>
      <c r="Q36" s="178" t="s">
        <v>37</v>
      </c>
      <c r="R36" s="189">
        <v>4</v>
      </c>
      <c r="S36" s="189">
        <v>15</v>
      </c>
      <c r="T36" s="189">
        <v>45</v>
      </c>
      <c r="U36" s="189">
        <v>115</v>
      </c>
      <c r="V36" s="47"/>
      <c r="W36" s="47">
        <f t="shared" si="1"/>
        <v>59.4</v>
      </c>
      <c r="X36" s="162" t="s">
        <v>182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64" s="7" customFormat="1" x14ac:dyDescent="0.25">
      <c r="A37" s="161" t="s">
        <v>183</v>
      </c>
      <c r="B37" s="8" t="s">
        <v>60</v>
      </c>
      <c r="C37" s="171" t="s">
        <v>26</v>
      </c>
      <c r="D37" s="171" t="s">
        <v>27</v>
      </c>
      <c r="E37" s="178" t="s">
        <v>49</v>
      </c>
      <c r="F37" s="171" t="s">
        <v>50</v>
      </c>
      <c r="G37" s="179" t="s">
        <v>42</v>
      </c>
      <c r="H37" s="171" t="s">
        <v>122</v>
      </c>
      <c r="I37" s="171" t="s">
        <v>126</v>
      </c>
      <c r="J37" s="171" t="s">
        <v>127</v>
      </c>
      <c r="K37" s="179"/>
      <c r="L37" s="171"/>
      <c r="M37" s="171"/>
      <c r="N37" s="171"/>
      <c r="O37" s="171"/>
      <c r="P37" s="178">
        <v>8</v>
      </c>
      <c r="Q37" s="178" t="s">
        <v>37</v>
      </c>
      <c r="R37" s="189">
        <v>8</v>
      </c>
      <c r="S37" s="189">
        <v>16</v>
      </c>
      <c r="T37" s="189">
        <v>48</v>
      </c>
      <c r="U37" s="189">
        <v>115</v>
      </c>
      <c r="V37" s="47"/>
      <c r="W37" s="47">
        <f t="shared" si="1"/>
        <v>49.152000000000001</v>
      </c>
      <c r="X37" s="162" t="s">
        <v>184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64" s="7" customFormat="1" x14ac:dyDescent="0.25">
      <c r="A38" s="161" t="s">
        <v>185</v>
      </c>
      <c r="B38" s="8" t="s">
        <v>89</v>
      </c>
      <c r="C38" s="171" t="s">
        <v>26</v>
      </c>
      <c r="D38" s="171" t="s">
        <v>27</v>
      </c>
      <c r="E38" s="178" t="s">
        <v>40</v>
      </c>
      <c r="F38" s="171" t="s">
        <v>41</v>
      </c>
      <c r="G38" s="179" t="s">
        <v>42</v>
      </c>
      <c r="H38" s="171" t="s">
        <v>57</v>
      </c>
      <c r="I38" s="171" t="s">
        <v>44</v>
      </c>
      <c r="J38" s="171" t="s">
        <v>186</v>
      </c>
      <c r="K38" s="179" t="s">
        <v>46</v>
      </c>
      <c r="L38" s="171"/>
      <c r="M38" s="171"/>
      <c r="N38" s="171"/>
      <c r="O38" s="171"/>
      <c r="P38" s="178">
        <v>1</v>
      </c>
      <c r="Q38" s="178" t="s">
        <v>37</v>
      </c>
      <c r="R38" s="189">
        <v>2</v>
      </c>
      <c r="S38" s="189">
        <v>16</v>
      </c>
      <c r="T38" s="189">
        <v>1500</v>
      </c>
      <c r="U38" s="189">
        <v>115</v>
      </c>
      <c r="V38" s="47">
        <v>14</v>
      </c>
      <c r="W38" s="47">
        <f t="shared" si="1"/>
        <v>48</v>
      </c>
      <c r="X38" s="162" t="s">
        <v>187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64" x14ac:dyDescent="0.25">
      <c r="A39" s="161" t="s">
        <v>188</v>
      </c>
      <c r="B39" s="8" t="s">
        <v>89</v>
      </c>
      <c r="C39" s="171" t="s">
        <v>26</v>
      </c>
      <c r="D39" s="171" t="s">
        <v>27</v>
      </c>
      <c r="E39" s="178" t="s">
        <v>40</v>
      </c>
      <c r="F39" s="171" t="s">
        <v>41</v>
      </c>
      <c r="G39" s="179" t="s">
        <v>42</v>
      </c>
      <c r="H39" s="171" t="s">
        <v>57</v>
      </c>
      <c r="I39" s="171" t="s">
        <v>126</v>
      </c>
      <c r="J39" s="171" t="s">
        <v>127</v>
      </c>
      <c r="K39" s="179"/>
      <c r="L39" s="171"/>
      <c r="M39" s="171"/>
      <c r="N39" s="171"/>
      <c r="O39" s="171"/>
      <c r="P39" s="178">
        <v>6</v>
      </c>
      <c r="Q39" s="178" t="s">
        <v>37</v>
      </c>
      <c r="R39" s="189">
        <v>8</v>
      </c>
      <c r="S39" s="189">
        <v>20</v>
      </c>
      <c r="T39" s="189">
        <v>40</v>
      </c>
      <c r="U39" s="197"/>
      <c r="V39" s="47"/>
      <c r="W39" s="47">
        <f t="shared" si="1"/>
        <v>38.4</v>
      </c>
      <c r="X39" s="162" t="s">
        <v>189</v>
      </c>
    </row>
    <row r="40" spans="1:64" x14ac:dyDescent="0.25">
      <c r="A40" s="161" t="s">
        <v>190</v>
      </c>
      <c r="B40" s="8" t="s">
        <v>25</v>
      </c>
      <c r="C40" s="171" t="s">
        <v>26</v>
      </c>
      <c r="D40" s="171" t="s">
        <v>27</v>
      </c>
      <c r="E40" s="178" t="s">
        <v>40</v>
      </c>
      <c r="F40" s="171" t="s">
        <v>41</v>
      </c>
      <c r="G40" s="179" t="s">
        <v>42</v>
      </c>
      <c r="H40" s="171" t="s">
        <v>165</v>
      </c>
      <c r="I40" s="171" t="s">
        <v>153</v>
      </c>
      <c r="J40" s="171" t="s">
        <v>73</v>
      </c>
      <c r="K40" s="179" t="s">
        <v>191</v>
      </c>
      <c r="L40" s="171"/>
      <c r="M40" s="171"/>
      <c r="N40" s="171"/>
      <c r="O40" s="171"/>
      <c r="P40" s="178">
        <v>2</v>
      </c>
      <c r="Q40" s="178" t="s">
        <v>86</v>
      </c>
      <c r="R40" s="189">
        <v>6</v>
      </c>
      <c r="S40" s="189">
        <v>15</v>
      </c>
      <c r="T40" s="189">
        <v>200</v>
      </c>
      <c r="U40" s="197"/>
      <c r="V40" s="47"/>
      <c r="W40" s="47">
        <f t="shared" si="1"/>
        <v>36</v>
      </c>
      <c r="X40" s="162" t="s">
        <v>192</v>
      </c>
    </row>
    <row r="41" spans="1:64" x14ac:dyDescent="0.25">
      <c r="A41" s="161" t="s">
        <v>193</v>
      </c>
      <c r="B41" s="8" t="s">
        <v>56</v>
      </c>
      <c r="C41" s="171" t="s">
        <v>26</v>
      </c>
      <c r="D41" s="171" t="s">
        <v>27</v>
      </c>
      <c r="E41" s="178" t="s">
        <v>93</v>
      </c>
      <c r="F41" s="171" t="s">
        <v>94</v>
      </c>
      <c r="G41" s="179" t="s">
        <v>151</v>
      </c>
      <c r="H41" s="171" t="s">
        <v>152</v>
      </c>
      <c r="I41" s="171" t="s">
        <v>44</v>
      </c>
      <c r="J41" s="171" t="s">
        <v>45</v>
      </c>
      <c r="K41" s="179"/>
      <c r="L41" s="171"/>
      <c r="M41" s="171"/>
      <c r="N41" s="171"/>
      <c r="O41" s="171"/>
      <c r="P41" s="178">
        <v>1</v>
      </c>
      <c r="Q41" s="178" t="s">
        <v>37</v>
      </c>
      <c r="R41" s="189">
        <v>24</v>
      </c>
      <c r="S41" s="189">
        <v>30</v>
      </c>
      <c r="T41" s="189">
        <v>50</v>
      </c>
      <c r="U41" s="189"/>
      <c r="V41" s="47"/>
      <c r="W41" s="47">
        <f t="shared" si="1"/>
        <v>36</v>
      </c>
      <c r="X41" s="162" t="s">
        <v>194</v>
      </c>
    </row>
    <row r="42" spans="1:64" x14ac:dyDescent="0.25">
      <c r="A42" s="161" t="s">
        <v>71</v>
      </c>
      <c r="B42" s="8" t="s">
        <v>72</v>
      </c>
      <c r="C42" s="171" t="s">
        <v>26</v>
      </c>
      <c r="D42" s="171" t="s">
        <v>27</v>
      </c>
      <c r="E42" s="178" t="s">
        <v>28</v>
      </c>
      <c r="F42" s="171" t="s">
        <v>29</v>
      </c>
      <c r="G42" s="179" t="s">
        <v>73</v>
      </c>
      <c r="H42" s="171" t="s">
        <v>74</v>
      </c>
      <c r="I42" s="171" t="s">
        <v>75</v>
      </c>
      <c r="J42" s="171" t="s">
        <v>195</v>
      </c>
      <c r="K42" s="179"/>
      <c r="L42" s="171"/>
      <c r="M42" s="171"/>
      <c r="N42" s="171"/>
      <c r="O42" s="171"/>
      <c r="P42" s="178">
        <v>1</v>
      </c>
      <c r="Q42" s="178" t="s">
        <v>37</v>
      </c>
      <c r="R42" s="189">
        <v>24</v>
      </c>
      <c r="S42" s="189">
        <v>30</v>
      </c>
      <c r="T42" s="189">
        <v>50</v>
      </c>
      <c r="U42" s="189"/>
      <c r="V42" s="47"/>
      <c r="W42" s="47">
        <f t="shared" si="1"/>
        <v>36</v>
      </c>
      <c r="X42" s="162"/>
    </row>
    <row r="43" spans="1:64" x14ac:dyDescent="0.25">
      <c r="A43" s="161" t="s">
        <v>196</v>
      </c>
      <c r="B43" s="8" t="s">
        <v>25</v>
      </c>
      <c r="C43" s="171" t="s">
        <v>26</v>
      </c>
      <c r="D43" s="171" t="s">
        <v>27</v>
      </c>
      <c r="E43" s="178" t="s">
        <v>40</v>
      </c>
      <c r="F43" s="171" t="s">
        <v>41</v>
      </c>
      <c r="G43" s="179" t="s">
        <v>42</v>
      </c>
      <c r="H43" s="171" t="s">
        <v>165</v>
      </c>
      <c r="I43" s="171" t="s">
        <v>126</v>
      </c>
      <c r="J43" s="171" t="s">
        <v>127</v>
      </c>
      <c r="K43" s="179"/>
      <c r="L43" s="171"/>
      <c r="M43" s="171"/>
      <c r="N43" s="171"/>
      <c r="O43" s="171"/>
      <c r="P43" s="178">
        <v>8</v>
      </c>
      <c r="Q43" s="178" t="s">
        <v>37</v>
      </c>
      <c r="R43" s="189">
        <v>4</v>
      </c>
      <c r="S43" s="189">
        <v>22</v>
      </c>
      <c r="T43" s="189">
        <v>48</v>
      </c>
      <c r="U43" s="189">
        <v>115</v>
      </c>
      <c r="V43" s="47"/>
      <c r="W43" s="47">
        <f t="shared" si="1"/>
        <v>33.792000000000002</v>
      </c>
      <c r="X43" s="162" t="s">
        <v>197</v>
      </c>
    </row>
    <row r="44" spans="1:64" x14ac:dyDescent="0.25">
      <c r="A44" s="161" t="s">
        <v>198</v>
      </c>
      <c r="B44" s="8" t="s">
        <v>25</v>
      </c>
      <c r="C44" s="171" t="s">
        <v>26</v>
      </c>
      <c r="D44" s="171" t="s">
        <v>27</v>
      </c>
      <c r="E44" s="178" t="s">
        <v>49</v>
      </c>
      <c r="F44" s="171" t="s">
        <v>50</v>
      </c>
      <c r="G44" s="179" t="s">
        <v>42</v>
      </c>
      <c r="H44" s="171" t="s">
        <v>122</v>
      </c>
      <c r="I44" s="171" t="s">
        <v>44</v>
      </c>
      <c r="J44" s="171" t="s">
        <v>199</v>
      </c>
      <c r="K44" s="179"/>
      <c r="L44" s="171" t="s">
        <v>200</v>
      </c>
      <c r="M44" s="171"/>
      <c r="N44" s="171"/>
      <c r="O44" s="171"/>
      <c r="P44" s="178">
        <v>1</v>
      </c>
      <c r="Q44" s="178" t="s">
        <v>86</v>
      </c>
      <c r="R44" s="189">
        <v>1</v>
      </c>
      <c r="S44" s="189">
        <v>15</v>
      </c>
      <c r="T44" s="189">
        <v>2200</v>
      </c>
      <c r="U44" s="189">
        <v>240</v>
      </c>
      <c r="V44" s="47"/>
      <c r="W44" s="47">
        <f t="shared" si="1"/>
        <v>33</v>
      </c>
      <c r="X44" s="162" t="s">
        <v>201</v>
      </c>
    </row>
    <row r="45" spans="1:64" x14ac:dyDescent="0.25">
      <c r="A45" s="161" t="s">
        <v>202</v>
      </c>
      <c r="B45" s="8" t="s">
        <v>56</v>
      </c>
      <c r="C45" s="171" t="s">
        <v>26</v>
      </c>
      <c r="D45" s="171" t="s">
        <v>27</v>
      </c>
      <c r="E45" s="178" t="s">
        <v>40</v>
      </c>
      <c r="F45" s="171" t="s">
        <v>41</v>
      </c>
      <c r="G45" s="179" t="s">
        <v>42</v>
      </c>
      <c r="H45" s="171" t="s">
        <v>57</v>
      </c>
      <c r="I45" s="171" t="s">
        <v>44</v>
      </c>
      <c r="J45" s="171" t="s">
        <v>203</v>
      </c>
      <c r="K45" s="179" t="s">
        <v>115</v>
      </c>
      <c r="L45" s="171"/>
      <c r="M45" s="171"/>
      <c r="N45" s="171"/>
      <c r="O45" s="171"/>
      <c r="P45" s="178">
        <v>1</v>
      </c>
      <c r="Q45" s="178" t="s">
        <v>37</v>
      </c>
      <c r="R45" s="189">
        <v>1</v>
      </c>
      <c r="S45" s="189">
        <v>16</v>
      </c>
      <c r="T45" s="189">
        <f>U45*V45</f>
        <v>1920</v>
      </c>
      <c r="U45" s="189">
        <v>240</v>
      </c>
      <c r="V45" s="47">
        <v>8</v>
      </c>
      <c r="W45" s="47">
        <f t="shared" si="1"/>
        <v>30.72</v>
      </c>
      <c r="X45" s="162" t="s">
        <v>204</v>
      </c>
    </row>
    <row r="46" spans="1:64" s="3" customFormat="1" x14ac:dyDescent="0.25">
      <c r="A46" s="161" t="s">
        <v>205</v>
      </c>
      <c r="B46" s="8" t="s">
        <v>25</v>
      </c>
      <c r="C46" s="171" t="s">
        <v>26</v>
      </c>
      <c r="D46" s="171" t="s">
        <v>27</v>
      </c>
      <c r="E46" s="178" t="s">
        <v>49</v>
      </c>
      <c r="F46" s="171" t="s">
        <v>50</v>
      </c>
      <c r="G46" s="179" t="s">
        <v>73</v>
      </c>
      <c r="H46" s="171" t="s">
        <v>206</v>
      </c>
      <c r="I46" s="171" t="s">
        <v>126</v>
      </c>
      <c r="J46" s="171" t="s">
        <v>127</v>
      </c>
      <c r="K46" s="179"/>
      <c r="L46" s="171" t="s">
        <v>207</v>
      </c>
      <c r="M46" s="171"/>
      <c r="N46" s="171"/>
      <c r="O46" s="171"/>
      <c r="P46" s="178">
        <v>10</v>
      </c>
      <c r="Q46" s="178" t="s">
        <v>37</v>
      </c>
      <c r="R46" s="189">
        <v>7</v>
      </c>
      <c r="S46" s="189">
        <v>22</v>
      </c>
      <c r="T46" s="189">
        <v>18</v>
      </c>
      <c r="U46" s="189">
        <v>115</v>
      </c>
      <c r="V46" s="47"/>
      <c r="W46" s="47">
        <f t="shared" si="1"/>
        <v>27.72</v>
      </c>
      <c r="X46" s="162" t="s">
        <v>208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10"/>
    </row>
    <row r="47" spans="1:64" x14ac:dyDescent="0.25">
      <c r="A47" s="161" t="s">
        <v>209</v>
      </c>
      <c r="B47" s="8" t="s">
        <v>56</v>
      </c>
      <c r="C47" s="171" t="s">
        <v>26</v>
      </c>
      <c r="D47" s="171" t="s">
        <v>27</v>
      </c>
      <c r="E47" s="178" t="s">
        <v>49</v>
      </c>
      <c r="F47" s="171" t="s">
        <v>50</v>
      </c>
      <c r="G47" s="179" t="s">
        <v>95</v>
      </c>
      <c r="H47" s="171" t="s">
        <v>118</v>
      </c>
      <c r="I47" s="171" t="s">
        <v>101</v>
      </c>
      <c r="J47" s="171" t="s">
        <v>102</v>
      </c>
      <c r="K47" s="179" t="s">
        <v>210</v>
      </c>
      <c r="L47" s="171"/>
      <c r="M47" s="171"/>
      <c r="N47" s="171"/>
      <c r="O47" s="171"/>
      <c r="P47" s="178">
        <v>1</v>
      </c>
      <c r="Q47" s="178" t="s">
        <v>37</v>
      </c>
      <c r="R47" s="189">
        <v>4</v>
      </c>
      <c r="S47" s="189">
        <v>20</v>
      </c>
      <c r="T47" s="189">
        <f>U47*V47</f>
        <v>345</v>
      </c>
      <c r="U47" s="189">
        <v>115</v>
      </c>
      <c r="V47" s="47">
        <v>3</v>
      </c>
      <c r="W47" s="47">
        <f t="shared" si="1"/>
        <v>27.6</v>
      </c>
      <c r="X47" s="162" t="s">
        <v>211</v>
      </c>
    </row>
    <row r="48" spans="1:64" x14ac:dyDescent="0.25">
      <c r="A48" s="161" t="s">
        <v>212</v>
      </c>
      <c r="B48" s="8" t="s">
        <v>92</v>
      </c>
      <c r="C48" s="171" t="s">
        <v>26</v>
      </c>
      <c r="D48" s="171" t="s">
        <v>27</v>
      </c>
      <c r="E48" s="178" t="s">
        <v>28</v>
      </c>
      <c r="F48" s="171" t="s">
        <v>29</v>
      </c>
      <c r="G48" s="179" t="s">
        <v>30</v>
      </c>
      <c r="H48" s="171" t="s">
        <v>31</v>
      </c>
      <c r="I48" s="171" t="s">
        <v>101</v>
      </c>
      <c r="J48" s="171" t="s">
        <v>213</v>
      </c>
      <c r="K48" s="179"/>
      <c r="L48" s="171"/>
      <c r="M48" s="171"/>
      <c r="N48" s="171"/>
      <c r="O48" s="171"/>
      <c r="P48" s="178">
        <v>1</v>
      </c>
      <c r="Q48" s="178" t="s">
        <v>86</v>
      </c>
      <c r="R48" s="189">
        <v>8</v>
      </c>
      <c r="S48" s="189">
        <v>16</v>
      </c>
      <c r="T48" s="189">
        <v>200</v>
      </c>
      <c r="U48" s="189">
        <v>115</v>
      </c>
      <c r="V48" s="47"/>
      <c r="W48" s="47">
        <f t="shared" si="1"/>
        <v>25.6</v>
      </c>
      <c r="X48" s="162" t="s">
        <v>214</v>
      </c>
    </row>
    <row r="49" spans="1:24" x14ac:dyDescent="0.25">
      <c r="A49" s="161" t="s">
        <v>215</v>
      </c>
      <c r="B49" s="8" t="s">
        <v>56</v>
      </c>
      <c r="C49" s="171" t="s">
        <v>26</v>
      </c>
      <c r="D49" s="171" t="s">
        <v>27</v>
      </c>
      <c r="E49" s="178" t="s">
        <v>49</v>
      </c>
      <c r="F49" s="171" t="s">
        <v>50</v>
      </c>
      <c r="G49" s="179" t="s">
        <v>95</v>
      </c>
      <c r="H49" s="171" t="s">
        <v>118</v>
      </c>
      <c r="I49" s="171" t="s">
        <v>101</v>
      </c>
      <c r="J49" s="171" t="s">
        <v>216</v>
      </c>
      <c r="K49" s="179" t="s">
        <v>217</v>
      </c>
      <c r="L49" s="171"/>
      <c r="M49" s="171"/>
      <c r="N49" s="171"/>
      <c r="O49" s="171"/>
      <c r="P49" s="178">
        <v>1</v>
      </c>
      <c r="Q49" s="178" t="s">
        <v>37</v>
      </c>
      <c r="R49" s="189">
        <v>2</v>
      </c>
      <c r="S49" s="189">
        <v>20</v>
      </c>
      <c r="T49" s="189">
        <v>600</v>
      </c>
      <c r="U49" s="189">
        <v>115</v>
      </c>
      <c r="V49" s="47">
        <v>10.3</v>
      </c>
      <c r="W49" s="47">
        <f t="shared" si="1"/>
        <v>24</v>
      </c>
      <c r="X49" s="162" t="s">
        <v>218</v>
      </c>
    </row>
    <row r="50" spans="1:24" x14ac:dyDescent="0.25">
      <c r="A50" s="161" t="s">
        <v>219</v>
      </c>
      <c r="B50" s="8" t="s">
        <v>56</v>
      </c>
      <c r="C50" s="171" t="s">
        <v>26</v>
      </c>
      <c r="D50" s="171" t="s">
        <v>27</v>
      </c>
      <c r="E50" s="178" t="s">
        <v>40</v>
      </c>
      <c r="F50" s="171" t="s">
        <v>41</v>
      </c>
      <c r="G50" s="179" t="s">
        <v>42</v>
      </c>
      <c r="H50" s="171" t="s">
        <v>83</v>
      </c>
      <c r="I50" s="171" t="s">
        <v>126</v>
      </c>
      <c r="J50" s="171" t="s">
        <v>127</v>
      </c>
      <c r="K50" s="179"/>
      <c r="L50" s="171"/>
      <c r="M50" s="171"/>
      <c r="N50" s="171"/>
      <c r="O50" s="171"/>
      <c r="P50" s="178">
        <v>3</v>
      </c>
      <c r="Q50" s="178" t="s">
        <v>37</v>
      </c>
      <c r="R50" s="189">
        <v>8</v>
      </c>
      <c r="S50" s="189">
        <v>20</v>
      </c>
      <c r="T50" s="189">
        <v>48</v>
      </c>
      <c r="U50" s="197"/>
      <c r="V50" s="47"/>
      <c r="W50" s="47">
        <f t="shared" si="1"/>
        <v>23.04</v>
      </c>
      <c r="X50" s="162" t="s">
        <v>220</v>
      </c>
    </row>
    <row r="51" spans="1:24" x14ac:dyDescent="0.25">
      <c r="A51" s="161" t="s">
        <v>221</v>
      </c>
      <c r="B51" s="8" t="s">
        <v>130</v>
      </c>
      <c r="C51" s="171" t="s">
        <v>26</v>
      </c>
      <c r="D51" s="171" t="s">
        <v>27</v>
      </c>
      <c r="E51" s="178" t="s">
        <v>49</v>
      </c>
      <c r="F51" s="171" t="s">
        <v>50</v>
      </c>
      <c r="G51" s="179" t="s">
        <v>42</v>
      </c>
      <c r="H51" s="171" t="s">
        <v>122</v>
      </c>
      <c r="I51" s="171" t="s">
        <v>44</v>
      </c>
      <c r="J51" s="171" t="s">
        <v>222</v>
      </c>
      <c r="K51" s="179" t="s">
        <v>223</v>
      </c>
      <c r="L51" s="171" t="s">
        <v>224</v>
      </c>
      <c r="M51" s="171"/>
      <c r="N51" s="171"/>
      <c r="O51" s="171"/>
      <c r="P51" s="178">
        <v>2</v>
      </c>
      <c r="Q51" s="178" t="s">
        <v>37</v>
      </c>
      <c r="R51" s="189">
        <v>1</v>
      </c>
      <c r="S51" s="189">
        <v>15</v>
      </c>
      <c r="T51" s="189">
        <v>750</v>
      </c>
      <c r="U51" s="189"/>
      <c r="V51" s="47"/>
      <c r="W51" s="47">
        <f t="shared" si="1"/>
        <v>22.5</v>
      </c>
      <c r="X51" s="162" t="s">
        <v>225</v>
      </c>
    </row>
    <row r="52" spans="1:24" x14ac:dyDescent="0.25">
      <c r="A52" s="161" t="s">
        <v>226</v>
      </c>
      <c r="B52" s="8" t="s">
        <v>130</v>
      </c>
      <c r="C52" s="171" t="s">
        <v>26</v>
      </c>
      <c r="D52" s="171" t="s">
        <v>27</v>
      </c>
      <c r="E52" s="178" t="s">
        <v>49</v>
      </c>
      <c r="F52" s="171" t="s">
        <v>50</v>
      </c>
      <c r="G52" s="179" t="s">
        <v>42</v>
      </c>
      <c r="H52" s="171" t="s">
        <v>122</v>
      </c>
      <c r="I52" s="171" t="s">
        <v>44</v>
      </c>
      <c r="J52" s="171" t="s">
        <v>227</v>
      </c>
      <c r="K52" s="179" t="s">
        <v>228</v>
      </c>
      <c r="L52" s="171"/>
      <c r="M52" s="171"/>
      <c r="N52" s="171"/>
      <c r="O52" s="171"/>
      <c r="P52" s="178">
        <v>1</v>
      </c>
      <c r="Q52" s="178" t="s">
        <v>37</v>
      </c>
      <c r="R52" s="189">
        <v>1</v>
      </c>
      <c r="S52" s="189">
        <v>15</v>
      </c>
      <c r="T52" s="189">
        <v>1500</v>
      </c>
      <c r="U52" s="189"/>
      <c r="V52" s="47"/>
      <c r="W52" s="47">
        <f t="shared" si="1"/>
        <v>22.5</v>
      </c>
      <c r="X52" s="162" t="s">
        <v>229</v>
      </c>
    </row>
    <row r="53" spans="1:24" x14ac:dyDescent="0.25">
      <c r="A53" s="161" t="s">
        <v>230</v>
      </c>
      <c r="B53" s="8" t="s">
        <v>60</v>
      </c>
      <c r="C53" s="171" t="s">
        <v>26</v>
      </c>
      <c r="D53" s="171" t="s">
        <v>27</v>
      </c>
      <c r="E53" s="178" t="s">
        <v>40</v>
      </c>
      <c r="F53" s="171" t="s">
        <v>41</v>
      </c>
      <c r="G53" s="179" t="s">
        <v>61</v>
      </c>
      <c r="H53" s="171" t="s">
        <v>62</v>
      </c>
      <c r="I53" s="171" t="s">
        <v>231</v>
      </c>
      <c r="J53" s="171" t="s">
        <v>232</v>
      </c>
      <c r="K53" s="179"/>
      <c r="L53" s="171"/>
      <c r="M53" s="171"/>
      <c r="N53" s="171"/>
      <c r="O53" s="171"/>
      <c r="P53" s="178">
        <v>1</v>
      </c>
      <c r="Q53" s="178" t="s">
        <v>37</v>
      </c>
      <c r="R53" s="189">
        <v>5</v>
      </c>
      <c r="S53" s="189">
        <v>20</v>
      </c>
      <c r="T53" s="189">
        <v>200</v>
      </c>
      <c r="U53" s="189">
        <v>115</v>
      </c>
      <c r="V53" s="47"/>
      <c r="W53" s="47">
        <f t="shared" si="1"/>
        <v>20</v>
      </c>
      <c r="X53" s="162" t="s">
        <v>233</v>
      </c>
    </row>
    <row r="54" spans="1:24" x14ac:dyDescent="0.25">
      <c r="A54" s="161" t="s">
        <v>234</v>
      </c>
      <c r="B54" s="8" t="s">
        <v>60</v>
      </c>
      <c r="C54" s="171" t="s">
        <v>26</v>
      </c>
      <c r="D54" s="171" t="s">
        <v>27</v>
      </c>
      <c r="E54" s="178" t="s">
        <v>49</v>
      </c>
      <c r="F54" s="171" t="s">
        <v>50</v>
      </c>
      <c r="G54" s="179" t="s">
        <v>42</v>
      </c>
      <c r="H54" s="171" t="s">
        <v>122</v>
      </c>
      <c r="I54" s="171" t="s">
        <v>153</v>
      </c>
      <c r="J54" s="171" t="s">
        <v>235</v>
      </c>
      <c r="K54" s="179" t="s">
        <v>236</v>
      </c>
      <c r="L54" s="171"/>
      <c r="M54" s="171"/>
      <c r="N54" s="171"/>
      <c r="O54" s="171"/>
      <c r="P54" s="178">
        <v>1</v>
      </c>
      <c r="Q54" s="178" t="s">
        <v>37</v>
      </c>
      <c r="R54" s="189">
        <v>6</v>
      </c>
      <c r="S54" s="189">
        <v>16</v>
      </c>
      <c r="T54" s="189">
        <v>200</v>
      </c>
      <c r="U54" s="189">
        <v>115</v>
      </c>
      <c r="V54" s="47"/>
      <c r="W54" s="47">
        <f t="shared" si="1"/>
        <v>19.2</v>
      </c>
      <c r="X54" s="162" t="s">
        <v>237</v>
      </c>
    </row>
    <row r="55" spans="1:24" x14ac:dyDescent="0.25">
      <c r="A55" s="161" t="s">
        <v>238</v>
      </c>
      <c r="B55" s="8" t="s">
        <v>56</v>
      </c>
      <c r="C55" s="171" t="s">
        <v>26</v>
      </c>
      <c r="D55" s="171" t="s">
        <v>27</v>
      </c>
      <c r="E55" s="178" t="s">
        <v>28</v>
      </c>
      <c r="F55" s="171" t="s">
        <v>29</v>
      </c>
      <c r="G55" s="179" t="s">
        <v>73</v>
      </c>
      <c r="H55" s="171" t="s">
        <v>239</v>
      </c>
      <c r="I55" s="171" t="s">
        <v>126</v>
      </c>
      <c r="J55" s="171" t="s">
        <v>127</v>
      </c>
      <c r="K55" s="179"/>
      <c r="L55" s="171"/>
      <c r="M55" s="171"/>
      <c r="N55" s="171"/>
      <c r="O55" s="171"/>
      <c r="P55" s="178">
        <v>5</v>
      </c>
      <c r="Q55" s="178" t="s">
        <v>37</v>
      </c>
      <c r="R55" s="189">
        <v>8</v>
      </c>
      <c r="S55" s="189">
        <v>20</v>
      </c>
      <c r="T55" s="189">
        <v>24</v>
      </c>
      <c r="U55" s="197"/>
      <c r="V55" s="47"/>
      <c r="W55" s="47">
        <f t="shared" si="1"/>
        <v>19.2</v>
      </c>
      <c r="X55" s="162" t="s">
        <v>240</v>
      </c>
    </row>
    <row r="56" spans="1:24" x14ac:dyDescent="0.25">
      <c r="A56" s="161" t="s">
        <v>241</v>
      </c>
      <c r="B56" s="8" t="s">
        <v>25</v>
      </c>
      <c r="C56" s="171" t="s">
        <v>26</v>
      </c>
      <c r="D56" s="171" t="s">
        <v>27</v>
      </c>
      <c r="E56" s="178" t="s">
        <v>49</v>
      </c>
      <c r="F56" s="171" t="s">
        <v>50</v>
      </c>
      <c r="G56" s="179" t="s">
        <v>42</v>
      </c>
      <c r="H56" s="171" t="s">
        <v>51</v>
      </c>
      <c r="I56" s="171" t="s">
        <v>126</v>
      </c>
      <c r="J56" s="171" t="s">
        <v>127</v>
      </c>
      <c r="K56" s="179"/>
      <c r="L56" s="171"/>
      <c r="M56" s="171"/>
      <c r="N56" s="171"/>
      <c r="O56" s="171"/>
      <c r="P56" s="178">
        <v>6</v>
      </c>
      <c r="Q56" s="178" t="s">
        <v>37</v>
      </c>
      <c r="R56" s="191">
        <v>8</v>
      </c>
      <c r="S56" s="191">
        <v>22</v>
      </c>
      <c r="T56" s="191">
        <v>18</v>
      </c>
      <c r="U56" s="191"/>
      <c r="V56" s="78"/>
      <c r="W56" s="78">
        <f t="shared" si="1"/>
        <v>19.007999999999999</v>
      </c>
      <c r="X56" s="162" t="s">
        <v>242</v>
      </c>
    </row>
    <row r="57" spans="1:24" x14ac:dyDescent="0.25">
      <c r="A57" s="161" t="s">
        <v>243</v>
      </c>
      <c r="B57" s="8" t="s">
        <v>56</v>
      </c>
      <c r="C57" s="171" t="s">
        <v>26</v>
      </c>
      <c r="D57" s="171" t="s">
        <v>27</v>
      </c>
      <c r="E57" s="178" t="s">
        <v>49</v>
      </c>
      <c r="F57" s="171" t="s">
        <v>50</v>
      </c>
      <c r="G57" s="179" t="s">
        <v>95</v>
      </c>
      <c r="H57" s="171" t="s">
        <v>118</v>
      </c>
      <c r="I57" s="171" t="s">
        <v>126</v>
      </c>
      <c r="J57" s="171" t="s">
        <v>127</v>
      </c>
      <c r="K57" s="179"/>
      <c r="L57" s="171"/>
      <c r="M57" s="171"/>
      <c r="N57" s="171"/>
      <c r="O57" s="171"/>
      <c r="P57" s="178">
        <v>2</v>
      </c>
      <c r="Q57" s="178" t="s">
        <v>37</v>
      </c>
      <c r="R57" s="189">
        <v>8</v>
      </c>
      <c r="S57" s="189">
        <v>20</v>
      </c>
      <c r="T57" s="189">
        <v>48</v>
      </c>
      <c r="U57" s="189"/>
      <c r="V57" s="47"/>
      <c r="W57" s="47">
        <f t="shared" si="1"/>
        <v>15.36</v>
      </c>
      <c r="X57" s="162" t="s">
        <v>244</v>
      </c>
    </row>
    <row r="58" spans="1:24" x14ac:dyDescent="0.25">
      <c r="A58" s="161" t="s">
        <v>245</v>
      </c>
      <c r="B58" s="8" t="s">
        <v>60</v>
      </c>
      <c r="C58" s="171" t="s">
        <v>26</v>
      </c>
      <c r="D58" s="171" t="s">
        <v>27</v>
      </c>
      <c r="E58" s="178" t="s">
        <v>40</v>
      </c>
      <c r="F58" s="171" t="s">
        <v>41</v>
      </c>
      <c r="G58" s="179" t="s">
        <v>61</v>
      </c>
      <c r="H58" s="171" t="s">
        <v>62</v>
      </c>
      <c r="I58" s="171" t="s">
        <v>126</v>
      </c>
      <c r="J58" s="171" t="s">
        <v>127</v>
      </c>
      <c r="K58" s="179"/>
      <c r="L58" s="171"/>
      <c r="M58" s="171"/>
      <c r="N58" s="171"/>
      <c r="O58" s="171"/>
      <c r="P58" s="178">
        <v>2</v>
      </c>
      <c r="Q58" s="178" t="s">
        <v>37</v>
      </c>
      <c r="R58" s="189">
        <v>8</v>
      </c>
      <c r="S58" s="189">
        <v>20</v>
      </c>
      <c r="T58" s="189">
        <v>48</v>
      </c>
      <c r="U58" s="189">
        <v>115</v>
      </c>
      <c r="V58" s="47"/>
      <c r="W58" s="47">
        <f t="shared" si="1"/>
        <v>15.36</v>
      </c>
      <c r="X58" s="162" t="s">
        <v>246</v>
      </c>
    </row>
    <row r="59" spans="1:24" x14ac:dyDescent="0.25">
      <c r="A59" s="161" t="s">
        <v>247</v>
      </c>
      <c r="B59" s="8" t="s">
        <v>92</v>
      </c>
      <c r="C59" s="171" t="s">
        <v>26</v>
      </c>
      <c r="D59" s="171" t="s">
        <v>27</v>
      </c>
      <c r="E59" s="178" t="s">
        <v>49</v>
      </c>
      <c r="F59" s="171" t="s">
        <v>50</v>
      </c>
      <c r="G59" s="179" t="s">
        <v>42</v>
      </c>
      <c r="H59" s="171" t="s">
        <v>122</v>
      </c>
      <c r="I59" s="171" t="s">
        <v>44</v>
      </c>
      <c r="J59" s="171" t="s">
        <v>227</v>
      </c>
      <c r="K59" s="179" t="s">
        <v>248</v>
      </c>
      <c r="L59" s="171"/>
      <c r="M59" s="171"/>
      <c r="N59" s="171"/>
      <c r="O59" s="171"/>
      <c r="P59" s="178">
        <v>1</v>
      </c>
      <c r="Q59" s="178" t="s">
        <v>86</v>
      </c>
      <c r="R59" s="189">
        <v>1</v>
      </c>
      <c r="S59" s="189">
        <v>10</v>
      </c>
      <c r="T59" s="189">
        <v>1500</v>
      </c>
      <c r="U59" s="189">
        <v>115</v>
      </c>
      <c r="V59" s="47">
        <v>13</v>
      </c>
      <c r="W59" s="47">
        <f t="shared" si="1"/>
        <v>15</v>
      </c>
      <c r="X59" s="162" t="s">
        <v>249</v>
      </c>
    </row>
    <row r="60" spans="1:24" x14ac:dyDescent="0.25">
      <c r="A60" s="161" t="s">
        <v>250</v>
      </c>
      <c r="B60" s="8" t="s">
        <v>92</v>
      </c>
      <c r="C60" s="171" t="s">
        <v>26</v>
      </c>
      <c r="D60" s="171" t="s">
        <v>27</v>
      </c>
      <c r="E60" s="178" t="s">
        <v>28</v>
      </c>
      <c r="F60" s="171" t="s">
        <v>29</v>
      </c>
      <c r="G60" s="179" t="s">
        <v>170</v>
      </c>
      <c r="H60" s="171" t="s">
        <v>171</v>
      </c>
      <c r="I60" s="171" t="s">
        <v>153</v>
      </c>
      <c r="J60" s="171" t="s">
        <v>156</v>
      </c>
      <c r="K60" s="179" t="s">
        <v>157</v>
      </c>
      <c r="L60" s="171"/>
      <c r="M60" s="171"/>
      <c r="N60" s="171"/>
      <c r="O60" s="171"/>
      <c r="P60" s="178">
        <v>1</v>
      </c>
      <c r="Q60" s="178" t="s">
        <v>86</v>
      </c>
      <c r="R60" s="189">
        <v>2</v>
      </c>
      <c r="S60" s="189">
        <v>4</v>
      </c>
      <c r="T60" s="189">
        <v>1600</v>
      </c>
      <c r="U60" s="189">
        <v>115</v>
      </c>
      <c r="V60" s="47"/>
      <c r="W60" s="47">
        <f t="shared" si="1"/>
        <v>12.8</v>
      </c>
      <c r="X60" s="162" t="s">
        <v>251</v>
      </c>
    </row>
    <row r="61" spans="1:24" x14ac:dyDescent="0.25">
      <c r="A61" s="161" t="s">
        <v>252</v>
      </c>
      <c r="B61" s="8" t="s">
        <v>56</v>
      </c>
      <c r="C61" s="171" t="s">
        <v>26</v>
      </c>
      <c r="D61" s="171" t="s">
        <v>27</v>
      </c>
      <c r="E61" s="178" t="s">
        <v>93</v>
      </c>
      <c r="F61" s="171" t="s">
        <v>94</v>
      </c>
      <c r="G61" s="179" t="s">
        <v>151</v>
      </c>
      <c r="H61" s="171" t="s">
        <v>152</v>
      </c>
      <c r="I61" s="171" t="s">
        <v>153</v>
      </c>
      <c r="J61" s="171" t="s">
        <v>235</v>
      </c>
      <c r="K61" s="179"/>
      <c r="L61" s="171"/>
      <c r="M61" s="171"/>
      <c r="N61" s="171"/>
      <c r="O61" s="171"/>
      <c r="P61" s="178">
        <v>1</v>
      </c>
      <c r="Q61" s="178" t="s">
        <v>37</v>
      </c>
      <c r="R61" s="189">
        <v>3</v>
      </c>
      <c r="S61" s="189">
        <v>20</v>
      </c>
      <c r="T61" s="189">
        <v>200</v>
      </c>
      <c r="U61" s="189"/>
      <c r="V61" s="47"/>
      <c r="W61" s="47">
        <f t="shared" si="1"/>
        <v>12</v>
      </c>
      <c r="X61" s="162" t="s">
        <v>253</v>
      </c>
    </row>
    <row r="62" spans="1:24" x14ac:dyDescent="0.25">
      <c r="A62" s="161" t="s">
        <v>254</v>
      </c>
      <c r="B62" s="8" t="s">
        <v>92</v>
      </c>
      <c r="C62" s="171" t="s">
        <v>26</v>
      </c>
      <c r="D62" s="171" t="s">
        <v>27</v>
      </c>
      <c r="E62" s="178" t="s">
        <v>93</v>
      </c>
      <c r="F62" s="171" t="s">
        <v>94</v>
      </c>
      <c r="G62" s="179" t="s">
        <v>95</v>
      </c>
      <c r="H62" s="171" t="s">
        <v>96</v>
      </c>
      <c r="I62" s="171" t="s">
        <v>101</v>
      </c>
      <c r="J62" s="171" t="s">
        <v>213</v>
      </c>
      <c r="K62" s="179"/>
      <c r="L62" s="171"/>
      <c r="M62" s="171"/>
      <c r="N62" s="171"/>
      <c r="O62" s="171"/>
      <c r="P62" s="178">
        <v>1</v>
      </c>
      <c r="Q62" s="178" t="s">
        <v>37</v>
      </c>
      <c r="R62" s="189">
        <v>8</v>
      </c>
      <c r="S62" s="189">
        <v>20</v>
      </c>
      <c r="T62" s="189">
        <v>70</v>
      </c>
      <c r="U62" s="189">
        <v>115</v>
      </c>
      <c r="V62" s="47"/>
      <c r="W62" s="47">
        <f t="shared" si="1"/>
        <v>11.2</v>
      </c>
      <c r="X62" s="162" t="s">
        <v>210</v>
      </c>
    </row>
    <row r="63" spans="1:24" x14ac:dyDescent="0.25">
      <c r="A63" s="161" t="s">
        <v>255</v>
      </c>
      <c r="B63" s="8" t="s">
        <v>25</v>
      </c>
      <c r="C63" s="171" t="s">
        <v>26</v>
      </c>
      <c r="D63" s="171" t="s">
        <v>27</v>
      </c>
      <c r="E63" s="178" t="s">
        <v>40</v>
      </c>
      <c r="F63" s="171" t="s">
        <v>41</v>
      </c>
      <c r="G63" s="179" t="s">
        <v>42</v>
      </c>
      <c r="H63" s="171" t="s">
        <v>143</v>
      </c>
      <c r="I63" s="171" t="s">
        <v>153</v>
      </c>
      <c r="J63" s="171" t="s">
        <v>73</v>
      </c>
      <c r="K63" s="179" t="s">
        <v>256</v>
      </c>
      <c r="L63" s="171"/>
      <c r="M63" s="171"/>
      <c r="N63" s="171"/>
      <c r="O63" s="171"/>
      <c r="P63" s="178">
        <v>1</v>
      </c>
      <c r="Q63" s="178" t="s">
        <v>37</v>
      </c>
      <c r="R63" s="189">
        <v>2</v>
      </c>
      <c r="S63" s="189">
        <v>10</v>
      </c>
      <c r="T63" s="189">
        <v>550</v>
      </c>
      <c r="U63" s="189">
        <v>115</v>
      </c>
      <c r="V63" s="47"/>
      <c r="W63" s="47">
        <f t="shared" si="1"/>
        <v>11</v>
      </c>
      <c r="X63" s="162" t="s">
        <v>257</v>
      </c>
    </row>
    <row r="64" spans="1:24" x14ac:dyDescent="0.25">
      <c r="A64" s="161" t="s">
        <v>258</v>
      </c>
      <c r="B64" s="8" t="s">
        <v>25</v>
      </c>
      <c r="C64" s="171" t="s">
        <v>26</v>
      </c>
      <c r="D64" s="171" t="s">
        <v>27</v>
      </c>
      <c r="E64" s="178" t="s">
        <v>49</v>
      </c>
      <c r="F64" s="171" t="s">
        <v>50</v>
      </c>
      <c r="G64" s="179" t="s">
        <v>42</v>
      </c>
      <c r="H64" s="171" t="s">
        <v>51</v>
      </c>
      <c r="I64" s="171" t="s">
        <v>153</v>
      </c>
      <c r="J64" s="171" t="s">
        <v>235</v>
      </c>
      <c r="K64" s="179" t="s">
        <v>259</v>
      </c>
      <c r="L64" s="171"/>
      <c r="M64" s="171"/>
      <c r="N64" s="171"/>
      <c r="O64" s="171"/>
      <c r="P64" s="178">
        <v>1</v>
      </c>
      <c r="Q64" s="178" t="s">
        <v>37</v>
      </c>
      <c r="R64" s="191">
        <v>8</v>
      </c>
      <c r="S64" s="191">
        <v>15</v>
      </c>
      <c r="T64" s="191">
        <v>90</v>
      </c>
      <c r="U64" s="191"/>
      <c r="V64" s="78"/>
      <c r="W64" s="78">
        <f t="shared" si="1"/>
        <v>10.8</v>
      </c>
      <c r="X64" s="162" t="s">
        <v>260</v>
      </c>
    </row>
    <row r="65" spans="1:63" x14ac:dyDescent="0.25">
      <c r="A65" s="161" t="s">
        <v>261</v>
      </c>
      <c r="B65" s="8" t="s">
        <v>25</v>
      </c>
      <c r="C65" s="171" t="s">
        <v>26</v>
      </c>
      <c r="D65" s="171" t="s">
        <v>27</v>
      </c>
      <c r="E65" s="178" t="s">
        <v>40</v>
      </c>
      <c r="F65" s="171" t="s">
        <v>41</v>
      </c>
      <c r="G65" s="179" t="s">
        <v>42</v>
      </c>
      <c r="H65" s="171" t="s">
        <v>143</v>
      </c>
      <c r="I65" s="171" t="s">
        <v>153</v>
      </c>
      <c r="J65" s="171" t="s">
        <v>73</v>
      </c>
      <c r="K65" s="179" t="s">
        <v>262</v>
      </c>
      <c r="L65" s="171"/>
      <c r="M65" s="171"/>
      <c r="N65" s="171"/>
      <c r="O65" s="171"/>
      <c r="P65" s="178">
        <v>1</v>
      </c>
      <c r="Q65" s="178" t="s">
        <v>37</v>
      </c>
      <c r="R65" s="189">
        <v>1</v>
      </c>
      <c r="S65" s="189">
        <v>10</v>
      </c>
      <c r="T65" s="189">
        <v>1050</v>
      </c>
      <c r="U65" s="189">
        <v>115</v>
      </c>
      <c r="V65" s="47"/>
      <c r="W65" s="47">
        <f t="shared" si="1"/>
        <v>10.5</v>
      </c>
      <c r="X65" s="162" t="s">
        <v>263</v>
      </c>
    </row>
    <row r="66" spans="1:63" x14ac:dyDescent="0.25">
      <c r="A66" s="161" t="s">
        <v>264</v>
      </c>
      <c r="B66" s="8" t="s">
        <v>25</v>
      </c>
      <c r="C66" s="171" t="s">
        <v>26</v>
      </c>
      <c r="D66" s="171" t="s">
        <v>27</v>
      </c>
      <c r="E66" s="178" t="s">
        <v>40</v>
      </c>
      <c r="F66" s="171" t="s">
        <v>41</v>
      </c>
      <c r="G66" s="179" t="s">
        <v>42</v>
      </c>
      <c r="H66" s="171" t="s">
        <v>165</v>
      </c>
      <c r="I66" s="171" t="s">
        <v>126</v>
      </c>
      <c r="J66" s="171" t="s">
        <v>127</v>
      </c>
      <c r="K66" s="179"/>
      <c r="L66" s="171"/>
      <c r="M66" s="171"/>
      <c r="N66" s="171"/>
      <c r="O66" s="171"/>
      <c r="P66" s="178">
        <v>16</v>
      </c>
      <c r="Q66" s="178" t="s">
        <v>86</v>
      </c>
      <c r="R66" s="189">
        <v>3</v>
      </c>
      <c r="S66" s="189">
        <v>12</v>
      </c>
      <c r="T66" s="189">
        <v>18</v>
      </c>
      <c r="U66" s="197"/>
      <c r="V66" s="47"/>
      <c r="W66" s="47">
        <f t="shared" ref="W66:W97" si="2">(P66*R66*S66*T66)/1000</f>
        <v>10.368</v>
      </c>
      <c r="X66" s="162" t="s">
        <v>265</v>
      </c>
    </row>
    <row r="67" spans="1:63" x14ac:dyDescent="0.25">
      <c r="A67" s="161" t="s">
        <v>266</v>
      </c>
      <c r="B67" s="8" t="s">
        <v>89</v>
      </c>
      <c r="C67" s="171" t="s">
        <v>26</v>
      </c>
      <c r="D67" s="171" t="s">
        <v>27</v>
      </c>
      <c r="E67" s="178" t="s">
        <v>28</v>
      </c>
      <c r="F67" s="171" t="s">
        <v>29</v>
      </c>
      <c r="G67" s="179" t="s">
        <v>267</v>
      </c>
      <c r="H67" s="171" t="s">
        <v>268</v>
      </c>
      <c r="I67" s="171" t="s">
        <v>126</v>
      </c>
      <c r="J67" s="171" t="s">
        <v>127</v>
      </c>
      <c r="K67" s="179"/>
      <c r="L67" s="171"/>
      <c r="M67" s="171"/>
      <c r="N67" s="171"/>
      <c r="O67" s="171"/>
      <c r="P67" s="178">
        <v>8</v>
      </c>
      <c r="Q67" s="178" t="s">
        <v>37</v>
      </c>
      <c r="R67" s="189">
        <v>4</v>
      </c>
      <c r="S67" s="189">
        <v>20</v>
      </c>
      <c r="T67" s="189">
        <v>16</v>
      </c>
      <c r="U67" s="197"/>
      <c r="V67" s="47"/>
      <c r="W67" s="47">
        <f t="shared" si="2"/>
        <v>10.24</v>
      </c>
      <c r="X67" s="162" t="s">
        <v>172</v>
      </c>
    </row>
    <row r="68" spans="1:63" s="7" customFormat="1" x14ac:dyDescent="0.25">
      <c r="A68" s="161" t="s">
        <v>269</v>
      </c>
      <c r="B68" s="8" t="s">
        <v>25</v>
      </c>
      <c r="C68" s="171" t="s">
        <v>26</v>
      </c>
      <c r="D68" s="171" t="s">
        <v>27</v>
      </c>
      <c r="E68" s="178" t="s">
        <v>49</v>
      </c>
      <c r="F68" s="171" t="s">
        <v>50</v>
      </c>
      <c r="G68" s="179" t="s">
        <v>73</v>
      </c>
      <c r="H68" s="171" t="s">
        <v>206</v>
      </c>
      <c r="I68" s="171" t="s">
        <v>75</v>
      </c>
      <c r="J68" s="171" t="s">
        <v>270</v>
      </c>
      <c r="K68" s="179"/>
      <c r="L68" s="171"/>
      <c r="M68" s="171"/>
      <c r="N68" s="171"/>
      <c r="O68" s="171"/>
      <c r="P68" s="178">
        <v>1</v>
      </c>
      <c r="Q68" s="178" t="s">
        <v>37</v>
      </c>
      <c r="R68" s="189">
        <v>24</v>
      </c>
      <c r="S68" s="189">
        <v>30</v>
      </c>
      <c r="T68" s="189">
        <v>13</v>
      </c>
      <c r="U68" s="189">
        <v>115</v>
      </c>
      <c r="V68" s="47"/>
      <c r="W68" s="47">
        <f t="shared" si="2"/>
        <v>9.36</v>
      </c>
      <c r="X68" s="162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1:63" x14ac:dyDescent="0.25">
      <c r="A69" s="161" t="s">
        <v>271</v>
      </c>
      <c r="B69" s="8" t="s">
        <v>25</v>
      </c>
      <c r="C69" s="171" t="s">
        <v>26</v>
      </c>
      <c r="D69" s="171" t="s">
        <v>27</v>
      </c>
      <c r="E69" s="178" t="s">
        <v>28</v>
      </c>
      <c r="F69" s="171" t="s">
        <v>29</v>
      </c>
      <c r="G69" s="179" t="s">
        <v>170</v>
      </c>
      <c r="H69" s="171" t="s">
        <v>171</v>
      </c>
      <c r="I69" s="171" t="s">
        <v>75</v>
      </c>
      <c r="J69" s="171" t="s">
        <v>270</v>
      </c>
      <c r="K69" s="179"/>
      <c r="L69" s="171"/>
      <c r="M69" s="171"/>
      <c r="N69" s="171"/>
      <c r="O69" s="171"/>
      <c r="P69" s="178">
        <v>1</v>
      </c>
      <c r="Q69" s="178" t="s">
        <v>37</v>
      </c>
      <c r="R69" s="189">
        <v>24</v>
      </c>
      <c r="S69" s="189">
        <v>30</v>
      </c>
      <c r="T69" s="189">
        <v>13</v>
      </c>
      <c r="U69" s="189">
        <v>115</v>
      </c>
      <c r="V69" s="47"/>
      <c r="W69" s="47">
        <f t="shared" si="2"/>
        <v>9.36</v>
      </c>
      <c r="X69" s="162"/>
    </row>
    <row r="70" spans="1:63" s="11" customFormat="1" x14ac:dyDescent="0.25">
      <c r="A70" s="161" t="s">
        <v>272</v>
      </c>
      <c r="B70" s="8" t="s">
        <v>25</v>
      </c>
      <c r="C70" s="171" t="s">
        <v>26</v>
      </c>
      <c r="D70" s="171" t="s">
        <v>27</v>
      </c>
      <c r="E70" s="178" t="s">
        <v>93</v>
      </c>
      <c r="F70" s="171" t="s">
        <v>94</v>
      </c>
      <c r="G70" s="179" t="s">
        <v>73</v>
      </c>
      <c r="H70" s="171" t="s">
        <v>273</v>
      </c>
      <c r="I70" s="171" t="s">
        <v>75</v>
      </c>
      <c r="J70" s="171" t="s">
        <v>270</v>
      </c>
      <c r="K70" s="179"/>
      <c r="L70" s="171"/>
      <c r="M70" s="171"/>
      <c r="N70" s="171"/>
      <c r="O70" s="171"/>
      <c r="P70" s="178">
        <v>1</v>
      </c>
      <c r="Q70" s="178" t="s">
        <v>37</v>
      </c>
      <c r="R70" s="189">
        <v>24</v>
      </c>
      <c r="S70" s="189">
        <v>30</v>
      </c>
      <c r="T70" s="189">
        <v>13</v>
      </c>
      <c r="U70" s="189">
        <v>115</v>
      </c>
      <c r="V70" s="47"/>
      <c r="W70" s="47">
        <f t="shared" si="2"/>
        <v>9.36</v>
      </c>
      <c r="X70" s="162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63" x14ac:dyDescent="0.25">
      <c r="A71" s="161" t="s">
        <v>274</v>
      </c>
      <c r="B71" s="8" t="s">
        <v>25</v>
      </c>
      <c r="C71" s="171" t="s">
        <v>26</v>
      </c>
      <c r="D71" s="171" t="s">
        <v>27</v>
      </c>
      <c r="E71" s="178" t="s">
        <v>93</v>
      </c>
      <c r="F71" s="171" t="s">
        <v>94</v>
      </c>
      <c r="G71" s="179" t="s">
        <v>73</v>
      </c>
      <c r="H71" s="171" t="s">
        <v>273</v>
      </c>
      <c r="I71" s="171" t="s">
        <v>75</v>
      </c>
      <c r="J71" s="171" t="s">
        <v>270</v>
      </c>
      <c r="K71" s="179"/>
      <c r="L71" s="171"/>
      <c r="M71" s="171"/>
      <c r="N71" s="171"/>
      <c r="O71" s="171"/>
      <c r="P71" s="178">
        <v>1</v>
      </c>
      <c r="Q71" s="178" t="s">
        <v>37</v>
      </c>
      <c r="R71" s="189">
        <v>24</v>
      </c>
      <c r="S71" s="189">
        <v>30</v>
      </c>
      <c r="T71" s="189">
        <v>13</v>
      </c>
      <c r="U71" s="189">
        <v>115</v>
      </c>
      <c r="V71" s="47"/>
      <c r="W71" s="47">
        <f t="shared" si="2"/>
        <v>9.36</v>
      </c>
      <c r="X71" s="162"/>
    </row>
    <row r="72" spans="1:63" s="11" customFormat="1" x14ac:dyDescent="0.25">
      <c r="A72" s="161" t="s">
        <v>150</v>
      </c>
      <c r="B72" s="8" t="s">
        <v>72</v>
      </c>
      <c r="C72" s="171" t="s">
        <v>26</v>
      </c>
      <c r="D72" s="171" t="s">
        <v>27</v>
      </c>
      <c r="E72" s="178" t="s">
        <v>49</v>
      </c>
      <c r="F72" s="171" t="s">
        <v>50</v>
      </c>
      <c r="G72" s="179" t="s">
        <v>73</v>
      </c>
      <c r="H72" s="171" t="s">
        <v>206</v>
      </c>
      <c r="I72" s="171" t="s">
        <v>101</v>
      </c>
      <c r="J72" s="171" t="s">
        <v>275</v>
      </c>
      <c r="K72" s="179" t="s">
        <v>276</v>
      </c>
      <c r="L72" s="171"/>
      <c r="M72" s="171"/>
      <c r="N72" s="171"/>
      <c r="O72" s="171"/>
      <c r="P72" s="178">
        <v>1</v>
      </c>
      <c r="Q72" s="178" t="s">
        <v>37</v>
      </c>
      <c r="R72" s="189">
        <v>24</v>
      </c>
      <c r="S72" s="189">
        <v>30</v>
      </c>
      <c r="T72" s="189">
        <v>12</v>
      </c>
      <c r="U72" s="189">
        <v>115</v>
      </c>
      <c r="V72" s="47"/>
      <c r="W72" s="47">
        <f t="shared" si="2"/>
        <v>8.64</v>
      </c>
      <c r="X72" s="16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1:63" x14ac:dyDescent="0.25">
      <c r="A73" s="161" t="s">
        <v>277</v>
      </c>
      <c r="B73" s="8" t="s">
        <v>25</v>
      </c>
      <c r="C73" s="171" t="s">
        <v>26</v>
      </c>
      <c r="D73" s="171" t="s">
        <v>27</v>
      </c>
      <c r="E73" s="178" t="s">
        <v>28</v>
      </c>
      <c r="F73" s="171" t="s">
        <v>29</v>
      </c>
      <c r="G73" s="179" t="s">
        <v>30</v>
      </c>
      <c r="H73" s="171" t="s">
        <v>31</v>
      </c>
      <c r="I73" s="171" t="s">
        <v>101</v>
      </c>
      <c r="J73" s="171" t="s">
        <v>275</v>
      </c>
      <c r="K73" s="179" t="s">
        <v>276</v>
      </c>
      <c r="L73" s="171"/>
      <c r="M73" s="171"/>
      <c r="N73" s="171"/>
      <c r="O73" s="171"/>
      <c r="P73" s="178">
        <v>1</v>
      </c>
      <c r="Q73" s="178" t="s">
        <v>37</v>
      </c>
      <c r="R73" s="189">
        <v>24</v>
      </c>
      <c r="S73" s="189">
        <v>30</v>
      </c>
      <c r="T73" s="189">
        <v>12</v>
      </c>
      <c r="U73" s="189"/>
      <c r="V73" s="47"/>
      <c r="W73" s="47">
        <f t="shared" si="2"/>
        <v>8.64</v>
      </c>
      <c r="X73" s="162" t="s">
        <v>278</v>
      </c>
    </row>
    <row r="74" spans="1:63" x14ac:dyDescent="0.25">
      <c r="A74" s="161" t="s">
        <v>279</v>
      </c>
      <c r="B74" s="8" t="s">
        <v>25</v>
      </c>
      <c r="C74" s="171" t="s">
        <v>26</v>
      </c>
      <c r="D74" s="171" t="s">
        <v>27</v>
      </c>
      <c r="E74" s="178" t="s">
        <v>28</v>
      </c>
      <c r="F74" s="171" t="s">
        <v>29</v>
      </c>
      <c r="G74" s="179" t="s">
        <v>30</v>
      </c>
      <c r="H74" s="171" t="s">
        <v>31</v>
      </c>
      <c r="I74" s="171" t="s">
        <v>101</v>
      </c>
      <c r="J74" s="171" t="s">
        <v>275</v>
      </c>
      <c r="K74" s="179" t="s">
        <v>276</v>
      </c>
      <c r="L74" s="171"/>
      <c r="M74" s="171"/>
      <c r="N74" s="171"/>
      <c r="O74" s="171"/>
      <c r="P74" s="178">
        <v>1</v>
      </c>
      <c r="Q74" s="178" t="s">
        <v>37</v>
      </c>
      <c r="R74" s="189">
        <v>24</v>
      </c>
      <c r="S74" s="189">
        <v>30</v>
      </c>
      <c r="T74" s="189">
        <v>12</v>
      </c>
      <c r="U74" s="189"/>
      <c r="V74" s="47"/>
      <c r="W74" s="47">
        <f t="shared" si="2"/>
        <v>8.64</v>
      </c>
      <c r="X74" s="162" t="s">
        <v>278</v>
      </c>
    </row>
    <row r="75" spans="1:63" x14ac:dyDescent="0.25">
      <c r="A75" s="161" t="s">
        <v>280</v>
      </c>
      <c r="B75" s="8" t="s">
        <v>25</v>
      </c>
      <c r="C75" s="171" t="s">
        <v>26</v>
      </c>
      <c r="D75" s="171" t="s">
        <v>27</v>
      </c>
      <c r="E75" s="178" t="s">
        <v>40</v>
      </c>
      <c r="F75" s="171" t="s">
        <v>41</v>
      </c>
      <c r="G75" s="179" t="s">
        <v>42</v>
      </c>
      <c r="H75" s="171" t="s">
        <v>43</v>
      </c>
      <c r="I75" s="171" t="s">
        <v>126</v>
      </c>
      <c r="J75" s="171" t="s">
        <v>127</v>
      </c>
      <c r="K75" s="179"/>
      <c r="L75" s="171"/>
      <c r="M75" s="171"/>
      <c r="N75" s="171"/>
      <c r="O75" s="171"/>
      <c r="P75" s="178">
        <v>3</v>
      </c>
      <c r="Q75" s="178" t="s">
        <v>37</v>
      </c>
      <c r="R75" s="190">
        <v>6</v>
      </c>
      <c r="S75" s="190">
        <v>15</v>
      </c>
      <c r="T75" s="190">
        <v>32</v>
      </c>
      <c r="U75" s="190"/>
      <c r="V75" s="186"/>
      <c r="W75" s="186">
        <f t="shared" si="2"/>
        <v>8.64</v>
      </c>
      <c r="X75" s="162" t="s">
        <v>281</v>
      </c>
    </row>
    <row r="76" spans="1:63" s="7" customFormat="1" x14ac:dyDescent="0.25">
      <c r="A76" s="161" t="s">
        <v>282</v>
      </c>
      <c r="B76" s="8" t="s">
        <v>60</v>
      </c>
      <c r="C76" s="171" t="s">
        <v>26</v>
      </c>
      <c r="D76" s="171" t="s">
        <v>27</v>
      </c>
      <c r="E76" s="178" t="s">
        <v>49</v>
      </c>
      <c r="F76" s="171" t="s">
        <v>50</v>
      </c>
      <c r="G76" s="179" t="s">
        <v>42</v>
      </c>
      <c r="H76" s="171" t="s">
        <v>122</v>
      </c>
      <c r="I76" s="171" t="s">
        <v>153</v>
      </c>
      <c r="J76" s="171" t="s">
        <v>283</v>
      </c>
      <c r="K76" s="179" t="s">
        <v>256</v>
      </c>
      <c r="L76" s="171"/>
      <c r="M76" s="171"/>
      <c r="N76" s="171"/>
      <c r="O76" s="171"/>
      <c r="P76" s="178">
        <v>1</v>
      </c>
      <c r="Q76" s="178" t="s">
        <v>37</v>
      </c>
      <c r="R76" s="189">
        <v>1</v>
      </c>
      <c r="S76" s="189">
        <v>15</v>
      </c>
      <c r="T76" s="189">
        <v>550</v>
      </c>
      <c r="U76" s="189">
        <v>115</v>
      </c>
      <c r="V76" s="47"/>
      <c r="W76" s="47">
        <f t="shared" si="2"/>
        <v>8.25</v>
      </c>
      <c r="X76" s="162" t="s">
        <v>284</v>
      </c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1:63" x14ac:dyDescent="0.25">
      <c r="A77" s="161" t="s">
        <v>285</v>
      </c>
      <c r="B77" s="8" t="s">
        <v>130</v>
      </c>
      <c r="C77" s="171" t="s">
        <v>26</v>
      </c>
      <c r="D77" s="171" t="s">
        <v>27</v>
      </c>
      <c r="E77" s="178" t="s">
        <v>49</v>
      </c>
      <c r="F77" s="171" t="s">
        <v>50</v>
      </c>
      <c r="G77" s="179" t="s">
        <v>42</v>
      </c>
      <c r="H77" s="171" t="s">
        <v>51</v>
      </c>
      <c r="I77" s="171" t="s">
        <v>44</v>
      </c>
      <c r="J77" s="171" t="s">
        <v>286</v>
      </c>
      <c r="K77" s="179" t="s">
        <v>287</v>
      </c>
      <c r="L77" s="171" t="s">
        <v>288</v>
      </c>
      <c r="M77" s="171"/>
      <c r="N77" s="171"/>
      <c r="O77" s="171"/>
      <c r="P77" s="178">
        <v>1</v>
      </c>
      <c r="Q77" s="178" t="s">
        <v>37</v>
      </c>
      <c r="R77" s="189">
        <v>2</v>
      </c>
      <c r="S77" s="191">
        <v>15</v>
      </c>
      <c r="T77" s="189">
        <v>270</v>
      </c>
      <c r="U77" s="197"/>
      <c r="V77" s="37"/>
      <c r="W77" s="47">
        <f t="shared" si="2"/>
        <v>8.1</v>
      </c>
      <c r="X77" s="162" t="s">
        <v>289</v>
      </c>
    </row>
    <row r="78" spans="1:63" x14ac:dyDescent="0.25">
      <c r="A78" s="161" t="s">
        <v>290</v>
      </c>
      <c r="B78" s="8" t="s">
        <v>25</v>
      </c>
      <c r="C78" s="171" t="s">
        <v>26</v>
      </c>
      <c r="D78" s="171" t="s">
        <v>27</v>
      </c>
      <c r="E78" s="178" t="s">
        <v>40</v>
      </c>
      <c r="F78" s="171" t="s">
        <v>41</v>
      </c>
      <c r="G78" s="179" t="s">
        <v>42</v>
      </c>
      <c r="H78" s="171" t="s">
        <v>143</v>
      </c>
      <c r="I78" s="171" t="s">
        <v>101</v>
      </c>
      <c r="J78" s="171" t="s">
        <v>213</v>
      </c>
      <c r="K78" s="179" t="s">
        <v>291</v>
      </c>
      <c r="L78" s="171"/>
      <c r="M78" s="171"/>
      <c r="N78" s="171"/>
      <c r="O78" s="171"/>
      <c r="P78" s="178">
        <v>1</v>
      </c>
      <c r="Q78" s="178" t="s">
        <v>37</v>
      </c>
      <c r="R78" s="189">
        <v>3</v>
      </c>
      <c r="S78" s="189">
        <v>12</v>
      </c>
      <c r="T78" s="189">
        <f>U78*V78</f>
        <v>218.5</v>
      </c>
      <c r="U78" s="189">
        <v>115</v>
      </c>
      <c r="V78" s="47">
        <v>1.9</v>
      </c>
      <c r="W78" s="47">
        <f t="shared" si="2"/>
        <v>7.8659999999999997</v>
      </c>
      <c r="X78" s="162" t="s">
        <v>292</v>
      </c>
    </row>
    <row r="79" spans="1:63" x14ac:dyDescent="0.25">
      <c r="A79" s="161" t="s">
        <v>293</v>
      </c>
      <c r="B79" s="8" t="s">
        <v>56</v>
      </c>
      <c r="C79" s="171" t="s">
        <v>26</v>
      </c>
      <c r="D79" s="171" t="s">
        <v>27</v>
      </c>
      <c r="E79" s="178" t="s">
        <v>28</v>
      </c>
      <c r="F79" s="171" t="s">
        <v>29</v>
      </c>
      <c r="G79" s="179" t="s">
        <v>73</v>
      </c>
      <c r="H79" s="171" t="s">
        <v>273</v>
      </c>
      <c r="I79" s="171" t="s">
        <v>126</v>
      </c>
      <c r="J79" s="171" t="s">
        <v>127</v>
      </c>
      <c r="K79" s="179"/>
      <c r="L79" s="171"/>
      <c r="M79" s="171"/>
      <c r="N79" s="171"/>
      <c r="O79" s="171"/>
      <c r="P79" s="178">
        <v>2</v>
      </c>
      <c r="Q79" s="178" t="s">
        <v>37</v>
      </c>
      <c r="R79" s="189">
        <v>8</v>
      </c>
      <c r="S79" s="189">
        <v>20</v>
      </c>
      <c r="T79" s="189">
        <v>24</v>
      </c>
      <c r="U79" s="197"/>
      <c r="V79" s="47"/>
      <c r="W79" s="47">
        <f t="shared" si="2"/>
        <v>7.68</v>
      </c>
      <c r="X79" s="162" t="s">
        <v>294</v>
      </c>
    </row>
    <row r="80" spans="1:63" x14ac:dyDescent="0.25">
      <c r="A80" s="161" t="s">
        <v>295</v>
      </c>
      <c r="B80" s="8" t="s">
        <v>56</v>
      </c>
      <c r="C80" s="171" t="s">
        <v>26</v>
      </c>
      <c r="D80" s="171" t="s">
        <v>27</v>
      </c>
      <c r="E80" s="178" t="s">
        <v>49</v>
      </c>
      <c r="F80" s="171" t="s">
        <v>50</v>
      </c>
      <c r="G80" s="179" t="s">
        <v>95</v>
      </c>
      <c r="H80" s="171" t="s">
        <v>118</v>
      </c>
      <c r="I80" s="171" t="s">
        <v>101</v>
      </c>
      <c r="J80" s="171" t="s">
        <v>181</v>
      </c>
      <c r="K80" s="179" t="s">
        <v>296</v>
      </c>
      <c r="L80" s="171"/>
      <c r="M80" s="171"/>
      <c r="N80" s="171"/>
      <c r="O80" s="171"/>
      <c r="P80" s="178">
        <v>1</v>
      </c>
      <c r="Q80" s="178" t="s">
        <v>37</v>
      </c>
      <c r="R80" s="189">
        <v>8</v>
      </c>
      <c r="S80" s="189">
        <v>20</v>
      </c>
      <c r="T80" s="189">
        <v>45</v>
      </c>
      <c r="U80" s="189"/>
      <c r="V80" s="47"/>
      <c r="W80" s="47">
        <f t="shared" si="2"/>
        <v>7.2</v>
      </c>
      <c r="X80" s="162" t="s">
        <v>297</v>
      </c>
    </row>
    <row r="81" spans="1:64" x14ac:dyDescent="0.25">
      <c r="A81" s="161" t="s">
        <v>298</v>
      </c>
      <c r="B81" s="8" t="s">
        <v>25</v>
      </c>
      <c r="C81" s="171" t="s">
        <v>26</v>
      </c>
      <c r="D81" s="171" t="s">
        <v>27</v>
      </c>
      <c r="E81" s="178" t="s">
        <v>40</v>
      </c>
      <c r="F81" s="171" t="s">
        <v>41</v>
      </c>
      <c r="G81" s="179" t="s">
        <v>42</v>
      </c>
      <c r="H81" s="171" t="s">
        <v>143</v>
      </c>
      <c r="I81" s="171" t="s">
        <v>101</v>
      </c>
      <c r="J81" s="171" t="s">
        <v>213</v>
      </c>
      <c r="K81" s="179" t="s">
        <v>291</v>
      </c>
      <c r="L81" s="171"/>
      <c r="M81" s="171"/>
      <c r="N81" s="171"/>
      <c r="O81" s="171"/>
      <c r="P81" s="178">
        <v>1</v>
      </c>
      <c r="Q81" s="178" t="s">
        <v>37</v>
      </c>
      <c r="R81" s="189">
        <v>4</v>
      </c>
      <c r="S81" s="189">
        <v>12</v>
      </c>
      <c r="T81" s="189">
        <v>135</v>
      </c>
      <c r="U81" s="189">
        <v>115</v>
      </c>
      <c r="V81" s="47"/>
      <c r="W81" s="47">
        <f t="shared" si="2"/>
        <v>6.48</v>
      </c>
      <c r="X81" s="162" t="s">
        <v>292</v>
      </c>
    </row>
    <row r="82" spans="1:64" x14ac:dyDescent="0.25">
      <c r="A82" s="161" t="s">
        <v>299</v>
      </c>
      <c r="B82" s="8" t="s">
        <v>25</v>
      </c>
      <c r="C82" s="171" t="s">
        <v>26</v>
      </c>
      <c r="D82" s="171" t="s">
        <v>27</v>
      </c>
      <c r="E82" s="178" t="s">
        <v>40</v>
      </c>
      <c r="F82" s="171" t="s">
        <v>41</v>
      </c>
      <c r="G82" s="179" t="s">
        <v>73</v>
      </c>
      <c r="H82" s="171" t="s">
        <v>300</v>
      </c>
      <c r="I82" s="171" t="s">
        <v>126</v>
      </c>
      <c r="J82" s="171" t="s">
        <v>127</v>
      </c>
      <c r="K82" s="179"/>
      <c r="L82" s="171"/>
      <c r="M82" s="171"/>
      <c r="N82" s="171"/>
      <c r="O82" s="171"/>
      <c r="P82" s="178">
        <v>2</v>
      </c>
      <c r="Q82" s="178" t="s">
        <v>37</v>
      </c>
      <c r="R82" s="189">
        <v>8</v>
      </c>
      <c r="S82" s="189">
        <v>20</v>
      </c>
      <c r="T82" s="189">
        <v>18</v>
      </c>
      <c r="U82" s="197"/>
      <c r="V82" s="47"/>
      <c r="W82" s="47">
        <f t="shared" si="2"/>
        <v>5.76</v>
      </c>
      <c r="X82" s="162" t="s">
        <v>301</v>
      </c>
    </row>
    <row r="83" spans="1:64" x14ac:dyDescent="0.25">
      <c r="A83" s="161" t="s">
        <v>302</v>
      </c>
      <c r="B83" s="8" t="s">
        <v>89</v>
      </c>
      <c r="C83" s="171" t="s">
        <v>26</v>
      </c>
      <c r="D83" s="171" t="s">
        <v>27</v>
      </c>
      <c r="E83" s="178" t="s">
        <v>40</v>
      </c>
      <c r="F83" s="171" t="s">
        <v>41</v>
      </c>
      <c r="G83" s="179" t="s">
        <v>73</v>
      </c>
      <c r="H83" s="171" t="s">
        <v>300</v>
      </c>
      <c r="I83" s="171" t="s">
        <v>126</v>
      </c>
      <c r="J83" s="171" t="s">
        <v>127</v>
      </c>
      <c r="K83" s="179"/>
      <c r="L83" s="171"/>
      <c r="M83" s="171"/>
      <c r="N83" s="171"/>
      <c r="O83" s="171"/>
      <c r="P83" s="178">
        <v>2</v>
      </c>
      <c r="Q83" s="178" t="s">
        <v>37</v>
      </c>
      <c r="R83" s="189">
        <v>8</v>
      </c>
      <c r="S83" s="189">
        <v>20</v>
      </c>
      <c r="T83" s="189">
        <v>18</v>
      </c>
      <c r="U83" s="197"/>
      <c r="V83" s="47"/>
      <c r="W83" s="47">
        <f t="shared" si="2"/>
        <v>5.76</v>
      </c>
      <c r="X83" s="162" t="s">
        <v>303</v>
      </c>
    </row>
    <row r="84" spans="1:64" x14ac:dyDescent="0.25">
      <c r="A84" s="161" t="s">
        <v>304</v>
      </c>
      <c r="B84" s="8" t="s">
        <v>130</v>
      </c>
      <c r="C84" s="171" t="s">
        <v>26</v>
      </c>
      <c r="D84" s="171" t="s">
        <v>27</v>
      </c>
      <c r="E84" s="178" t="s">
        <v>49</v>
      </c>
      <c r="F84" s="171" t="s">
        <v>50</v>
      </c>
      <c r="G84" s="179" t="s">
        <v>42</v>
      </c>
      <c r="H84" s="171" t="s">
        <v>122</v>
      </c>
      <c r="I84" s="171" t="s">
        <v>44</v>
      </c>
      <c r="J84" s="171" t="s">
        <v>305</v>
      </c>
      <c r="K84" s="179" t="s">
        <v>139</v>
      </c>
      <c r="L84" s="171" t="s">
        <v>306</v>
      </c>
      <c r="M84" s="171"/>
      <c r="N84" s="171"/>
      <c r="O84" s="171"/>
      <c r="P84" s="178">
        <v>1</v>
      </c>
      <c r="Q84" s="178" t="s">
        <v>37</v>
      </c>
      <c r="R84" s="189">
        <v>1</v>
      </c>
      <c r="S84" s="189">
        <v>10</v>
      </c>
      <c r="T84" s="189">
        <v>550</v>
      </c>
      <c r="U84" s="189"/>
      <c r="V84" s="47"/>
      <c r="W84" s="47">
        <f t="shared" si="2"/>
        <v>5.5</v>
      </c>
      <c r="X84" s="162" t="s">
        <v>307</v>
      </c>
    </row>
    <row r="85" spans="1:64" s="3" customFormat="1" x14ac:dyDescent="0.25">
      <c r="A85" s="161" t="s">
        <v>308</v>
      </c>
      <c r="B85" s="8" t="s">
        <v>89</v>
      </c>
      <c r="C85" s="171" t="s">
        <v>26</v>
      </c>
      <c r="D85" s="171" t="s">
        <v>27</v>
      </c>
      <c r="E85" s="178" t="s">
        <v>49</v>
      </c>
      <c r="F85" s="171" t="s">
        <v>50</v>
      </c>
      <c r="G85" s="179" t="s">
        <v>73</v>
      </c>
      <c r="H85" s="171" t="s">
        <v>309</v>
      </c>
      <c r="I85" s="171" t="s">
        <v>126</v>
      </c>
      <c r="J85" s="171" t="s">
        <v>127</v>
      </c>
      <c r="K85" s="179"/>
      <c r="L85" s="171" t="s">
        <v>207</v>
      </c>
      <c r="M85" s="171"/>
      <c r="N85" s="171"/>
      <c r="O85" s="171"/>
      <c r="P85" s="178">
        <v>3</v>
      </c>
      <c r="Q85" s="178" t="s">
        <v>37</v>
      </c>
      <c r="R85" s="189">
        <v>5</v>
      </c>
      <c r="S85" s="189">
        <v>20</v>
      </c>
      <c r="T85" s="189">
        <v>18</v>
      </c>
      <c r="U85" s="189">
        <v>115</v>
      </c>
      <c r="V85" s="47"/>
      <c r="W85" s="47">
        <f t="shared" si="2"/>
        <v>5.4</v>
      </c>
      <c r="X85" s="162" t="s">
        <v>208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 s="10"/>
    </row>
    <row r="86" spans="1:64" x14ac:dyDescent="0.25">
      <c r="A86" s="161" t="s">
        <v>310</v>
      </c>
      <c r="B86" s="8" t="s">
        <v>60</v>
      </c>
      <c r="C86" s="171" t="s">
        <v>26</v>
      </c>
      <c r="D86" s="171" t="s">
        <v>27</v>
      </c>
      <c r="E86" s="178" t="s">
        <v>40</v>
      </c>
      <c r="F86" s="171" t="s">
        <v>41</v>
      </c>
      <c r="G86" s="179" t="s">
        <v>61</v>
      </c>
      <c r="H86" s="171" t="s">
        <v>62</v>
      </c>
      <c r="I86" s="171" t="s">
        <v>231</v>
      </c>
      <c r="J86" s="171" t="s">
        <v>232</v>
      </c>
      <c r="K86" s="179"/>
      <c r="L86" s="171"/>
      <c r="M86" s="171"/>
      <c r="N86" s="171"/>
      <c r="O86" s="171"/>
      <c r="P86" s="178">
        <v>1</v>
      </c>
      <c r="Q86" s="178" t="s">
        <v>37</v>
      </c>
      <c r="R86" s="189">
        <v>5</v>
      </c>
      <c r="S86" s="189">
        <v>20</v>
      </c>
      <c r="T86" s="189">
        <v>50</v>
      </c>
      <c r="U86" s="189">
        <v>115</v>
      </c>
      <c r="V86" s="47"/>
      <c r="W86" s="47">
        <f t="shared" si="2"/>
        <v>5</v>
      </c>
      <c r="X86" s="162" t="s">
        <v>311</v>
      </c>
    </row>
    <row r="87" spans="1:64" s="3" customFormat="1" x14ac:dyDescent="0.25">
      <c r="A87" s="161" t="s">
        <v>312</v>
      </c>
      <c r="B87" s="8" t="s">
        <v>25</v>
      </c>
      <c r="C87" s="171" t="s">
        <v>26</v>
      </c>
      <c r="D87" s="171" t="s">
        <v>27</v>
      </c>
      <c r="E87" s="178" t="s">
        <v>40</v>
      </c>
      <c r="F87" s="171" t="s">
        <v>41</v>
      </c>
      <c r="G87" s="179" t="s">
        <v>42</v>
      </c>
      <c r="H87" s="171" t="s">
        <v>43</v>
      </c>
      <c r="I87" s="171" t="s">
        <v>126</v>
      </c>
      <c r="J87" s="171" t="s">
        <v>127</v>
      </c>
      <c r="K87" s="179"/>
      <c r="L87" s="171"/>
      <c r="M87" s="171"/>
      <c r="N87" s="171"/>
      <c r="O87" s="171"/>
      <c r="P87" s="178">
        <v>3</v>
      </c>
      <c r="Q87" s="178" t="s">
        <v>37</v>
      </c>
      <c r="R87" s="190">
        <v>6</v>
      </c>
      <c r="S87" s="190">
        <v>15</v>
      </c>
      <c r="T87" s="190">
        <v>18</v>
      </c>
      <c r="U87" s="190"/>
      <c r="V87" s="186"/>
      <c r="W87" s="186">
        <f t="shared" si="2"/>
        <v>4.8600000000000003</v>
      </c>
      <c r="X87" s="162" t="s">
        <v>313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 s="10"/>
    </row>
    <row r="88" spans="1:64" x14ac:dyDescent="0.25">
      <c r="A88" s="161" t="s">
        <v>314</v>
      </c>
      <c r="B88" s="8" t="s">
        <v>56</v>
      </c>
      <c r="C88" s="171" t="s">
        <v>26</v>
      </c>
      <c r="D88" s="171" t="s">
        <v>27</v>
      </c>
      <c r="E88" s="178" t="s">
        <v>28</v>
      </c>
      <c r="F88" s="171" t="s">
        <v>29</v>
      </c>
      <c r="G88" s="179" t="s">
        <v>30</v>
      </c>
      <c r="H88" s="171" t="s">
        <v>31</v>
      </c>
      <c r="I88" s="171" t="s">
        <v>153</v>
      </c>
      <c r="J88" s="171" t="s">
        <v>213</v>
      </c>
      <c r="K88" s="179" t="s">
        <v>210</v>
      </c>
      <c r="L88" s="171" t="s">
        <v>315</v>
      </c>
      <c r="M88" s="171"/>
      <c r="N88" s="171"/>
      <c r="O88" s="171"/>
      <c r="P88" s="178">
        <v>1</v>
      </c>
      <c r="Q88" s="178" t="s">
        <v>86</v>
      </c>
      <c r="R88" s="189">
        <v>3</v>
      </c>
      <c r="S88" s="189">
        <v>16</v>
      </c>
      <c r="T88" s="195">
        <v>95</v>
      </c>
      <c r="U88" s="189"/>
      <c r="V88" s="47"/>
      <c r="W88" s="47">
        <f t="shared" si="2"/>
        <v>4.5599999999999996</v>
      </c>
      <c r="X88" s="162" t="s">
        <v>214</v>
      </c>
    </row>
    <row r="89" spans="1:64" x14ac:dyDescent="0.25">
      <c r="A89" s="161" t="s">
        <v>316</v>
      </c>
      <c r="B89" s="8" t="s">
        <v>56</v>
      </c>
      <c r="C89" s="171" t="s">
        <v>26</v>
      </c>
      <c r="D89" s="171" t="s">
        <v>27</v>
      </c>
      <c r="E89" s="178" t="s">
        <v>49</v>
      </c>
      <c r="F89" s="171" t="s">
        <v>50</v>
      </c>
      <c r="G89" s="179" t="s">
        <v>42</v>
      </c>
      <c r="H89" s="171" t="s">
        <v>122</v>
      </c>
      <c r="I89" s="171" t="s">
        <v>126</v>
      </c>
      <c r="J89" s="171" t="s">
        <v>317</v>
      </c>
      <c r="K89" s="179"/>
      <c r="L89" s="171"/>
      <c r="M89" s="171"/>
      <c r="N89" s="171"/>
      <c r="O89" s="171"/>
      <c r="P89" s="178">
        <v>1</v>
      </c>
      <c r="Q89" s="178" t="s">
        <v>37</v>
      </c>
      <c r="R89" s="189">
        <v>7</v>
      </c>
      <c r="S89" s="189">
        <v>20</v>
      </c>
      <c r="T89" s="189">
        <v>32</v>
      </c>
      <c r="U89" s="189"/>
      <c r="V89" s="47"/>
      <c r="W89" s="47">
        <f t="shared" si="2"/>
        <v>4.4800000000000004</v>
      </c>
      <c r="X89" s="162" t="s">
        <v>318</v>
      </c>
    </row>
    <row r="90" spans="1:64" s="3" customFormat="1" x14ac:dyDescent="0.25">
      <c r="A90" s="161" t="s">
        <v>319</v>
      </c>
      <c r="B90" s="8" t="s">
        <v>56</v>
      </c>
      <c r="C90" s="171" t="s">
        <v>26</v>
      </c>
      <c r="D90" s="171" t="s">
        <v>27</v>
      </c>
      <c r="E90" s="178" t="s">
        <v>28</v>
      </c>
      <c r="F90" s="171" t="s">
        <v>29</v>
      </c>
      <c r="G90" s="179" t="s">
        <v>30</v>
      </c>
      <c r="H90" s="171" t="s">
        <v>31</v>
      </c>
      <c r="I90" s="171" t="s">
        <v>101</v>
      </c>
      <c r="J90" s="171" t="s">
        <v>102</v>
      </c>
      <c r="K90" s="179"/>
      <c r="L90" s="171"/>
      <c r="M90" s="171"/>
      <c r="N90" s="171"/>
      <c r="O90" s="171"/>
      <c r="P90" s="178">
        <v>1</v>
      </c>
      <c r="Q90" s="178" t="s">
        <v>86</v>
      </c>
      <c r="R90" s="189">
        <v>3</v>
      </c>
      <c r="S90" s="189">
        <v>12</v>
      </c>
      <c r="T90" s="189">
        <v>120</v>
      </c>
      <c r="U90" s="189"/>
      <c r="V90" s="47"/>
      <c r="W90" s="47">
        <f t="shared" si="2"/>
        <v>4.32</v>
      </c>
      <c r="X90" s="162" t="s">
        <v>320</v>
      </c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 s="10"/>
    </row>
    <row r="91" spans="1:64" s="3" customFormat="1" x14ac:dyDescent="0.25">
      <c r="A91" s="161" t="s">
        <v>321</v>
      </c>
      <c r="B91" s="8" t="s">
        <v>130</v>
      </c>
      <c r="C91" s="171" t="s">
        <v>26</v>
      </c>
      <c r="D91" s="171" t="s">
        <v>27</v>
      </c>
      <c r="E91" s="178" t="s">
        <v>49</v>
      </c>
      <c r="F91" s="171" t="s">
        <v>50</v>
      </c>
      <c r="G91" s="179" t="s">
        <v>42</v>
      </c>
      <c r="H91" s="171" t="s">
        <v>122</v>
      </c>
      <c r="I91" s="171" t="s">
        <v>44</v>
      </c>
      <c r="J91" s="171" t="s">
        <v>222</v>
      </c>
      <c r="K91" s="179" t="s">
        <v>322</v>
      </c>
      <c r="L91" s="171"/>
      <c r="M91" s="171"/>
      <c r="N91" s="171"/>
      <c r="O91" s="171"/>
      <c r="P91" s="178">
        <v>1</v>
      </c>
      <c r="Q91" s="178" t="s">
        <v>37</v>
      </c>
      <c r="R91" s="189">
        <v>1</v>
      </c>
      <c r="S91" s="189">
        <v>15</v>
      </c>
      <c r="T91" s="189">
        <v>275</v>
      </c>
      <c r="U91" s="189"/>
      <c r="V91" s="47"/>
      <c r="W91" s="47">
        <f t="shared" si="2"/>
        <v>4.125</v>
      </c>
      <c r="X91" s="162" t="s">
        <v>323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 s="10"/>
    </row>
    <row r="92" spans="1:64" s="3" customFormat="1" x14ac:dyDescent="0.25">
      <c r="A92" s="161" t="s">
        <v>324</v>
      </c>
      <c r="B92" s="8" t="s">
        <v>89</v>
      </c>
      <c r="C92" s="171" t="s">
        <v>26</v>
      </c>
      <c r="D92" s="171" t="s">
        <v>27</v>
      </c>
      <c r="E92" s="178" t="s">
        <v>40</v>
      </c>
      <c r="F92" s="171" t="s">
        <v>41</v>
      </c>
      <c r="G92" s="179" t="s">
        <v>42</v>
      </c>
      <c r="H92" s="171" t="s">
        <v>57</v>
      </c>
      <c r="I92" s="171" t="s">
        <v>44</v>
      </c>
      <c r="J92" s="171" t="s">
        <v>186</v>
      </c>
      <c r="K92" s="179"/>
      <c r="L92" s="171"/>
      <c r="M92" s="171"/>
      <c r="N92" s="171"/>
      <c r="O92" s="171"/>
      <c r="P92" s="178">
        <v>2</v>
      </c>
      <c r="Q92" s="178" t="s">
        <v>37</v>
      </c>
      <c r="R92" s="189">
        <v>4</v>
      </c>
      <c r="S92" s="189">
        <v>20</v>
      </c>
      <c r="T92" s="189">
        <v>25</v>
      </c>
      <c r="U92" s="197"/>
      <c r="V92" s="47"/>
      <c r="W92" s="47">
        <f t="shared" si="2"/>
        <v>4</v>
      </c>
      <c r="X92" s="162" t="s">
        <v>325</v>
      </c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 s="10"/>
    </row>
    <row r="93" spans="1:64" s="3" customFormat="1" x14ac:dyDescent="0.25">
      <c r="A93" s="161" t="s">
        <v>326</v>
      </c>
      <c r="B93" s="8" t="s">
        <v>56</v>
      </c>
      <c r="C93" s="171" t="s">
        <v>26</v>
      </c>
      <c r="D93" s="171" t="s">
        <v>27</v>
      </c>
      <c r="E93" s="178" t="s">
        <v>28</v>
      </c>
      <c r="F93" s="171" t="s">
        <v>29</v>
      </c>
      <c r="G93" s="179" t="s">
        <v>30</v>
      </c>
      <c r="H93" s="171" t="s">
        <v>31</v>
      </c>
      <c r="I93" s="171" t="s">
        <v>101</v>
      </c>
      <c r="J93" s="171" t="s">
        <v>213</v>
      </c>
      <c r="K93" s="179"/>
      <c r="L93" s="171"/>
      <c r="M93" s="171"/>
      <c r="N93" s="171"/>
      <c r="O93" s="171"/>
      <c r="P93" s="178">
        <v>1</v>
      </c>
      <c r="Q93" s="178" t="s">
        <v>86</v>
      </c>
      <c r="R93" s="189">
        <v>3</v>
      </c>
      <c r="S93" s="189">
        <v>12</v>
      </c>
      <c r="T93" s="189">
        <v>110</v>
      </c>
      <c r="U93" s="189"/>
      <c r="V93" s="47"/>
      <c r="W93" s="47">
        <f t="shared" si="2"/>
        <v>3.96</v>
      </c>
      <c r="X93" s="162" t="s">
        <v>327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 s="10"/>
    </row>
    <row r="94" spans="1:64" s="3" customFormat="1" x14ac:dyDescent="0.25">
      <c r="A94" s="161" t="s">
        <v>328</v>
      </c>
      <c r="B94" s="8" t="s">
        <v>56</v>
      </c>
      <c r="C94" s="171" t="s">
        <v>26</v>
      </c>
      <c r="D94" s="171" t="s">
        <v>27</v>
      </c>
      <c r="E94" s="178" t="s">
        <v>40</v>
      </c>
      <c r="F94" s="171" t="s">
        <v>41</v>
      </c>
      <c r="G94" s="179" t="s">
        <v>42</v>
      </c>
      <c r="H94" s="171" t="s">
        <v>57</v>
      </c>
      <c r="I94" s="171" t="s">
        <v>44</v>
      </c>
      <c r="J94" s="171" t="s">
        <v>186</v>
      </c>
      <c r="K94" s="179" t="s">
        <v>329</v>
      </c>
      <c r="L94" s="171"/>
      <c r="M94" s="171"/>
      <c r="N94" s="171"/>
      <c r="O94" s="171"/>
      <c r="P94" s="178">
        <v>1</v>
      </c>
      <c r="Q94" s="178" t="s">
        <v>37</v>
      </c>
      <c r="R94" s="189">
        <v>1</v>
      </c>
      <c r="S94" s="189">
        <v>12</v>
      </c>
      <c r="T94" s="189">
        <v>300</v>
      </c>
      <c r="U94" s="189">
        <v>115</v>
      </c>
      <c r="V94" s="47"/>
      <c r="W94" s="47">
        <f t="shared" si="2"/>
        <v>3.6</v>
      </c>
      <c r="X94" s="162" t="s">
        <v>330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 s="10"/>
    </row>
    <row r="95" spans="1:64" s="3" customFormat="1" x14ac:dyDescent="0.25">
      <c r="A95" s="161" t="s">
        <v>331</v>
      </c>
      <c r="B95" s="8" t="s">
        <v>25</v>
      </c>
      <c r="C95" s="171" t="s">
        <v>26</v>
      </c>
      <c r="D95" s="171" t="s">
        <v>27</v>
      </c>
      <c r="E95" s="178" t="s">
        <v>49</v>
      </c>
      <c r="F95" s="171" t="s">
        <v>50</v>
      </c>
      <c r="G95" s="179" t="s">
        <v>42</v>
      </c>
      <c r="H95" s="171" t="s">
        <v>51</v>
      </c>
      <c r="I95" s="171" t="s">
        <v>101</v>
      </c>
      <c r="J95" s="171" t="s">
        <v>213</v>
      </c>
      <c r="K95" s="179" t="s">
        <v>157</v>
      </c>
      <c r="L95" s="171"/>
      <c r="M95" s="171"/>
      <c r="N95" s="171"/>
      <c r="O95" s="171"/>
      <c r="P95" s="178">
        <v>1</v>
      </c>
      <c r="Q95" s="178" t="s">
        <v>37</v>
      </c>
      <c r="R95" s="191">
        <v>1</v>
      </c>
      <c r="S95" s="191">
        <v>15</v>
      </c>
      <c r="T95" s="191">
        <f>U95*V95</f>
        <v>218.5</v>
      </c>
      <c r="U95" s="189">
        <v>115</v>
      </c>
      <c r="V95" s="78">
        <v>1.9</v>
      </c>
      <c r="W95" s="78">
        <f t="shared" si="2"/>
        <v>3.2774999999999999</v>
      </c>
      <c r="X95" s="162" t="s">
        <v>332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 s="10"/>
    </row>
    <row r="96" spans="1:64" s="3" customFormat="1" x14ac:dyDescent="0.25">
      <c r="A96" s="161" t="s">
        <v>333</v>
      </c>
      <c r="B96" s="8" t="s">
        <v>89</v>
      </c>
      <c r="C96" s="171" t="s">
        <v>26</v>
      </c>
      <c r="D96" s="171" t="s">
        <v>27</v>
      </c>
      <c r="E96" s="178" t="s">
        <v>28</v>
      </c>
      <c r="F96" s="171" t="s">
        <v>29</v>
      </c>
      <c r="G96" s="179" t="s">
        <v>267</v>
      </c>
      <c r="H96" s="171" t="s">
        <v>268</v>
      </c>
      <c r="I96" s="171" t="s">
        <v>101</v>
      </c>
      <c r="J96" s="171" t="s">
        <v>102</v>
      </c>
      <c r="K96" s="179"/>
      <c r="L96" s="171"/>
      <c r="M96" s="171"/>
      <c r="N96" s="171"/>
      <c r="O96" s="171"/>
      <c r="P96" s="178">
        <v>1</v>
      </c>
      <c r="Q96" s="178" t="s">
        <v>37</v>
      </c>
      <c r="R96" s="189">
        <v>6</v>
      </c>
      <c r="S96" s="189">
        <v>12</v>
      </c>
      <c r="T96" s="189">
        <v>45</v>
      </c>
      <c r="U96" s="189">
        <v>240</v>
      </c>
      <c r="V96" s="47">
        <v>1.5</v>
      </c>
      <c r="W96" s="47">
        <f t="shared" si="2"/>
        <v>3.24</v>
      </c>
      <c r="X96" s="162" t="s">
        <v>334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 s="10"/>
    </row>
    <row r="97" spans="1:64" s="3" customFormat="1" x14ac:dyDescent="0.25">
      <c r="A97" s="161" t="s">
        <v>335</v>
      </c>
      <c r="B97" s="8" t="s">
        <v>25</v>
      </c>
      <c r="C97" s="171" t="s">
        <v>26</v>
      </c>
      <c r="D97" s="171" t="s">
        <v>27</v>
      </c>
      <c r="E97" s="178" t="s">
        <v>49</v>
      </c>
      <c r="F97" s="171" t="s">
        <v>50</v>
      </c>
      <c r="G97" s="179" t="s">
        <v>73</v>
      </c>
      <c r="H97" s="171" t="s">
        <v>336</v>
      </c>
      <c r="I97" s="171" t="s">
        <v>126</v>
      </c>
      <c r="J97" s="171" t="s">
        <v>127</v>
      </c>
      <c r="K97" s="179"/>
      <c r="L97" s="171" t="s">
        <v>207</v>
      </c>
      <c r="M97" s="171"/>
      <c r="N97" s="171"/>
      <c r="O97" s="171"/>
      <c r="P97" s="178">
        <v>2</v>
      </c>
      <c r="Q97" s="178" t="s">
        <v>37</v>
      </c>
      <c r="R97" s="189">
        <v>4</v>
      </c>
      <c r="S97" s="189">
        <v>20</v>
      </c>
      <c r="T97" s="189">
        <v>18</v>
      </c>
      <c r="U97" s="189">
        <v>115</v>
      </c>
      <c r="V97" s="47"/>
      <c r="W97" s="47">
        <f t="shared" si="2"/>
        <v>2.88</v>
      </c>
      <c r="X97" s="162" t="s">
        <v>208</v>
      </c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 s="10"/>
    </row>
    <row r="98" spans="1:64" s="3" customFormat="1" x14ac:dyDescent="0.25">
      <c r="A98" s="161" t="s">
        <v>337</v>
      </c>
      <c r="B98" s="8" t="s">
        <v>25</v>
      </c>
      <c r="C98" s="171" t="s">
        <v>26</v>
      </c>
      <c r="D98" s="171" t="s">
        <v>27</v>
      </c>
      <c r="E98" s="178" t="s">
        <v>40</v>
      </c>
      <c r="F98" s="171" t="s">
        <v>41</v>
      </c>
      <c r="G98" s="179" t="s">
        <v>73</v>
      </c>
      <c r="H98" s="171" t="s">
        <v>300</v>
      </c>
      <c r="I98" s="171" t="s">
        <v>126</v>
      </c>
      <c r="J98" s="171" t="s">
        <v>127</v>
      </c>
      <c r="K98" s="179"/>
      <c r="L98" s="171"/>
      <c r="M98" s="171"/>
      <c r="N98" s="171"/>
      <c r="O98" s="171"/>
      <c r="P98" s="178">
        <v>1</v>
      </c>
      <c r="Q98" s="178" t="s">
        <v>37</v>
      </c>
      <c r="R98" s="189">
        <v>8</v>
      </c>
      <c r="S98" s="189">
        <v>20</v>
      </c>
      <c r="T98" s="189">
        <v>18</v>
      </c>
      <c r="U98" s="197"/>
      <c r="V98" s="47"/>
      <c r="W98" s="47">
        <f t="shared" ref="W98:W123" si="3">(P98*R98*S98*T98)/1000</f>
        <v>2.88</v>
      </c>
      <c r="X98" s="162" t="s">
        <v>301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 s="10"/>
    </row>
    <row r="99" spans="1:64" s="3" customFormat="1" x14ac:dyDescent="0.25">
      <c r="A99" s="161" t="s">
        <v>338</v>
      </c>
      <c r="B99" s="8" t="s">
        <v>89</v>
      </c>
      <c r="C99" s="171" t="s">
        <v>26</v>
      </c>
      <c r="D99" s="171" t="s">
        <v>27</v>
      </c>
      <c r="E99" s="178" t="s">
        <v>40</v>
      </c>
      <c r="F99" s="171" t="s">
        <v>41</v>
      </c>
      <c r="G99" s="179" t="s">
        <v>73</v>
      </c>
      <c r="H99" s="171" t="s">
        <v>300</v>
      </c>
      <c r="I99" s="171" t="s">
        <v>126</v>
      </c>
      <c r="J99" s="171" t="s">
        <v>127</v>
      </c>
      <c r="K99" s="179"/>
      <c r="L99" s="171"/>
      <c r="M99" s="171"/>
      <c r="N99" s="171"/>
      <c r="O99" s="171"/>
      <c r="P99" s="178">
        <v>1</v>
      </c>
      <c r="Q99" s="178" t="s">
        <v>37</v>
      </c>
      <c r="R99" s="189">
        <v>8</v>
      </c>
      <c r="S99" s="189">
        <v>20</v>
      </c>
      <c r="T99" s="189">
        <v>18</v>
      </c>
      <c r="U99" s="197"/>
      <c r="V99" s="47"/>
      <c r="W99" s="47">
        <f t="shared" si="3"/>
        <v>2.88</v>
      </c>
      <c r="X99" s="162" t="s">
        <v>339</v>
      </c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 s="10"/>
    </row>
    <row r="100" spans="1:64" s="3" customFormat="1" x14ac:dyDescent="0.25">
      <c r="A100" s="161" t="s">
        <v>340</v>
      </c>
      <c r="B100" s="8" t="s">
        <v>56</v>
      </c>
      <c r="C100" s="171" t="s">
        <v>26</v>
      </c>
      <c r="D100" s="171" t="s">
        <v>27</v>
      </c>
      <c r="E100" s="178" t="s">
        <v>28</v>
      </c>
      <c r="F100" s="171" t="s">
        <v>29</v>
      </c>
      <c r="G100" s="179" t="s">
        <v>170</v>
      </c>
      <c r="H100" s="171" t="s">
        <v>171</v>
      </c>
      <c r="I100" s="171" t="s">
        <v>231</v>
      </c>
      <c r="J100" s="171" t="s">
        <v>341</v>
      </c>
      <c r="K100" s="179" t="s">
        <v>342</v>
      </c>
      <c r="L100" s="171"/>
      <c r="M100" s="171"/>
      <c r="N100" s="171"/>
      <c r="O100" s="171"/>
      <c r="P100" s="178">
        <v>1</v>
      </c>
      <c r="Q100" s="178" t="s">
        <v>37</v>
      </c>
      <c r="R100" s="189">
        <v>3</v>
      </c>
      <c r="S100" s="189">
        <v>12</v>
      </c>
      <c r="T100" s="189">
        <v>80</v>
      </c>
      <c r="U100" s="189"/>
      <c r="V100" s="47"/>
      <c r="W100" s="47">
        <f t="shared" si="3"/>
        <v>2.88</v>
      </c>
      <c r="X100" s="162" t="s">
        <v>343</v>
      </c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 s="10"/>
    </row>
    <row r="101" spans="1:64" x14ac:dyDescent="0.25">
      <c r="A101" s="161" t="s">
        <v>344</v>
      </c>
      <c r="B101" s="8" t="s">
        <v>25</v>
      </c>
      <c r="C101" s="171" t="s">
        <v>26</v>
      </c>
      <c r="D101" s="171" t="s">
        <v>27</v>
      </c>
      <c r="E101" s="178" t="s">
        <v>93</v>
      </c>
      <c r="F101" s="171" t="s">
        <v>94</v>
      </c>
      <c r="G101" s="179" t="s">
        <v>73</v>
      </c>
      <c r="H101" s="171" t="s">
        <v>273</v>
      </c>
      <c r="I101" s="171" t="s">
        <v>126</v>
      </c>
      <c r="J101" s="171" t="s">
        <v>127</v>
      </c>
      <c r="K101" s="179"/>
      <c r="L101" s="171"/>
      <c r="M101" s="171"/>
      <c r="N101" s="171"/>
      <c r="O101" s="171"/>
      <c r="P101" s="178">
        <v>11</v>
      </c>
      <c r="Q101" s="178" t="s">
        <v>86</v>
      </c>
      <c r="R101" s="189">
        <v>2</v>
      </c>
      <c r="S101" s="189">
        <v>6</v>
      </c>
      <c r="T101" s="189">
        <v>18</v>
      </c>
      <c r="U101" s="189">
        <v>115</v>
      </c>
      <c r="V101" s="47"/>
      <c r="W101" s="47">
        <f t="shared" si="3"/>
        <v>2.3759999999999999</v>
      </c>
      <c r="X101" s="162" t="s">
        <v>345</v>
      </c>
    </row>
    <row r="102" spans="1:64" x14ac:dyDescent="0.25">
      <c r="A102" s="161" t="s">
        <v>346</v>
      </c>
      <c r="B102" s="8" t="s">
        <v>25</v>
      </c>
      <c r="C102" s="171" t="s">
        <v>26</v>
      </c>
      <c r="D102" s="171" t="s">
        <v>27</v>
      </c>
      <c r="E102" s="178" t="s">
        <v>93</v>
      </c>
      <c r="F102" s="171" t="s">
        <v>94</v>
      </c>
      <c r="G102" s="179" t="s">
        <v>73</v>
      </c>
      <c r="H102" s="171" t="s">
        <v>273</v>
      </c>
      <c r="I102" s="171" t="s">
        <v>126</v>
      </c>
      <c r="J102" s="171" t="s">
        <v>127</v>
      </c>
      <c r="K102" s="179"/>
      <c r="L102" s="171"/>
      <c r="M102" s="171"/>
      <c r="N102" s="171"/>
      <c r="O102" s="171"/>
      <c r="P102" s="178">
        <v>11</v>
      </c>
      <c r="Q102" s="178" t="s">
        <v>86</v>
      </c>
      <c r="R102" s="189">
        <v>2</v>
      </c>
      <c r="S102" s="189">
        <v>6</v>
      </c>
      <c r="T102" s="189">
        <v>18</v>
      </c>
      <c r="U102" s="189">
        <v>115</v>
      </c>
      <c r="V102" s="47"/>
      <c r="W102" s="47">
        <f t="shared" si="3"/>
        <v>2.3759999999999999</v>
      </c>
      <c r="X102" s="162" t="s">
        <v>345</v>
      </c>
    </row>
    <row r="103" spans="1:64" x14ac:dyDescent="0.25">
      <c r="A103" s="161" t="s">
        <v>347</v>
      </c>
      <c r="B103" s="8" t="s">
        <v>56</v>
      </c>
      <c r="C103" s="171" t="s">
        <v>26</v>
      </c>
      <c r="D103" s="171" t="s">
        <v>27</v>
      </c>
      <c r="E103" s="178" t="s">
        <v>28</v>
      </c>
      <c r="F103" s="171" t="s">
        <v>29</v>
      </c>
      <c r="G103" s="179" t="s">
        <v>30</v>
      </c>
      <c r="H103" s="171" t="s">
        <v>31</v>
      </c>
      <c r="I103" s="171" t="s">
        <v>126</v>
      </c>
      <c r="J103" s="171" t="s">
        <v>127</v>
      </c>
      <c r="K103" s="179"/>
      <c r="L103" s="171"/>
      <c r="M103" s="171"/>
      <c r="N103" s="171"/>
      <c r="O103" s="171"/>
      <c r="P103" s="178">
        <v>2</v>
      </c>
      <c r="Q103" s="178" t="s">
        <v>86</v>
      </c>
      <c r="R103" s="189">
        <v>4</v>
      </c>
      <c r="S103" s="189">
        <v>12</v>
      </c>
      <c r="T103" s="189">
        <v>24</v>
      </c>
      <c r="U103" s="197"/>
      <c r="V103" s="47"/>
      <c r="W103" s="47">
        <f t="shared" si="3"/>
        <v>2.3039999999999998</v>
      </c>
      <c r="X103" s="162" t="s">
        <v>348</v>
      </c>
    </row>
    <row r="104" spans="1:64" x14ac:dyDescent="0.25">
      <c r="A104" s="161" t="s">
        <v>349</v>
      </c>
      <c r="B104" s="8" t="s">
        <v>25</v>
      </c>
      <c r="C104" s="171" t="s">
        <v>26</v>
      </c>
      <c r="D104" s="171" t="s">
        <v>27</v>
      </c>
      <c r="E104" s="178" t="s">
        <v>49</v>
      </c>
      <c r="F104" s="171" t="s">
        <v>50</v>
      </c>
      <c r="G104" s="179" t="s">
        <v>42</v>
      </c>
      <c r="H104" s="171" t="s">
        <v>51</v>
      </c>
      <c r="I104" s="171" t="s">
        <v>101</v>
      </c>
      <c r="J104" s="171" t="s">
        <v>181</v>
      </c>
      <c r="K104" s="179"/>
      <c r="L104" s="171"/>
      <c r="M104" s="171"/>
      <c r="N104" s="171"/>
      <c r="O104" s="171"/>
      <c r="P104" s="178">
        <v>1</v>
      </c>
      <c r="Q104" s="178" t="s">
        <v>37</v>
      </c>
      <c r="R104" s="191">
        <v>2</v>
      </c>
      <c r="S104" s="191">
        <v>4</v>
      </c>
      <c r="T104" s="191">
        <f>U104*V104</f>
        <v>287.5</v>
      </c>
      <c r="U104" s="189">
        <v>115</v>
      </c>
      <c r="V104" s="78">
        <v>2.5</v>
      </c>
      <c r="W104" s="78">
        <f t="shared" si="3"/>
        <v>2.2999999999999998</v>
      </c>
      <c r="X104" s="162" t="s">
        <v>350</v>
      </c>
    </row>
    <row r="105" spans="1:64" x14ac:dyDescent="0.25">
      <c r="A105" s="161" t="s">
        <v>351</v>
      </c>
      <c r="B105" s="8" t="s">
        <v>60</v>
      </c>
      <c r="C105" s="171" t="s">
        <v>26</v>
      </c>
      <c r="D105" s="171" t="s">
        <v>27</v>
      </c>
      <c r="E105" s="178" t="s">
        <v>49</v>
      </c>
      <c r="F105" s="171" t="s">
        <v>50</v>
      </c>
      <c r="G105" s="179" t="s">
        <v>42</v>
      </c>
      <c r="H105" s="171" t="s">
        <v>122</v>
      </c>
      <c r="I105" s="171" t="s">
        <v>44</v>
      </c>
      <c r="J105" s="171" t="s">
        <v>222</v>
      </c>
      <c r="K105" s="179"/>
      <c r="L105" s="171"/>
      <c r="M105" s="171"/>
      <c r="N105" s="171"/>
      <c r="O105" s="171"/>
      <c r="P105" s="178">
        <v>1</v>
      </c>
      <c r="Q105" s="178" t="s">
        <v>37</v>
      </c>
      <c r="R105" s="189">
        <v>1</v>
      </c>
      <c r="S105" s="189">
        <v>10</v>
      </c>
      <c r="T105" s="189">
        <v>180</v>
      </c>
      <c r="U105" s="189">
        <v>115</v>
      </c>
      <c r="V105" s="47"/>
      <c r="W105" s="47">
        <f t="shared" si="3"/>
        <v>1.8</v>
      </c>
      <c r="X105" s="162" t="s">
        <v>352</v>
      </c>
    </row>
    <row r="106" spans="1:64" x14ac:dyDescent="0.25">
      <c r="A106" s="161" t="s">
        <v>353</v>
      </c>
      <c r="B106" s="8" t="s">
        <v>56</v>
      </c>
      <c r="C106" s="171" t="s">
        <v>26</v>
      </c>
      <c r="D106" s="171" t="s">
        <v>27</v>
      </c>
      <c r="E106" s="178" t="s">
        <v>49</v>
      </c>
      <c r="F106" s="171" t="s">
        <v>50</v>
      </c>
      <c r="G106" s="179" t="s">
        <v>42</v>
      </c>
      <c r="H106" s="171" t="s">
        <v>122</v>
      </c>
      <c r="I106" s="171" t="s">
        <v>101</v>
      </c>
      <c r="J106" s="171" t="s">
        <v>181</v>
      </c>
      <c r="K106" s="179"/>
      <c r="L106" s="171"/>
      <c r="M106" s="171"/>
      <c r="N106" s="171"/>
      <c r="O106" s="171"/>
      <c r="P106" s="178">
        <v>1</v>
      </c>
      <c r="Q106" s="178" t="s">
        <v>37</v>
      </c>
      <c r="R106" s="189">
        <v>2</v>
      </c>
      <c r="S106" s="189">
        <v>20</v>
      </c>
      <c r="T106" s="189">
        <v>45</v>
      </c>
      <c r="U106" s="189"/>
      <c r="V106" s="47"/>
      <c r="W106" s="47">
        <f t="shared" si="3"/>
        <v>1.8</v>
      </c>
      <c r="X106" s="162" t="s">
        <v>350</v>
      </c>
    </row>
    <row r="107" spans="1:64" x14ac:dyDescent="0.25">
      <c r="A107" s="161" t="s">
        <v>354</v>
      </c>
      <c r="B107" s="8" t="s">
        <v>25</v>
      </c>
      <c r="C107" s="171" t="s">
        <v>26</v>
      </c>
      <c r="D107" s="171" t="s">
        <v>27</v>
      </c>
      <c r="E107" s="178" t="s">
        <v>40</v>
      </c>
      <c r="F107" s="171" t="s">
        <v>41</v>
      </c>
      <c r="G107" s="179" t="s">
        <v>42</v>
      </c>
      <c r="H107" s="171" t="s">
        <v>165</v>
      </c>
      <c r="I107" s="171" t="s">
        <v>44</v>
      </c>
      <c r="J107" s="171" t="s">
        <v>45</v>
      </c>
      <c r="K107" s="179" t="s">
        <v>166</v>
      </c>
      <c r="L107" s="171"/>
      <c r="M107" s="171"/>
      <c r="N107" s="171"/>
      <c r="O107" s="171"/>
      <c r="P107" s="178">
        <v>1</v>
      </c>
      <c r="Q107" s="178" t="s">
        <v>37</v>
      </c>
      <c r="R107" s="189">
        <v>1</v>
      </c>
      <c r="S107" s="189">
        <v>6</v>
      </c>
      <c r="T107" s="189">
        <v>280</v>
      </c>
      <c r="U107" s="189">
        <v>115</v>
      </c>
      <c r="V107" s="47">
        <v>1.8</v>
      </c>
      <c r="W107" s="47">
        <f t="shared" si="3"/>
        <v>1.68</v>
      </c>
      <c r="X107" s="162" t="s">
        <v>355</v>
      </c>
    </row>
    <row r="108" spans="1:64" x14ac:dyDescent="0.25">
      <c r="A108" s="161" t="s">
        <v>356</v>
      </c>
      <c r="B108" s="8" t="s">
        <v>25</v>
      </c>
      <c r="C108" s="171" t="s">
        <v>26</v>
      </c>
      <c r="D108" s="171" t="s">
        <v>27</v>
      </c>
      <c r="E108" s="178" t="s">
        <v>40</v>
      </c>
      <c r="F108" s="171" t="s">
        <v>41</v>
      </c>
      <c r="G108" s="179" t="s">
        <v>42</v>
      </c>
      <c r="H108" s="171" t="s">
        <v>143</v>
      </c>
      <c r="I108" s="171" t="s">
        <v>44</v>
      </c>
      <c r="J108" s="171" t="s">
        <v>73</v>
      </c>
      <c r="K108" s="179"/>
      <c r="L108" s="171"/>
      <c r="M108" s="171"/>
      <c r="N108" s="171"/>
      <c r="O108" s="171"/>
      <c r="P108" s="178">
        <v>1</v>
      </c>
      <c r="Q108" s="178" t="s">
        <v>37</v>
      </c>
      <c r="R108" s="189">
        <v>3</v>
      </c>
      <c r="S108" s="189">
        <v>1</v>
      </c>
      <c r="T108" s="189">
        <v>559</v>
      </c>
      <c r="U108" s="189">
        <v>115</v>
      </c>
      <c r="V108" s="47">
        <v>10.8</v>
      </c>
      <c r="W108" s="47">
        <f t="shared" si="3"/>
        <v>1.677</v>
      </c>
      <c r="X108" s="162" t="s">
        <v>357</v>
      </c>
    </row>
    <row r="109" spans="1:64" x14ac:dyDescent="0.25">
      <c r="A109" s="161" t="s">
        <v>358</v>
      </c>
      <c r="B109" s="8" t="s">
        <v>89</v>
      </c>
      <c r="C109" s="171" t="s">
        <v>26</v>
      </c>
      <c r="D109" s="171" t="s">
        <v>27</v>
      </c>
      <c r="E109" s="178" t="s">
        <v>93</v>
      </c>
      <c r="F109" s="171" t="s">
        <v>94</v>
      </c>
      <c r="G109" s="179" t="s">
        <v>95</v>
      </c>
      <c r="H109" s="171" t="s">
        <v>96</v>
      </c>
      <c r="I109" s="171" t="s">
        <v>126</v>
      </c>
      <c r="J109" s="171" t="s">
        <v>127</v>
      </c>
      <c r="K109" s="179"/>
      <c r="L109" s="171"/>
      <c r="M109" s="171"/>
      <c r="N109" s="171"/>
      <c r="O109" s="171"/>
      <c r="P109" s="178">
        <v>2</v>
      </c>
      <c r="Q109" s="178" t="s">
        <v>37</v>
      </c>
      <c r="R109" s="189">
        <v>2</v>
      </c>
      <c r="S109" s="189">
        <v>20</v>
      </c>
      <c r="T109" s="189">
        <v>18</v>
      </c>
      <c r="U109" s="189"/>
      <c r="V109" s="47"/>
      <c r="W109" s="47">
        <f t="shared" si="3"/>
        <v>1.44</v>
      </c>
      <c r="X109" s="162" t="s">
        <v>359</v>
      </c>
    </row>
    <row r="110" spans="1:64" x14ac:dyDescent="0.25">
      <c r="A110" s="161" t="s">
        <v>360</v>
      </c>
      <c r="B110" s="8" t="s">
        <v>25</v>
      </c>
      <c r="C110" s="171" t="s">
        <v>26</v>
      </c>
      <c r="D110" s="171" t="s">
        <v>27</v>
      </c>
      <c r="E110" s="178" t="s">
        <v>40</v>
      </c>
      <c r="F110" s="171" t="s">
        <v>41</v>
      </c>
      <c r="G110" s="179" t="s">
        <v>42</v>
      </c>
      <c r="H110" s="171" t="s">
        <v>43</v>
      </c>
      <c r="I110" s="171" t="s">
        <v>44</v>
      </c>
      <c r="J110" s="171" t="s">
        <v>361</v>
      </c>
      <c r="K110" s="179"/>
      <c r="L110" s="171"/>
      <c r="M110" s="171"/>
      <c r="N110" s="171"/>
      <c r="O110" s="171"/>
      <c r="P110" s="178">
        <v>1</v>
      </c>
      <c r="Q110" s="178" t="s">
        <v>86</v>
      </c>
      <c r="R110" s="190">
        <v>1</v>
      </c>
      <c r="S110" s="190">
        <v>1</v>
      </c>
      <c r="T110" s="190">
        <v>1430</v>
      </c>
      <c r="U110" s="189">
        <v>115</v>
      </c>
      <c r="V110" s="186">
        <v>13</v>
      </c>
      <c r="W110" s="186">
        <f t="shared" si="3"/>
        <v>1.43</v>
      </c>
      <c r="X110" s="162" t="s">
        <v>362</v>
      </c>
    </row>
    <row r="111" spans="1:64" x14ac:dyDescent="0.25">
      <c r="A111" s="161" t="s">
        <v>363</v>
      </c>
      <c r="B111" s="8" t="s">
        <v>89</v>
      </c>
      <c r="C111" s="171" t="s">
        <v>26</v>
      </c>
      <c r="D111" s="171" t="s">
        <v>27</v>
      </c>
      <c r="E111" s="178" t="s">
        <v>28</v>
      </c>
      <c r="F111" s="171" t="s">
        <v>29</v>
      </c>
      <c r="G111" s="179" t="s">
        <v>267</v>
      </c>
      <c r="H111" s="171" t="s">
        <v>268</v>
      </c>
      <c r="I111" s="171" t="s">
        <v>101</v>
      </c>
      <c r="J111" s="171" t="s">
        <v>213</v>
      </c>
      <c r="K111" s="179"/>
      <c r="L111" s="171"/>
      <c r="M111" s="171"/>
      <c r="N111" s="171"/>
      <c r="O111" s="171"/>
      <c r="P111" s="178">
        <v>1</v>
      </c>
      <c r="Q111" s="178" t="s">
        <v>37</v>
      </c>
      <c r="R111" s="189">
        <v>2</v>
      </c>
      <c r="S111" s="189">
        <v>10</v>
      </c>
      <c r="T111" s="189">
        <v>70</v>
      </c>
      <c r="U111" s="197"/>
      <c r="V111" s="47"/>
      <c r="W111" s="47">
        <f t="shared" si="3"/>
        <v>1.4</v>
      </c>
      <c r="X111" s="162" t="s">
        <v>214</v>
      </c>
    </row>
    <row r="112" spans="1:64" x14ac:dyDescent="0.25">
      <c r="A112" s="161" t="s">
        <v>364</v>
      </c>
      <c r="B112" s="8" t="s">
        <v>56</v>
      </c>
      <c r="C112" s="171" t="s">
        <v>26</v>
      </c>
      <c r="D112" s="171" t="s">
        <v>27</v>
      </c>
      <c r="E112" s="178" t="s">
        <v>28</v>
      </c>
      <c r="F112" s="171" t="s">
        <v>29</v>
      </c>
      <c r="G112" s="179" t="s">
        <v>73</v>
      </c>
      <c r="H112" s="171" t="s">
        <v>365</v>
      </c>
      <c r="I112" s="171" t="s">
        <v>126</v>
      </c>
      <c r="J112" s="171" t="s">
        <v>127</v>
      </c>
      <c r="K112" s="179"/>
      <c r="L112" s="171"/>
      <c r="M112" s="171"/>
      <c r="N112" s="171"/>
      <c r="O112" s="171"/>
      <c r="P112" s="178">
        <v>2</v>
      </c>
      <c r="Q112" s="178" t="s">
        <v>37</v>
      </c>
      <c r="R112" s="189">
        <v>3</v>
      </c>
      <c r="S112" s="189">
        <v>12</v>
      </c>
      <c r="T112" s="189">
        <v>18</v>
      </c>
      <c r="U112" s="189"/>
      <c r="V112" s="47"/>
      <c r="W112" s="47">
        <f t="shared" si="3"/>
        <v>1.296</v>
      </c>
      <c r="X112" s="162" t="s">
        <v>366</v>
      </c>
    </row>
    <row r="113" spans="1:24" x14ac:dyDescent="0.25">
      <c r="A113" s="161" t="s">
        <v>367</v>
      </c>
      <c r="B113" s="8" t="s">
        <v>25</v>
      </c>
      <c r="C113" s="171" t="s">
        <v>26</v>
      </c>
      <c r="D113" s="171" t="s">
        <v>27</v>
      </c>
      <c r="E113" s="178" t="s">
        <v>40</v>
      </c>
      <c r="F113" s="171" t="s">
        <v>41</v>
      </c>
      <c r="G113" s="179" t="s">
        <v>42</v>
      </c>
      <c r="H113" s="171" t="s">
        <v>43</v>
      </c>
      <c r="I113" s="171" t="s">
        <v>44</v>
      </c>
      <c r="J113" s="171" t="s">
        <v>368</v>
      </c>
      <c r="K113" s="179" t="s">
        <v>115</v>
      </c>
      <c r="L113" s="171"/>
      <c r="M113" s="171"/>
      <c r="N113" s="171"/>
      <c r="O113" s="171"/>
      <c r="P113" s="178">
        <v>1</v>
      </c>
      <c r="Q113" s="178" t="s">
        <v>86</v>
      </c>
      <c r="R113" s="190">
        <v>1</v>
      </c>
      <c r="S113" s="190">
        <v>4</v>
      </c>
      <c r="T113" s="190">
        <v>248</v>
      </c>
      <c r="U113" s="189">
        <v>115</v>
      </c>
      <c r="V113" s="186">
        <v>3.7</v>
      </c>
      <c r="W113" s="186">
        <f t="shared" si="3"/>
        <v>0.99199999999999999</v>
      </c>
      <c r="X113" s="162" t="s">
        <v>369</v>
      </c>
    </row>
    <row r="114" spans="1:24" x14ac:dyDescent="0.25">
      <c r="A114" s="161" t="s">
        <v>370</v>
      </c>
      <c r="B114" s="8" t="s">
        <v>56</v>
      </c>
      <c r="C114" s="171" t="s">
        <v>26</v>
      </c>
      <c r="D114" s="171" t="s">
        <v>27</v>
      </c>
      <c r="E114" s="178" t="s">
        <v>28</v>
      </c>
      <c r="F114" s="171" t="s">
        <v>29</v>
      </c>
      <c r="G114" s="179" t="s">
        <v>30</v>
      </c>
      <c r="H114" s="171" t="s">
        <v>31</v>
      </c>
      <c r="I114" s="171" t="s">
        <v>126</v>
      </c>
      <c r="J114" s="171" t="s">
        <v>127</v>
      </c>
      <c r="K114" s="179"/>
      <c r="L114" s="171"/>
      <c r="M114" s="171"/>
      <c r="N114" s="171"/>
      <c r="O114" s="171"/>
      <c r="P114" s="178">
        <v>4</v>
      </c>
      <c r="Q114" s="178" t="s">
        <v>86</v>
      </c>
      <c r="R114" s="189">
        <v>1</v>
      </c>
      <c r="S114" s="189">
        <v>10</v>
      </c>
      <c r="T114" s="189">
        <v>18</v>
      </c>
      <c r="U114" s="189"/>
      <c r="V114" s="47"/>
      <c r="W114" s="47">
        <f t="shared" si="3"/>
        <v>0.72</v>
      </c>
      <c r="X114" s="162" t="s">
        <v>366</v>
      </c>
    </row>
    <row r="115" spans="1:24" x14ac:dyDescent="0.25">
      <c r="A115" s="161" t="s">
        <v>180</v>
      </c>
      <c r="B115" s="8" t="s">
        <v>60</v>
      </c>
      <c r="C115" s="171" t="s">
        <v>26</v>
      </c>
      <c r="D115" s="171" t="s">
        <v>27</v>
      </c>
      <c r="E115" s="178" t="s">
        <v>40</v>
      </c>
      <c r="F115" s="171" t="s">
        <v>41</v>
      </c>
      <c r="G115" s="179" t="s">
        <v>61</v>
      </c>
      <c r="H115" s="171" t="s">
        <v>62</v>
      </c>
      <c r="I115" s="171" t="s">
        <v>101</v>
      </c>
      <c r="J115" s="171" t="s">
        <v>181</v>
      </c>
      <c r="K115" s="179"/>
      <c r="L115" s="171"/>
      <c r="M115" s="171"/>
      <c r="N115" s="171"/>
      <c r="O115" s="171"/>
      <c r="P115" s="178">
        <v>1</v>
      </c>
      <c r="Q115" s="178" t="s">
        <v>371</v>
      </c>
      <c r="R115" s="189">
        <v>3</v>
      </c>
      <c r="S115" s="189">
        <v>4</v>
      </c>
      <c r="T115" s="189">
        <v>45</v>
      </c>
      <c r="U115" s="189">
        <v>115</v>
      </c>
      <c r="V115" s="47"/>
      <c r="W115" s="47">
        <f t="shared" si="3"/>
        <v>0.54</v>
      </c>
      <c r="X115" s="162"/>
    </row>
    <row r="116" spans="1:24" x14ac:dyDescent="0.25">
      <c r="A116" s="161" t="s">
        <v>372</v>
      </c>
      <c r="B116" s="8" t="s">
        <v>60</v>
      </c>
      <c r="C116" s="171" t="s">
        <v>26</v>
      </c>
      <c r="D116" s="171" t="s">
        <v>27</v>
      </c>
      <c r="E116" s="178" t="s">
        <v>49</v>
      </c>
      <c r="F116" s="171" t="s">
        <v>50</v>
      </c>
      <c r="G116" s="179" t="s">
        <v>42</v>
      </c>
      <c r="H116" s="171" t="s">
        <v>122</v>
      </c>
      <c r="I116" s="171" t="s">
        <v>153</v>
      </c>
      <c r="J116" s="171" t="s">
        <v>73</v>
      </c>
      <c r="K116" s="179"/>
      <c r="L116" s="171"/>
      <c r="M116" s="171"/>
      <c r="N116" s="171"/>
      <c r="O116" s="171"/>
      <c r="P116" s="178">
        <v>1</v>
      </c>
      <c r="Q116" s="178" t="s">
        <v>373</v>
      </c>
      <c r="R116" s="189">
        <v>2</v>
      </c>
      <c r="S116" s="189">
        <v>1</v>
      </c>
      <c r="T116" s="189">
        <f>U116*V116</f>
        <v>218.5</v>
      </c>
      <c r="U116" s="189">
        <v>115</v>
      </c>
      <c r="V116" s="186">
        <v>1.9</v>
      </c>
      <c r="W116" s="47">
        <f t="shared" si="3"/>
        <v>0.437</v>
      </c>
      <c r="X116" s="162" t="s">
        <v>374</v>
      </c>
    </row>
    <row r="117" spans="1:24" x14ac:dyDescent="0.25">
      <c r="A117" s="161" t="s">
        <v>375</v>
      </c>
      <c r="B117" s="8" t="s">
        <v>25</v>
      </c>
      <c r="C117" s="171" t="s">
        <v>26</v>
      </c>
      <c r="D117" s="171" t="s">
        <v>27</v>
      </c>
      <c r="E117" s="178" t="s">
        <v>40</v>
      </c>
      <c r="F117" s="171" t="s">
        <v>41</v>
      </c>
      <c r="G117" s="179" t="s">
        <v>73</v>
      </c>
      <c r="H117" s="171" t="s">
        <v>300</v>
      </c>
      <c r="I117" s="171" t="s">
        <v>126</v>
      </c>
      <c r="J117" s="171" t="s">
        <v>127</v>
      </c>
      <c r="K117" s="179"/>
      <c r="L117" s="171"/>
      <c r="M117" s="171"/>
      <c r="N117" s="171"/>
      <c r="O117" s="171"/>
      <c r="P117" s="178">
        <v>1</v>
      </c>
      <c r="Q117" s="178" t="s">
        <v>37</v>
      </c>
      <c r="R117" s="189">
        <v>2</v>
      </c>
      <c r="S117" s="189">
        <v>4</v>
      </c>
      <c r="T117" s="189">
        <v>18</v>
      </c>
      <c r="U117" s="189">
        <v>115</v>
      </c>
      <c r="V117" s="47"/>
      <c r="W117" s="47">
        <f t="shared" si="3"/>
        <v>0.14399999999999999</v>
      </c>
      <c r="X117" s="162" t="s">
        <v>376</v>
      </c>
    </row>
    <row r="118" spans="1:24" x14ac:dyDescent="0.25">
      <c r="A118" s="161" t="s">
        <v>377</v>
      </c>
      <c r="B118" s="8" t="s">
        <v>130</v>
      </c>
      <c r="C118" s="171" t="s">
        <v>26</v>
      </c>
      <c r="D118" s="171" t="s">
        <v>27</v>
      </c>
      <c r="E118" s="178" t="s">
        <v>49</v>
      </c>
      <c r="F118" s="171" t="s">
        <v>50</v>
      </c>
      <c r="G118" s="179" t="s">
        <v>42</v>
      </c>
      <c r="H118" s="171" t="s">
        <v>122</v>
      </c>
      <c r="I118" s="171" t="s">
        <v>231</v>
      </c>
      <c r="J118" s="171" t="s">
        <v>232</v>
      </c>
      <c r="K118" s="179" t="s">
        <v>378</v>
      </c>
      <c r="L118" s="171"/>
      <c r="M118" s="171"/>
      <c r="N118" s="171"/>
      <c r="O118" s="171"/>
      <c r="P118" s="178">
        <v>2</v>
      </c>
      <c r="Q118" s="178" t="s">
        <v>86</v>
      </c>
      <c r="R118" s="189">
        <v>1</v>
      </c>
      <c r="S118" s="189">
        <v>15</v>
      </c>
      <c r="T118" s="189">
        <f>U118*V118</f>
        <v>2.4000000000000004</v>
      </c>
      <c r="U118" s="189">
        <v>6</v>
      </c>
      <c r="V118" s="47">
        <v>0.4</v>
      </c>
      <c r="W118" s="47">
        <f t="shared" si="3"/>
        <v>7.2000000000000008E-2</v>
      </c>
      <c r="X118" s="162" t="s">
        <v>379</v>
      </c>
    </row>
    <row r="119" spans="1:24" x14ac:dyDescent="0.25">
      <c r="A119" s="161" t="s">
        <v>380</v>
      </c>
      <c r="B119" s="8" t="s">
        <v>60</v>
      </c>
      <c r="C119" s="171" t="s">
        <v>26</v>
      </c>
      <c r="D119" s="171" t="s">
        <v>27</v>
      </c>
      <c r="E119" s="178" t="s">
        <v>40</v>
      </c>
      <c r="F119" s="171" t="s">
        <v>41</v>
      </c>
      <c r="G119" s="179" t="s">
        <v>61</v>
      </c>
      <c r="H119" s="171" t="s">
        <v>62</v>
      </c>
      <c r="I119" s="171" t="s">
        <v>44</v>
      </c>
      <c r="J119" s="171" t="s">
        <v>45</v>
      </c>
      <c r="K119" s="179"/>
      <c r="L119" s="171"/>
      <c r="M119" s="171"/>
      <c r="N119" s="171"/>
      <c r="O119" s="171"/>
      <c r="P119" s="178">
        <v>1</v>
      </c>
      <c r="Q119" s="178" t="s">
        <v>381</v>
      </c>
      <c r="R119" s="189">
        <v>0</v>
      </c>
      <c r="S119" s="189">
        <v>0</v>
      </c>
      <c r="T119" s="189">
        <v>1000</v>
      </c>
      <c r="U119" s="189">
        <v>115</v>
      </c>
      <c r="V119" s="47"/>
      <c r="W119" s="47">
        <f t="shared" si="3"/>
        <v>0</v>
      </c>
      <c r="X119" s="162" t="s">
        <v>382</v>
      </c>
    </row>
    <row r="120" spans="1:24" x14ac:dyDescent="0.25">
      <c r="A120" s="161" t="s">
        <v>383</v>
      </c>
      <c r="B120" s="8" t="s">
        <v>25</v>
      </c>
      <c r="C120" s="171" t="s">
        <v>26</v>
      </c>
      <c r="D120" s="171" t="s">
        <v>27</v>
      </c>
      <c r="E120" s="178" t="s">
        <v>49</v>
      </c>
      <c r="F120" s="171" t="s">
        <v>50</v>
      </c>
      <c r="G120" s="179" t="s">
        <v>42</v>
      </c>
      <c r="H120" s="171" t="s">
        <v>51</v>
      </c>
      <c r="I120" s="171" t="s">
        <v>44</v>
      </c>
      <c r="J120" s="171" t="s">
        <v>384</v>
      </c>
      <c r="K120" s="179" t="s">
        <v>385</v>
      </c>
      <c r="L120" s="171"/>
      <c r="M120" s="171"/>
      <c r="N120" s="171"/>
      <c r="O120" s="171"/>
      <c r="P120" s="178">
        <v>1</v>
      </c>
      <c r="Q120" s="178" t="s">
        <v>381</v>
      </c>
      <c r="R120" s="191">
        <v>0</v>
      </c>
      <c r="S120" s="191">
        <v>0</v>
      </c>
      <c r="T120" s="191">
        <f>U120*V120</f>
        <v>345</v>
      </c>
      <c r="U120" s="189">
        <v>115</v>
      </c>
      <c r="V120" s="78">
        <v>3</v>
      </c>
      <c r="W120" s="78">
        <f t="shared" si="3"/>
        <v>0</v>
      </c>
      <c r="X120" s="162" t="s">
        <v>386</v>
      </c>
    </row>
    <row r="121" spans="1:24" x14ac:dyDescent="0.25">
      <c r="A121" s="161" t="s">
        <v>387</v>
      </c>
      <c r="B121" s="8" t="s">
        <v>25</v>
      </c>
      <c r="C121" s="171" t="s">
        <v>26</v>
      </c>
      <c r="D121" s="171" t="s">
        <v>27</v>
      </c>
      <c r="E121" s="178" t="s">
        <v>49</v>
      </c>
      <c r="F121" s="171" t="s">
        <v>50</v>
      </c>
      <c r="G121" s="179" t="s">
        <v>42</v>
      </c>
      <c r="H121" s="171" t="s">
        <v>122</v>
      </c>
      <c r="I121" s="171" t="s">
        <v>44</v>
      </c>
      <c r="J121" s="171" t="s">
        <v>388</v>
      </c>
      <c r="K121" s="179"/>
      <c r="L121" s="171"/>
      <c r="M121" s="171"/>
      <c r="N121" s="171"/>
      <c r="O121" s="171"/>
      <c r="P121" s="178">
        <v>1</v>
      </c>
      <c r="Q121" s="178" t="s">
        <v>381</v>
      </c>
      <c r="R121" s="189">
        <v>0</v>
      </c>
      <c r="S121" s="189">
        <v>0</v>
      </c>
      <c r="T121" s="189"/>
      <c r="U121" s="189"/>
      <c r="V121" s="47"/>
      <c r="W121" s="47">
        <f t="shared" si="3"/>
        <v>0</v>
      </c>
      <c r="X121" s="162" t="s">
        <v>389</v>
      </c>
    </row>
    <row r="122" spans="1:24" x14ac:dyDescent="0.25">
      <c r="A122" s="161" t="s">
        <v>390</v>
      </c>
      <c r="B122" s="8" t="s">
        <v>92</v>
      </c>
      <c r="C122" s="171" t="s">
        <v>26</v>
      </c>
      <c r="D122" s="171" t="s">
        <v>27</v>
      </c>
      <c r="E122" s="178" t="s">
        <v>40</v>
      </c>
      <c r="F122" s="171" t="s">
        <v>41</v>
      </c>
      <c r="G122" s="179" t="s">
        <v>42</v>
      </c>
      <c r="H122" s="171" t="s">
        <v>57</v>
      </c>
      <c r="I122" s="171" t="s">
        <v>44</v>
      </c>
      <c r="J122" s="171" t="s">
        <v>45</v>
      </c>
      <c r="K122" s="179" t="s">
        <v>46</v>
      </c>
      <c r="L122" s="171" t="s">
        <v>391</v>
      </c>
      <c r="M122" s="171"/>
      <c r="N122" s="171"/>
      <c r="O122" s="171"/>
      <c r="P122" s="178">
        <v>1</v>
      </c>
      <c r="Q122" s="178" t="s">
        <v>37</v>
      </c>
      <c r="R122" s="189">
        <v>0</v>
      </c>
      <c r="S122" s="189">
        <v>0</v>
      </c>
      <c r="T122" s="189">
        <f>U122*V122</f>
        <v>632.5</v>
      </c>
      <c r="U122" s="189">
        <v>115</v>
      </c>
      <c r="V122" s="47">
        <v>5.5</v>
      </c>
      <c r="W122" s="47">
        <f t="shared" si="3"/>
        <v>0</v>
      </c>
      <c r="X122" s="162" t="s">
        <v>392</v>
      </c>
    </row>
    <row r="123" spans="1:24" x14ac:dyDescent="0.25">
      <c r="A123" s="167" t="s">
        <v>393</v>
      </c>
      <c r="B123" s="168" t="s">
        <v>25</v>
      </c>
      <c r="C123" s="172" t="s">
        <v>26</v>
      </c>
      <c r="D123" s="172" t="s">
        <v>27</v>
      </c>
      <c r="E123" s="181" t="s">
        <v>93</v>
      </c>
      <c r="F123" s="172" t="s">
        <v>94</v>
      </c>
      <c r="G123" s="182" t="s">
        <v>73</v>
      </c>
      <c r="H123" s="172" t="s">
        <v>273</v>
      </c>
      <c r="I123" s="172" t="s">
        <v>101</v>
      </c>
      <c r="J123" s="172" t="s">
        <v>213</v>
      </c>
      <c r="K123" s="182"/>
      <c r="L123" s="172"/>
      <c r="M123" s="172"/>
      <c r="N123" s="172"/>
      <c r="O123" s="172"/>
      <c r="P123" s="181">
        <v>1</v>
      </c>
      <c r="Q123" s="181" t="s">
        <v>381</v>
      </c>
      <c r="R123" s="192">
        <v>0</v>
      </c>
      <c r="S123" s="192">
        <v>0</v>
      </c>
      <c r="T123" s="192">
        <v>0</v>
      </c>
      <c r="U123" s="192">
        <v>0</v>
      </c>
      <c r="V123" s="187">
        <v>0</v>
      </c>
      <c r="W123" s="187">
        <f t="shared" si="3"/>
        <v>0</v>
      </c>
      <c r="X123" s="169" t="s">
        <v>394</v>
      </c>
    </row>
    <row r="1048571" spans="23:23" x14ac:dyDescent="0.25">
      <c r="W1048571" s="84">
        <f>SUM(W2:W1048570)</f>
        <v>12209.538499999995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21"/>
  <sheetViews>
    <sheetView topLeftCell="A19" workbookViewId="0">
      <selection activeCell="M25" sqref="M25"/>
    </sheetView>
  </sheetViews>
  <sheetFormatPr baseColWidth="10" defaultColWidth="11.42578125" defaultRowHeight="15" x14ac:dyDescent="0.25"/>
  <cols>
    <col min="3" max="3" width="17.140625" bestFit="1" customWidth="1"/>
  </cols>
  <sheetData>
    <row r="2" spans="2:3" x14ac:dyDescent="0.25">
      <c r="B2" s="108" t="s">
        <v>540</v>
      </c>
      <c r="C2" s="108" t="s">
        <v>541</v>
      </c>
    </row>
    <row r="3" spans="2:3" x14ac:dyDescent="0.25">
      <c r="B3" s="8" t="s">
        <v>131</v>
      </c>
      <c r="C3" s="37">
        <v>27.215547133295708</v>
      </c>
    </row>
    <row r="4" spans="2:3" x14ac:dyDescent="0.25">
      <c r="B4" s="12" t="s">
        <v>527</v>
      </c>
      <c r="C4" s="8">
        <v>237</v>
      </c>
    </row>
    <row r="5" spans="2:3" x14ac:dyDescent="0.25">
      <c r="B5" s="12" t="s">
        <v>534</v>
      </c>
      <c r="C5" s="8">
        <v>7.26</v>
      </c>
    </row>
    <row r="18" spans="2:3" x14ac:dyDescent="0.25">
      <c r="B18" s="108" t="s">
        <v>540</v>
      </c>
      <c r="C18" s="108" t="s">
        <v>542</v>
      </c>
    </row>
    <row r="19" spans="2:3" x14ac:dyDescent="0.25">
      <c r="B19" s="8" t="s">
        <v>131</v>
      </c>
      <c r="C19" s="37">
        <v>7.5598742036932522</v>
      </c>
    </row>
    <row r="20" spans="2:3" x14ac:dyDescent="0.25">
      <c r="B20" s="12" t="s">
        <v>527</v>
      </c>
      <c r="C20" s="37">
        <v>65.833333333333329</v>
      </c>
    </row>
    <row r="21" spans="2:3" x14ac:dyDescent="0.25">
      <c r="B21" s="12" t="s">
        <v>534</v>
      </c>
      <c r="C21" s="37">
        <v>2.0166666666666666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2"/>
  <sheetViews>
    <sheetView workbookViewId="0">
      <pane ySplit="1" topLeftCell="A2" activePane="bottomLeft" state="frozen"/>
      <selection pane="bottomLeft" activeCell="E11" sqref="E11"/>
    </sheetView>
  </sheetViews>
  <sheetFormatPr baseColWidth="10" defaultColWidth="11.42578125" defaultRowHeight="15" x14ac:dyDescent="0.25"/>
  <cols>
    <col min="1" max="1" width="26.85546875" bestFit="1" customWidth="1"/>
    <col min="2" max="2" width="33.5703125" bestFit="1" customWidth="1"/>
    <col min="3" max="3" width="9.5703125" customWidth="1"/>
    <col min="4" max="4" width="24.5703125" bestFit="1" customWidth="1"/>
    <col min="5" max="5" width="13.5703125" style="4" customWidth="1"/>
    <col min="6" max="6" width="16" customWidth="1"/>
    <col min="7" max="7" width="25.85546875" style="21" bestFit="1" customWidth="1"/>
    <col min="8" max="8" width="26.85546875" customWidth="1"/>
    <col min="9" max="9" width="35.28515625" customWidth="1"/>
    <col min="10" max="10" width="27.28515625" bestFit="1" customWidth="1"/>
    <col min="11" max="11" width="27.28515625" style="21" customWidth="1"/>
    <col min="12" max="12" width="27.28515625" customWidth="1"/>
    <col min="13" max="13" width="8.5703125" style="4" customWidth="1"/>
    <col min="14" max="14" width="21.7109375" customWidth="1"/>
    <col min="15" max="15" width="14.140625" style="4" customWidth="1"/>
    <col min="16" max="16" width="12.140625" style="4" customWidth="1"/>
    <col min="17" max="17" width="16.42578125" style="4" customWidth="1"/>
    <col min="18" max="18" width="10.28515625" style="4" customWidth="1"/>
    <col min="19" max="19" width="79.42578125" customWidth="1"/>
  </cols>
  <sheetData>
    <row r="1" spans="1:58" s="1" customFormat="1" ht="57.75" customHeight="1" x14ac:dyDescent="0.25">
      <c r="A1" s="13" t="s">
        <v>0</v>
      </c>
      <c r="B1" s="13" t="s">
        <v>507</v>
      </c>
      <c r="C1" s="13" t="s">
        <v>508</v>
      </c>
      <c r="D1" s="13" t="s">
        <v>509</v>
      </c>
      <c r="E1" s="19" t="s">
        <v>4</v>
      </c>
      <c r="F1" s="13" t="s">
        <v>5</v>
      </c>
      <c r="G1" s="22" t="s">
        <v>426</v>
      </c>
      <c r="H1" s="13" t="s">
        <v>427</v>
      </c>
      <c r="I1" s="15" t="s">
        <v>428</v>
      </c>
      <c r="J1" s="23" t="s">
        <v>543</v>
      </c>
      <c r="K1" s="27" t="s">
        <v>10</v>
      </c>
      <c r="L1" s="23" t="s">
        <v>11</v>
      </c>
      <c r="M1" s="24" t="s">
        <v>430</v>
      </c>
      <c r="N1" s="13" t="s">
        <v>544</v>
      </c>
      <c r="O1" s="25" t="s">
        <v>17</v>
      </c>
      <c r="P1" s="25" t="s">
        <v>18</v>
      </c>
      <c r="Q1" s="25" t="s">
        <v>545</v>
      </c>
      <c r="R1" s="13" t="s">
        <v>546</v>
      </c>
      <c r="S1" s="13" t="s">
        <v>23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8" x14ac:dyDescent="0.25">
      <c r="A2" s="8" t="s">
        <v>547</v>
      </c>
      <c r="B2" s="8" t="s">
        <v>72</v>
      </c>
      <c r="C2" s="8" t="s">
        <v>26</v>
      </c>
      <c r="D2" s="8" t="s">
        <v>27</v>
      </c>
      <c r="E2" s="9" t="s">
        <v>93</v>
      </c>
      <c r="F2" s="8" t="s">
        <v>94</v>
      </c>
      <c r="G2" s="14" t="s">
        <v>73</v>
      </c>
      <c r="H2" s="8" t="s">
        <v>548</v>
      </c>
      <c r="I2" s="8" t="s">
        <v>549</v>
      </c>
      <c r="J2" s="8" t="s">
        <v>550</v>
      </c>
      <c r="K2" s="14" t="s">
        <v>551</v>
      </c>
      <c r="L2" s="8" t="s">
        <v>552</v>
      </c>
      <c r="M2" s="9">
        <v>1</v>
      </c>
      <c r="N2" s="8" t="s">
        <v>86</v>
      </c>
      <c r="O2" s="9">
        <v>1</v>
      </c>
      <c r="P2" s="9">
        <v>1</v>
      </c>
      <c r="Q2" s="28">
        <v>106</v>
      </c>
      <c r="R2" s="9" t="s">
        <v>553</v>
      </c>
      <c r="S2" s="8"/>
    </row>
  </sheetData>
  <autoFilter ref="A1:S2" xr:uid="{00000000-0009-0000-0000-00000A000000}">
    <sortState ref="A2:S2">
      <sortCondition ref="F1:F2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workbookViewId="0">
      <selection activeCell="F12" sqref="F12"/>
    </sheetView>
  </sheetViews>
  <sheetFormatPr baseColWidth="10" defaultColWidth="11.42578125" defaultRowHeight="15" x14ac:dyDescent="0.25"/>
  <sheetData>
    <row r="1" spans="1:7" ht="24" x14ac:dyDescent="0.25">
      <c r="A1" s="216" t="s">
        <v>554</v>
      </c>
      <c r="B1" s="216" t="s">
        <v>555</v>
      </c>
      <c r="C1" s="216" t="s">
        <v>556</v>
      </c>
      <c r="D1" s="216" t="s">
        <v>557</v>
      </c>
      <c r="E1" s="216" t="s">
        <v>558</v>
      </c>
      <c r="F1" s="216" t="s">
        <v>559</v>
      </c>
      <c r="G1" s="72" t="s">
        <v>560</v>
      </c>
    </row>
    <row r="2" spans="1:7" ht="15.75" thickBot="1" x14ac:dyDescent="0.3">
      <c r="A2" s="217"/>
      <c r="B2" s="217"/>
      <c r="C2" s="217"/>
      <c r="D2" s="217"/>
      <c r="E2" s="217"/>
      <c r="F2" s="217"/>
      <c r="G2" s="71" t="s">
        <v>561</v>
      </c>
    </row>
    <row r="3" spans="1:7" ht="39" thickBot="1" x14ac:dyDescent="0.3">
      <c r="A3" s="70" t="s">
        <v>562</v>
      </c>
      <c r="B3" s="68" t="s">
        <v>98</v>
      </c>
      <c r="C3" s="69">
        <v>1</v>
      </c>
      <c r="D3" s="68">
        <v>8</v>
      </c>
      <c r="E3" s="69">
        <v>20</v>
      </c>
      <c r="F3" s="68">
        <v>1200</v>
      </c>
      <c r="G3" s="67">
        <v>192</v>
      </c>
    </row>
    <row r="4" spans="1:7" ht="39" thickBot="1" x14ac:dyDescent="0.3">
      <c r="A4" s="66" t="s">
        <v>562</v>
      </c>
      <c r="B4" s="65" t="s">
        <v>563</v>
      </c>
      <c r="C4" s="63">
        <v>3</v>
      </c>
      <c r="D4" s="64">
        <v>6</v>
      </c>
      <c r="E4" s="63">
        <v>12</v>
      </c>
      <c r="F4" s="62">
        <v>4400</v>
      </c>
      <c r="G4" s="61">
        <v>950.4</v>
      </c>
    </row>
    <row r="5" spans="1:7" ht="39" thickBot="1" x14ac:dyDescent="0.3">
      <c r="A5" s="60" t="s">
        <v>562</v>
      </c>
      <c r="B5" s="59" t="s">
        <v>98</v>
      </c>
      <c r="C5" s="57">
        <v>1</v>
      </c>
      <c r="D5" s="58">
        <v>8</v>
      </c>
      <c r="E5" s="57">
        <v>20</v>
      </c>
      <c r="F5" s="56">
        <v>1900</v>
      </c>
      <c r="G5" s="55">
        <v>304</v>
      </c>
    </row>
    <row r="6" spans="1:7" ht="15.75" thickBot="1" x14ac:dyDescent="0.3">
      <c r="A6" s="205" t="s">
        <v>564</v>
      </c>
      <c r="B6" s="215"/>
      <c r="C6" s="215"/>
      <c r="D6" s="215"/>
      <c r="E6" s="215"/>
      <c r="F6" s="206"/>
      <c r="G6" s="54">
        <f>G3+G4+G5</f>
        <v>1446.4</v>
      </c>
    </row>
  </sheetData>
  <mergeCells count="7">
    <mergeCell ref="A6:F6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9"/>
  <sheetViews>
    <sheetView topLeftCell="A9" zoomScale="70" zoomScaleNormal="70" workbookViewId="0">
      <selection activeCell="C15" sqref="C15"/>
    </sheetView>
  </sheetViews>
  <sheetFormatPr baseColWidth="10" defaultColWidth="11.42578125" defaultRowHeight="15" x14ac:dyDescent="0.25"/>
  <cols>
    <col min="2" max="2" width="35.5703125" bestFit="1" customWidth="1"/>
    <col min="3" max="3" width="22.5703125" customWidth="1"/>
    <col min="4" max="4" width="18.42578125" customWidth="1"/>
  </cols>
  <sheetData>
    <row r="1" spans="2:4" ht="60.75" thickBot="1" x14ac:dyDescent="0.3">
      <c r="B1" s="90" t="s">
        <v>395</v>
      </c>
      <c r="C1" s="116" t="s">
        <v>396</v>
      </c>
      <c r="D1" s="88" t="s">
        <v>397</v>
      </c>
    </row>
    <row r="2" spans="2:4" x14ac:dyDescent="0.25">
      <c r="B2" s="109" t="s">
        <v>398</v>
      </c>
      <c r="C2" s="117">
        <f>SUMIF(Inventario!I$2:I$149,"EQUIPO INDUSTRIAL",Inventario!W$2:W$149)</f>
        <v>8332.6439999999966</v>
      </c>
      <c r="D2" s="89">
        <f t="shared" ref="D2:D10" si="0">(C2*100)/C$11</f>
        <v>68.247002128704523</v>
      </c>
    </row>
    <row r="3" spans="2:4" x14ac:dyDescent="0.25">
      <c r="B3" s="76" t="s">
        <v>32</v>
      </c>
      <c r="C3" s="117">
        <f>SUMIF(Inventario!I$2:I$149,"AIRE_ACONDICIONADO",Inventario!W$2:W$149)</f>
        <v>1446.4</v>
      </c>
      <c r="D3" s="83">
        <f t="shared" si="0"/>
        <v>11.846475605937115</v>
      </c>
    </row>
    <row r="4" spans="2:4" x14ac:dyDescent="0.25">
      <c r="B4" s="110" t="s">
        <v>126</v>
      </c>
      <c r="C4" s="117">
        <f>SUMIF(Inventario!I$2:I$149,"ILUMINACION",Inventario!W$2:W$149)</f>
        <v>574.65200000000004</v>
      </c>
      <c r="D4" s="83">
        <f t="shared" si="0"/>
        <v>4.7065824805745127</v>
      </c>
    </row>
    <row r="5" spans="2:4" x14ac:dyDescent="0.25">
      <c r="B5" s="110" t="s">
        <v>101</v>
      </c>
      <c r="C5" s="117">
        <f>SUMIF(Inventario!I$2:I$149,"EQUIPO_COMP_MULTIMEDIA",Inventario!W$2:W$149)</f>
        <v>496.90349999999995</v>
      </c>
      <c r="D5" s="83">
        <f t="shared" si="0"/>
        <v>4.0697975603254788</v>
      </c>
    </row>
    <row r="6" spans="2:4" x14ac:dyDescent="0.25">
      <c r="B6" s="110" t="s">
        <v>75</v>
      </c>
      <c r="C6" s="117">
        <f>SUMIF(Inventario!I$2:I$149,"EQUIPO_TELECOMUNICACIONES",Inventario!W$2:W$149)</f>
        <v>1009.44</v>
      </c>
      <c r="D6" s="83">
        <f t="shared" si="0"/>
        <v>8.2676343581700511</v>
      </c>
    </row>
    <row r="7" spans="2:4" x14ac:dyDescent="0.25">
      <c r="B7" s="110" t="s">
        <v>231</v>
      </c>
      <c r="C7" s="117">
        <f>SUMIF(Inventario!I$2:I$149,"OTROS_EQUIPOS",Inventario!W$2:W$149)</f>
        <v>27.951999999999998</v>
      </c>
      <c r="D7" s="83">
        <f t="shared" si="0"/>
        <v>0.22893576198641746</v>
      </c>
    </row>
    <row r="8" spans="2:4" x14ac:dyDescent="0.25">
      <c r="B8" s="110" t="s">
        <v>153</v>
      </c>
      <c r="C8" s="117">
        <f>SUMIF(Inventario!I$2:I$149,"ELECTRODOMESTICOS",Inventario!W$2:W$149)</f>
        <v>321.54700000000003</v>
      </c>
      <c r="D8" s="83">
        <f t="shared" si="0"/>
        <v>2.6335721043018956</v>
      </c>
    </row>
    <row r="9" spans="2:4" x14ac:dyDescent="0.25">
      <c r="B9" s="111" t="s">
        <v>399</v>
      </c>
      <c r="C9" s="117">
        <f>SUMIF(Inventario!I$2:I$149,"EQUIPO_DE_LABORATORIO",Inventario!W$2:W$149)</f>
        <v>0</v>
      </c>
      <c r="D9" s="83">
        <f t="shared" si="0"/>
        <v>0</v>
      </c>
    </row>
    <row r="10" spans="2:4" ht="15.75" thickBot="1" x14ac:dyDescent="0.3">
      <c r="B10" s="112" t="s">
        <v>400</v>
      </c>
      <c r="C10" s="118">
        <f>SUMIF(Inventario!I$2:I$149,"HERRAMIENTAS",Inventario!W$2:W$149)</f>
        <v>0</v>
      </c>
      <c r="D10" s="113">
        <f t="shared" si="0"/>
        <v>0</v>
      </c>
    </row>
    <row r="11" spans="2:4" ht="15.75" thickBot="1" x14ac:dyDescent="0.3">
      <c r="B11" s="114" t="s">
        <v>401</v>
      </c>
      <c r="C11" s="119">
        <f>SUM(C2:C10)</f>
        <v>12209.538499999997</v>
      </c>
      <c r="D11" s="115">
        <f>SUM(D2:D7)</f>
        <v>97.366427895698109</v>
      </c>
    </row>
    <row r="18" spans="2:4" ht="15.75" thickBot="1" x14ac:dyDescent="0.3"/>
    <row r="19" spans="2:4" ht="83.25" customHeight="1" x14ac:dyDescent="0.25">
      <c r="B19" s="121" t="s">
        <v>395</v>
      </c>
      <c r="C19" s="120" t="s">
        <v>402</v>
      </c>
      <c r="D19" s="79"/>
    </row>
    <row r="20" spans="2:4" x14ac:dyDescent="0.25">
      <c r="B20" s="122" t="s">
        <v>398</v>
      </c>
      <c r="C20" s="83">
        <f t="shared" ref="C20:C26" si="1">D2</f>
        <v>68.247002128704523</v>
      </c>
      <c r="D20" s="84"/>
    </row>
    <row r="21" spans="2:4" x14ac:dyDescent="0.25">
      <c r="B21" s="80" t="s">
        <v>32</v>
      </c>
      <c r="C21" s="125">
        <f t="shared" si="1"/>
        <v>11.846475605937115</v>
      </c>
      <c r="D21" s="84"/>
    </row>
    <row r="22" spans="2:4" x14ac:dyDescent="0.25">
      <c r="B22" s="122" t="s">
        <v>126</v>
      </c>
      <c r="C22" s="83">
        <f t="shared" si="1"/>
        <v>4.7065824805745127</v>
      </c>
      <c r="D22" s="84"/>
    </row>
    <row r="23" spans="2:4" x14ac:dyDescent="0.25">
      <c r="B23" s="122" t="s">
        <v>101</v>
      </c>
      <c r="C23" s="83">
        <f t="shared" si="1"/>
        <v>4.0697975603254788</v>
      </c>
      <c r="D23" s="84"/>
    </row>
    <row r="24" spans="2:4" x14ac:dyDescent="0.25">
      <c r="B24" s="122" t="s">
        <v>75</v>
      </c>
      <c r="C24" s="83">
        <f t="shared" si="1"/>
        <v>8.2676343581700511</v>
      </c>
      <c r="D24" s="84"/>
    </row>
    <row r="25" spans="2:4" x14ac:dyDescent="0.25">
      <c r="B25" s="122" t="s">
        <v>231</v>
      </c>
      <c r="C25" s="83">
        <f t="shared" si="1"/>
        <v>0.22893576198641746</v>
      </c>
      <c r="D25" s="84"/>
    </row>
    <row r="26" spans="2:4" x14ac:dyDescent="0.25">
      <c r="B26" s="122" t="s">
        <v>153</v>
      </c>
      <c r="C26" s="83">
        <f t="shared" si="1"/>
        <v>2.6335721043018956</v>
      </c>
      <c r="D26" s="85"/>
    </row>
    <row r="27" spans="2:4" x14ac:dyDescent="0.25">
      <c r="B27" s="123" t="s">
        <v>399</v>
      </c>
      <c r="C27" s="74">
        <v>0</v>
      </c>
    </row>
    <row r="28" spans="2:4" x14ac:dyDescent="0.25">
      <c r="B28" s="123" t="s">
        <v>400</v>
      </c>
      <c r="C28" s="74">
        <v>0</v>
      </c>
    </row>
    <row r="29" spans="2:4" ht="15.75" thickBot="1" x14ac:dyDescent="0.3">
      <c r="B29" s="124" t="s">
        <v>401</v>
      </c>
      <c r="C29" s="126">
        <f>SUM(C20:C28)</f>
        <v>100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3"/>
  <sheetViews>
    <sheetView topLeftCell="A44" zoomScale="77" zoomScaleNormal="77" workbookViewId="0">
      <selection activeCell="D133" sqref="D133"/>
    </sheetView>
  </sheetViews>
  <sheetFormatPr baseColWidth="10" defaultColWidth="11.42578125" defaultRowHeight="15" x14ac:dyDescent="0.25"/>
  <cols>
    <col min="1" max="1" width="8.85546875" customWidth="1"/>
    <col min="2" max="2" width="35.5703125" bestFit="1" customWidth="1"/>
    <col min="3" max="3" width="22.5703125" customWidth="1"/>
    <col min="4" max="4" width="18.42578125" customWidth="1"/>
  </cols>
  <sheetData>
    <row r="1" spans="1:4" ht="60.75" thickBot="1" x14ac:dyDescent="0.3">
      <c r="A1" s="133" t="s">
        <v>5</v>
      </c>
      <c r="B1" s="133" t="s">
        <v>403</v>
      </c>
      <c r="C1" s="77" t="s">
        <v>396</v>
      </c>
      <c r="D1" s="134" t="s">
        <v>397</v>
      </c>
    </row>
    <row r="2" spans="1:4" x14ac:dyDescent="0.25">
      <c r="A2" s="87" t="s">
        <v>49</v>
      </c>
      <c r="B2" s="76" t="s">
        <v>51</v>
      </c>
      <c r="C2" s="87">
        <f>SUMIFS(Inventario!W$2:W$598,Inventario!E$2:E$598,"Piso 1",Inventario!H$2:H$598,"9311-E01 Cafe y Bar")</f>
        <v>1968.1054999999999</v>
      </c>
      <c r="D2" s="132">
        <f>(C2*100)/C$7</f>
        <v>60.551102406331182</v>
      </c>
    </row>
    <row r="3" spans="1:4" x14ac:dyDescent="0.25">
      <c r="A3" s="74" t="s">
        <v>49</v>
      </c>
      <c r="B3" s="73" t="s">
        <v>105</v>
      </c>
      <c r="C3" s="74">
        <f>SUMIFS(Inventario!W$2:W$598,Inventario!E$2:E$598,"Piso 1",Inventario!H$2:H$598,"Pasillo_principal")</f>
        <v>312.12</v>
      </c>
      <c r="D3" s="81">
        <f t="shared" ref="D3:D6" si="0">(C3*100)/C$7</f>
        <v>9.6027423748696865</v>
      </c>
    </row>
    <row r="4" spans="1:4" x14ac:dyDescent="0.25">
      <c r="A4" s="74" t="s">
        <v>49</v>
      </c>
      <c r="B4" s="73" t="s">
        <v>118</v>
      </c>
      <c r="C4" s="74">
        <f>SUMIFS(Inventario!W$2:W$598,Inventario!E$2:E$598,"Piso 1",Inventario!H$2:H$598,"Administración")</f>
        <v>266.15999999999997</v>
      </c>
      <c r="D4" s="81">
        <f t="shared" si="0"/>
        <v>8.1887284073283197</v>
      </c>
    </row>
    <row r="5" spans="1:4" x14ac:dyDescent="0.25">
      <c r="A5" s="74" t="s">
        <v>49</v>
      </c>
      <c r="B5" s="73" t="s">
        <v>122</v>
      </c>
      <c r="C5" s="74">
        <f>SUMIFS(Inventario!W$2:W$598,Inventario!E$2:E$598,"Piso 1",Inventario!H$2:H$598,"9311-E02_panadería")</f>
        <v>701.05600000000004</v>
      </c>
      <c r="D5" s="81">
        <f t="shared" si="0"/>
        <v>21.568820192094844</v>
      </c>
    </row>
    <row r="6" spans="1:4" ht="15.75" thickBot="1" x14ac:dyDescent="0.3">
      <c r="A6" s="75" t="s">
        <v>49</v>
      </c>
      <c r="B6" s="128" t="s">
        <v>336</v>
      </c>
      <c r="C6" s="75">
        <f>SUMIFS(Inventario!W$2:W$598,Inventario!E$2:E$598,"Piso 1",Inventario!H$2:H$598,"Bañós_Administrativos")</f>
        <v>2.88</v>
      </c>
      <c r="D6" s="82">
        <f t="shared" si="0"/>
        <v>8.8606619375960191E-2</v>
      </c>
    </row>
    <row r="7" spans="1:4" ht="15.75" thickBot="1" x14ac:dyDescent="0.3">
      <c r="A7" s="205" t="s">
        <v>401</v>
      </c>
      <c r="B7" s="206"/>
      <c r="C7" s="130">
        <f>SUM(C2:C6)</f>
        <v>3250.3215</v>
      </c>
      <c r="D7" s="131">
        <f>SUM(D2:D6)</f>
        <v>100.00000000000001</v>
      </c>
    </row>
    <row r="14" spans="1:4" ht="15.75" thickBot="1" x14ac:dyDescent="0.3"/>
    <row r="15" spans="1:4" ht="60.75" thickBot="1" x14ac:dyDescent="0.3">
      <c r="A15" s="133" t="s">
        <v>5</v>
      </c>
      <c r="B15" s="133" t="s">
        <v>403</v>
      </c>
      <c r="C15" s="77" t="s">
        <v>396</v>
      </c>
      <c r="D15" s="134" t="s">
        <v>397</v>
      </c>
    </row>
    <row r="16" spans="1:4" x14ac:dyDescent="0.25">
      <c r="A16" s="87" t="s">
        <v>40</v>
      </c>
      <c r="B16" s="76" t="s">
        <v>43</v>
      </c>
      <c r="C16" s="87">
        <f>SUMIFS(Inventario!W$2:W$598,Inventario!E$2:E$598,"Piso 2",Inventario!H$2:H$598,"Cocina cerrada  E04-9311")</f>
        <v>988.64199999999994</v>
      </c>
      <c r="D16" s="132">
        <f>(C16*100)/C$23</f>
        <v>16.80069891744947</v>
      </c>
    </row>
    <row r="17" spans="1:4" x14ac:dyDescent="0.25">
      <c r="A17" s="74" t="s">
        <v>40</v>
      </c>
      <c r="B17" s="73" t="s">
        <v>62</v>
      </c>
      <c r="C17" s="74">
        <f>SUMIFS(Inventario!W$2:W$598,Inventario!E$2:E$598,"Piso 2",Inventario!H$2:H$598,"Almacen")</f>
        <v>2437.42</v>
      </c>
      <c r="D17" s="81">
        <f t="shared" ref="D17:D22" si="1">(C17*100)/C$23</f>
        <v>41.42081719709428</v>
      </c>
    </row>
    <row r="18" spans="1:4" x14ac:dyDescent="0.25">
      <c r="A18" s="74" t="s">
        <v>40</v>
      </c>
      <c r="B18" s="73" t="s">
        <v>300</v>
      </c>
      <c r="C18" s="74">
        <f>SUMIFS(Inventario!W$2:W$598,Inventario!E$2:E$598,"Piso 2",Inventario!H$2:H$598,"Baños Piso 2")</f>
        <v>17.423999999999996</v>
      </c>
      <c r="D18" s="81">
        <f t="shared" si="1"/>
        <v>0.29609846429510328</v>
      </c>
    </row>
    <row r="19" spans="1:4" x14ac:dyDescent="0.25">
      <c r="A19" s="74" t="s">
        <v>40</v>
      </c>
      <c r="B19" s="73" t="s">
        <v>165</v>
      </c>
      <c r="C19" s="74">
        <f>SUMIFS(Inventario!W$2:W$598,Inventario!E$2:E$598,"Piso 2",Inventario!H$2:H$598,"BAR")</f>
        <v>218.64000000000001</v>
      </c>
      <c r="D19" s="81">
        <f t="shared" si="1"/>
        <v>3.7155055230418612</v>
      </c>
    </row>
    <row r="20" spans="1:4" x14ac:dyDescent="0.25">
      <c r="A20" s="74" t="s">
        <v>40</v>
      </c>
      <c r="B20" s="73" t="s">
        <v>57</v>
      </c>
      <c r="C20" s="74">
        <f>SUMIFS(Inventario!W$2:W$598,Inventario!E$2:E$598,"Piso 2",Inventario!H$2:H$598,"Cocina_abierta")</f>
        <v>1476.963</v>
      </c>
      <c r="D20" s="81">
        <f t="shared" si="1"/>
        <v>25.099086095080846</v>
      </c>
    </row>
    <row r="21" spans="1:4" x14ac:dyDescent="0.25">
      <c r="A21" s="74" t="s">
        <v>40</v>
      </c>
      <c r="B21" s="73" t="s">
        <v>83</v>
      </c>
      <c r="C21" s="74">
        <f>SUMIFS(Inventario!W$2:W$598,Inventario!E$2:E$598,"Piso 2",Inventario!H$2:H$598,"Limpieza y desinfeccion")</f>
        <v>479.04</v>
      </c>
      <c r="D21" s="81">
        <f t="shared" si="1"/>
        <v>8.1406685224934741</v>
      </c>
    </row>
    <row r="22" spans="1:4" ht="15.75" thickBot="1" x14ac:dyDescent="0.3">
      <c r="A22" s="74" t="s">
        <v>40</v>
      </c>
      <c r="B22" s="73" t="s">
        <v>110</v>
      </c>
      <c r="C22" s="74">
        <f>SUMIFS(Inventario!W$2:W$598,Inventario!E$2:E$598,"Piso 2",Inventario!H$2:H$598,"Pasillo ")</f>
        <v>266.39999999999998</v>
      </c>
      <c r="D22" s="81">
        <f t="shared" si="1"/>
        <v>4.5271252805449675</v>
      </c>
    </row>
    <row r="23" spans="1:4" ht="15.75" thickBot="1" x14ac:dyDescent="0.3">
      <c r="A23" s="205" t="s">
        <v>401</v>
      </c>
      <c r="B23" s="206"/>
      <c r="C23" s="130">
        <f>SUM(C16:C22)</f>
        <v>5884.5289999999995</v>
      </c>
      <c r="D23" s="131">
        <f>SUM(D16:D22)</f>
        <v>100</v>
      </c>
    </row>
    <row r="24" spans="1:4" x14ac:dyDescent="0.25">
      <c r="A24" s="129"/>
      <c r="B24" s="129"/>
      <c r="C24" s="4"/>
      <c r="D24" s="84"/>
    </row>
    <row r="25" spans="1:4" x14ac:dyDescent="0.25">
      <c r="A25" s="129"/>
      <c r="B25" s="129"/>
      <c r="C25" s="4"/>
      <c r="D25" s="84"/>
    </row>
    <row r="26" spans="1:4" x14ac:dyDescent="0.25">
      <c r="A26" s="129"/>
      <c r="B26" s="129"/>
      <c r="C26" s="4"/>
      <c r="D26" s="84"/>
    </row>
    <row r="27" spans="1:4" x14ac:dyDescent="0.25">
      <c r="A27" s="129"/>
      <c r="B27" s="129"/>
      <c r="C27" s="4"/>
      <c r="D27" s="84"/>
    </row>
    <row r="28" spans="1:4" ht="15.75" thickBot="1" x14ac:dyDescent="0.3">
      <c r="A28" s="129"/>
      <c r="B28" s="129"/>
      <c r="C28" s="4"/>
      <c r="D28" s="84"/>
    </row>
    <row r="29" spans="1:4" ht="60.75" thickBot="1" x14ac:dyDescent="0.3">
      <c r="A29" s="133" t="s">
        <v>5</v>
      </c>
      <c r="B29" s="133" t="s">
        <v>403</v>
      </c>
      <c r="C29" s="77" t="s">
        <v>396</v>
      </c>
      <c r="D29" s="134" t="s">
        <v>397</v>
      </c>
    </row>
    <row r="30" spans="1:4" x14ac:dyDescent="0.25">
      <c r="A30" s="87" t="s">
        <v>28</v>
      </c>
      <c r="B30" s="76" t="s">
        <v>171</v>
      </c>
      <c r="C30" s="87">
        <f>SUMIFS(Inventario!W$2:W$598,Inventario!E$2:E$598,"Piso 3",Inventario!H$2:H$598,"Ambiente_9311 - E06-E07")</f>
        <v>94.16</v>
      </c>
      <c r="D30" s="132">
        <f>(C30*100)/C$37</f>
        <v>3.6479496167638312</v>
      </c>
    </row>
    <row r="31" spans="1:4" x14ac:dyDescent="0.25">
      <c r="A31" s="87" t="s">
        <v>28</v>
      </c>
      <c r="B31" s="73" t="s">
        <v>31</v>
      </c>
      <c r="C31" s="87">
        <f>SUMIFS(Inventario!W$2:W$598,Inventario!E$2:E$598,"Piso 3",Inventario!H$2:H$598,"Auditorio")</f>
        <v>1471.9600000000003</v>
      </c>
      <c r="D31" s="132">
        <f t="shared" ref="D31:D36" si="2">(C31*100)/C$37</f>
        <v>57.026719603777508</v>
      </c>
    </row>
    <row r="32" spans="1:4" x14ac:dyDescent="0.25">
      <c r="A32" s="87" t="s">
        <v>28</v>
      </c>
      <c r="B32" s="73" t="s">
        <v>239</v>
      </c>
      <c r="C32" s="87">
        <f>SUMIFS(Inventario!W$2:W$598,Inventario!E$2:E$598,"Piso 3",Inventario!H$2:H$598,"Baños piso 3")</f>
        <v>19.2</v>
      </c>
      <c r="D32" s="132">
        <f t="shared" si="2"/>
        <v>0.74384699067401827</v>
      </c>
    </row>
    <row r="33" spans="1:4" x14ac:dyDescent="0.25">
      <c r="A33" s="87" t="s">
        <v>28</v>
      </c>
      <c r="B33" s="73" t="s">
        <v>268</v>
      </c>
      <c r="C33" s="87">
        <f>SUMIFS(Inventario!W$2:W$598,Inventario!E$2:E$598,"Piso 3",Inventario!H$2:H$598,"Biblioteca")</f>
        <v>14.88</v>
      </c>
      <c r="D33" s="132">
        <f t="shared" si="2"/>
        <v>0.57648141777236417</v>
      </c>
    </row>
    <row r="34" spans="1:4" x14ac:dyDescent="0.25">
      <c r="A34" s="87" t="s">
        <v>28</v>
      </c>
      <c r="B34" s="73" t="s">
        <v>74</v>
      </c>
      <c r="C34" s="87">
        <f>SUMIFS(Inventario!W$2:W$598,Inventario!E$2:E$598,"Piso 3",Inventario!H$2:H$598,"MDF")</f>
        <v>972</v>
      </c>
      <c r="D34" s="132">
        <f t="shared" si="2"/>
        <v>37.657253902872171</v>
      </c>
    </row>
    <row r="35" spans="1:4" x14ac:dyDescent="0.25">
      <c r="A35" s="87" t="s">
        <v>28</v>
      </c>
      <c r="B35" s="73" t="s">
        <v>273</v>
      </c>
      <c r="C35" s="87">
        <f>SUMIFS(Inventario!W$2:W$598,Inventario!E$2:E$598,"Piso 3",Inventario!H$2:H$598,"Pasillo")</f>
        <v>7.68</v>
      </c>
      <c r="D35" s="132">
        <f t="shared" si="2"/>
        <v>0.29753879626960728</v>
      </c>
    </row>
    <row r="36" spans="1:4" ht="15.75" thickBot="1" x14ac:dyDescent="0.3">
      <c r="A36" s="87" t="s">
        <v>28</v>
      </c>
      <c r="B36" s="73" t="s">
        <v>365</v>
      </c>
      <c r="C36" s="87">
        <f>SUMIFS(Inventario!W$2:W$598,Inventario!E$2:E$598,"Piso 3",Inventario!H$2:H$598,"Pasillo_Interno")</f>
        <v>1.296</v>
      </c>
      <c r="D36" s="132">
        <f t="shared" si="2"/>
        <v>5.0209671870496228E-2</v>
      </c>
    </row>
    <row r="37" spans="1:4" ht="15.75" thickBot="1" x14ac:dyDescent="0.3">
      <c r="A37" s="205" t="s">
        <v>401</v>
      </c>
      <c r="B37" s="206"/>
      <c r="C37" s="130">
        <f>SUM(C30:C36)</f>
        <v>2581.1760000000004</v>
      </c>
      <c r="D37" s="131">
        <f>SUM(D30:D36)</f>
        <v>99.999999999999986</v>
      </c>
    </row>
    <row r="38" spans="1:4" x14ac:dyDescent="0.25">
      <c r="A38" s="129"/>
      <c r="B38" s="129"/>
      <c r="C38" s="4"/>
      <c r="D38" s="84"/>
    </row>
    <row r="39" spans="1:4" x14ac:dyDescent="0.25">
      <c r="A39" s="129"/>
      <c r="B39" s="129"/>
      <c r="C39" s="4"/>
      <c r="D39" s="84"/>
    </row>
    <row r="40" spans="1:4" x14ac:dyDescent="0.25">
      <c r="A40" s="129"/>
      <c r="B40" s="129"/>
      <c r="C40" s="4"/>
      <c r="D40" s="84"/>
    </row>
    <row r="41" spans="1:4" x14ac:dyDescent="0.25">
      <c r="A41" s="129"/>
      <c r="B41" s="129"/>
      <c r="C41" s="4"/>
      <c r="D41" s="84"/>
    </row>
    <row r="42" spans="1:4" x14ac:dyDescent="0.25">
      <c r="A42" s="129"/>
      <c r="B42" s="129"/>
      <c r="C42" s="4"/>
      <c r="D42" s="84"/>
    </row>
    <row r="43" spans="1:4" ht="15.75" thickBot="1" x14ac:dyDescent="0.3">
      <c r="A43" s="129"/>
      <c r="B43" s="129"/>
      <c r="C43" s="4"/>
      <c r="D43" s="84"/>
    </row>
    <row r="44" spans="1:4" ht="60.75" thickBot="1" x14ac:dyDescent="0.3">
      <c r="A44" s="133" t="s">
        <v>5</v>
      </c>
      <c r="B44" s="133" t="s">
        <v>403</v>
      </c>
      <c r="C44" s="77" t="s">
        <v>396</v>
      </c>
      <c r="D44" s="134" t="s">
        <v>397</v>
      </c>
    </row>
    <row r="45" spans="1:4" x14ac:dyDescent="0.25">
      <c r="A45" s="87" t="s">
        <v>93</v>
      </c>
      <c r="B45" s="76" t="s">
        <v>96</v>
      </c>
      <c r="C45" s="87">
        <f>SUMIFS(Inventario!W$2:W$598,Inventario!E$2:E$598,"Piso 4",Inventario!H$2:H$598,"Sala_de_instructores")</f>
        <v>316.64</v>
      </c>
      <c r="D45" s="132">
        <f>(C45*100)/C$48</f>
        <v>64.870357622840658</v>
      </c>
    </row>
    <row r="46" spans="1:4" x14ac:dyDescent="0.25">
      <c r="A46" s="87" t="s">
        <v>93</v>
      </c>
      <c r="B46" s="73" t="s">
        <v>152</v>
      </c>
      <c r="C46" s="87">
        <f>SUMIFS(Inventario!W$2:W$598,Inventario!E$2:E$598,"Piso 4",Inventario!H$2:H$598,"Cocina Personal Aseo")</f>
        <v>148</v>
      </c>
      <c r="D46" s="132">
        <f t="shared" ref="D46:D47" si="3">(C46*100)/C$48</f>
        <v>30.320909955092276</v>
      </c>
    </row>
    <row r="47" spans="1:4" ht="15.75" thickBot="1" x14ac:dyDescent="0.3">
      <c r="A47" s="87" t="s">
        <v>93</v>
      </c>
      <c r="B47" s="73" t="s">
        <v>273</v>
      </c>
      <c r="C47" s="87">
        <f>SUMIFS(Inventario!W$2:W$598,Inventario!E$2:E$598,"Piso 4",Inventario!H$2:H$598,"Pasillo")</f>
        <v>23.472000000000001</v>
      </c>
      <c r="D47" s="132">
        <f t="shared" si="3"/>
        <v>4.8087324220670675</v>
      </c>
    </row>
    <row r="48" spans="1:4" ht="15.75" thickBot="1" x14ac:dyDescent="0.3">
      <c r="A48" s="205" t="s">
        <v>401</v>
      </c>
      <c r="B48" s="206"/>
      <c r="C48" s="130">
        <f>SUM(C45:C47)</f>
        <v>488.11199999999997</v>
      </c>
      <c r="D48" s="131">
        <f>SUM(D45:D47)</f>
        <v>100</v>
      </c>
    </row>
    <row r="49" spans="1:4" x14ac:dyDescent="0.25">
      <c r="A49" s="129"/>
      <c r="B49" s="129"/>
      <c r="C49" s="4"/>
      <c r="D49" s="84"/>
    </row>
    <row r="50" spans="1:4" x14ac:dyDescent="0.25">
      <c r="A50" s="129"/>
      <c r="B50" s="129"/>
      <c r="C50" s="4"/>
      <c r="D50" s="84"/>
    </row>
    <row r="51" spans="1:4" x14ac:dyDescent="0.25">
      <c r="A51" s="129"/>
      <c r="B51" s="129"/>
      <c r="C51" s="4"/>
      <c r="D51" s="84"/>
    </row>
    <row r="52" spans="1:4" x14ac:dyDescent="0.25">
      <c r="A52" s="129"/>
      <c r="B52" s="129"/>
      <c r="C52" s="4"/>
      <c r="D52" s="84"/>
    </row>
    <row r="53" spans="1:4" x14ac:dyDescent="0.25">
      <c r="A53" s="129"/>
      <c r="B53" s="129"/>
      <c r="C53" s="4"/>
      <c r="D53" s="84"/>
    </row>
    <row r="54" spans="1:4" x14ac:dyDescent="0.25">
      <c r="A54" s="129"/>
      <c r="B54" s="129"/>
      <c r="C54" s="4"/>
      <c r="D54" s="84"/>
    </row>
    <row r="55" spans="1:4" x14ac:dyDescent="0.25">
      <c r="A55" s="129"/>
      <c r="B55" s="129"/>
      <c r="C55" s="4"/>
      <c r="D55" s="84"/>
    </row>
    <row r="56" spans="1:4" ht="15.75" thickBot="1" x14ac:dyDescent="0.3">
      <c r="C56" s="4"/>
      <c r="D56" s="84"/>
    </row>
    <row r="57" spans="1:4" ht="30" x14ac:dyDescent="0.25">
      <c r="A57" s="147" t="s">
        <v>404</v>
      </c>
      <c r="B57" s="148" t="s">
        <v>396</v>
      </c>
      <c r="C57" s="4"/>
      <c r="D57" s="84"/>
    </row>
    <row r="58" spans="1:4" x14ac:dyDescent="0.25">
      <c r="A58" s="73" t="s">
        <v>49</v>
      </c>
      <c r="B58" s="149">
        <f>C7</f>
        <v>3250.3215</v>
      </c>
      <c r="C58" s="4"/>
      <c r="D58" s="84"/>
    </row>
    <row r="59" spans="1:4" x14ac:dyDescent="0.25">
      <c r="A59" s="73" t="s">
        <v>40</v>
      </c>
      <c r="B59" s="149">
        <f>C23</f>
        <v>5884.5289999999995</v>
      </c>
      <c r="C59" s="4"/>
      <c r="D59" s="84"/>
    </row>
    <row r="60" spans="1:4" x14ac:dyDescent="0.25">
      <c r="A60" s="73" t="s">
        <v>28</v>
      </c>
      <c r="B60" s="149">
        <f>C37</f>
        <v>2581.1760000000004</v>
      </c>
      <c r="C60" s="4"/>
      <c r="D60" s="84"/>
    </row>
    <row r="61" spans="1:4" ht="15.75" thickBot="1" x14ac:dyDescent="0.3">
      <c r="A61" s="150" t="s">
        <v>93</v>
      </c>
      <c r="B61" s="151">
        <f>C48</f>
        <v>488.11199999999997</v>
      </c>
      <c r="C61" s="4"/>
      <c r="D61" s="84"/>
    </row>
    <row r="62" spans="1:4" ht="19.5" thickBot="1" x14ac:dyDescent="0.35">
      <c r="A62" s="152" t="s">
        <v>401</v>
      </c>
      <c r="B62" s="153">
        <f>B58+B59+B60+B61</f>
        <v>12204.138499999999</v>
      </c>
      <c r="C62" s="4"/>
      <c r="D62" s="84"/>
    </row>
    <row r="63" spans="1:4" x14ac:dyDescent="0.25">
      <c r="A63" s="129"/>
      <c r="B63" s="129"/>
      <c r="C63" s="4"/>
      <c r="D63" s="84"/>
    </row>
    <row r="64" spans="1:4" x14ac:dyDescent="0.25">
      <c r="A64" s="129"/>
      <c r="B64" s="129"/>
      <c r="C64" s="4"/>
      <c r="D64" s="84"/>
    </row>
    <row r="65" spans="1:4" x14ac:dyDescent="0.25">
      <c r="A65" s="129"/>
      <c r="B65" s="129"/>
      <c r="C65" s="4"/>
      <c r="D65" s="84"/>
    </row>
    <row r="66" spans="1:4" x14ac:dyDescent="0.25">
      <c r="A66" s="129"/>
      <c r="B66" s="129"/>
      <c r="C66" s="4"/>
      <c r="D66" s="84"/>
    </row>
    <row r="67" spans="1:4" x14ac:dyDescent="0.25">
      <c r="A67" s="129"/>
      <c r="B67" s="129"/>
      <c r="C67" s="4"/>
      <c r="D67" s="84"/>
    </row>
    <row r="68" spans="1:4" x14ac:dyDescent="0.25">
      <c r="A68" s="129"/>
      <c r="B68" s="129"/>
      <c r="C68" s="4"/>
      <c r="D68" s="84"/>
    </row>
    <row r="69" spans="1:4" x14ac:dyDescent="0.25">
      <c r="A69" s="129"/>
      <c r="B69" s="129"/>
      <c r="C69" s="4"/>
      <c r="D69" s="84"/>
    </row>
    <row r="70" spans="1:4" x14ac:dyDescent="0.25">
      <c r="A70" s="129"/>
      <c r="B70" s="129"/>
      <c r="C70" s="4"/>
      <c r="D70" s="84"/>
    </row>
    <row r="71" spans="1:4" x14ac:dyDescent="0.25">
      <c r="A71" s="129"/>
      <c r="B71" s="129"/>
      <c r="C71" s="4"/>
      <c r="D71" s="84"/>
    </row>
    <row r="72" spans="1:4" ht="15.75" thickBot="1" x14ac:dyDescent="0.3">
      <c r="A72" s="129"/>
      <c r="B72" s="129"/>
      <c r="C72" s="4"/>
      <c r="D72" s="84"/>
    </row>
    <row r="73" spans="1:4" ht="60.75" thickBot="1" x14ac:dyDescent="0.3">
      <c r="A73" s="86" t="s">
        <v>5</v>
      </c>
      <c r="B73" s="133" t="s">
        <v>403</v>
      </c>
      <c r="C73" s="138" t="s">
        <v>396</v>
      </c>
      <c r="D73" s="77" t="s">
        <v>397</v>
      </c>
    </row>
    <row r="74" spans="1:4" x14ac:dyDescent="0.25">
      <c r="A74" s="135" t="s">
        <v>49</v>
      </c>
      <c r="B74" s="137" t="s">
        <v>51</v>
      </c>
      <c r="C74" s="139">
        <f>SUMIFS(Inventario!W$2:W$598,Inventario!E$2:E$598,"Piso 1",Inventario!H$2:H$598,"9311-E01 Cafe y Bar")</f>
        <v>1968.1054999999999</v>
      </c>
      <c r="D74" s="142">
        <f>(C74*100)/C$96</f>
        <v>16.126541828413366</v>
      </c>
    </row>
    <row r="75" spans="1:4" x14ac:dyDescent="0.25">
      <c r="A75" s="127" t="s">
        <v>49</v>
      </c>
      <c r="B75" s="73" t="s">
        <v>105</v>
      </c>
      <c r="C75" s="140">
        <f>SUMIFS(Inventario!W$2:W$598,Inventario!E$2:E$598,"Piso 1",Inventario!H$2:H$598,"Pasillo_principal")</f>
        <v>312.12</v>
      </c>
      <c r="D75" s="143">
        <f t="shared" ref="D75:D95" si="4">(C75*100)/C$96</f>
        <v>2.5574930995743776</v>
      </c>
    </row>
    <row r="76" spans="1:4" x14ac:dyDescent="0.25">
      <c r="A76" s="127" t="s">
        <v>49</v>
      </c>
      <c r="B76" s="73" t="s">
        <v>118</v>
      </c>
      <c r="C76" s="140">
        <f>SUMIFS(Inventario!W$2:W$598,Inventario!E$2:E$598,"Piso 1",Inventario!H$2:H$598,"Administración")</f>
        <v>266.15999999999997</v>
      </c>
      <c r="D76" s="143">
        <f t="shared" si="4"/>
        <v>2.1808995366612725</v>
      </c>
    </row>
    <row r="77" spans="1:4" x14ac:dyDescent="0.25">
      <c r="A77" s="127" t="s">
        <v>49</v>
      </c>
      <c r="B77" s="73" t="s">
        <v>122</v>
      </c>
      <c r="C77" s="140">
        <f>SUMIFS(Inventario!W$2:W$598,Inventario!E$2:E$598,"Piso 1",Inventario!H$2:H$598,"9311-E02_panadería")</f>
        <v>701.05600000000004</v>
      </c>
      <c r="D77" s="143">
        <f t="shared" si="4"/>
        <v>5.7444120287556553</v>
      </c>
    </row>
    <row r="78" spans="1:4" x14ac:dyDescent="0.25">
      <c r="A78" s="127" t="s">
        <v>49</v>
      </c>
      <c r="B78" s="73" t="s">
        <v>336</v>
      </c>
      <c r="C78" s="140">
        <f>SUMIFS(Inventario!W$2:W$598,Inventario!E$2:E$598,"Piso 1",Inventario!H$2:H$598,"Bañós_Administrativos")</f>
        <v>2.88</v>
      </c>
      <c r="D78" s="143">
        <f t="shared" si="4"/>
        <v>2.3598552245207637E-2</v>
      </c>
    </row>
    <row r="79" spans="1:4" x14ac:dyDescent="0.25">
      <c r="A79" s="127" t="s">
        <v>40</v>
      </c>
      <c r="B79" s="73" t="s">
        <v>43</v>
      </c>
      <c r="C79" s="140">
        <f>SUMIFS(Inventario!W$2:W$598,Inventario!E$2:E$598,"Piso 2",Inventario!H$2:H$598,"Cocina cerrada  E04-9311")</f>
        <v>988.64199999999994</v>
      </c>
      <c r="D79" s="143">
        <f t="shared" si="4"/>
        <v>8.1008749613911704</v>
      </c>
    </row>
    <row r="80" spans="1:4" x14ac:dyDescent="0.25">
      <c r="A80" s="127" t="s">
        <v>40</v>
      </c>
      <c r="B80" s="73" t="s">
        <v>62</v>
      </c>
      <c r="C80" s="140">
        <f>SUMIFS(Inventario!W$2:W$598,Inventario!E$2:E$598,"Piso 2",Inventario!H$2:H$598,"Almacen")</f>
        <v>2437.42</v>
      </c>
      <c r="D80" s="143">
        <f t="shared" si="4"/>
        <v>19.972077504692361</v>
      </c>
    </row>
    <row r="81" spans="1:4" x14ac:dyDescent="0.25">
      <c r="A81" s="127" t="s">
        <v>40</v>
      </c>
      <c r="B81" s="73" t="s">
        <v>300</v>
      </c>
      <c r="C81" s="140">
        <f>SUMIFS(Inventario!W$2:W$598,Inventario!E$2:E$598,"Piso 2",Inventario!H$2:H$598,"Baños Piso 2")</f>
        <v>17.423999999999996</v>
      </c>
      <c r="D81" s="143">
        <f t="shared" si="4"/>
        <v>0.1427712410835062</v>
      </c>
    </row>
    <row r="82" spans="1:4" x14ac:dyDescent="0.25">
      <c r="A82" s="127" t="s">
        <v>40</v>
      </c>
      <c r="B82" s="73" t="s">
        <v>165</v>
      </c>
      <c r="C82" s="140">
        <f>SUMIFS(Inventario!W$2:W$598,Inventario!E$2:E$598,"Piso 2",Inventario!H$2:H$598,"BAR")</f>
        <v>218.64000000000001</v>
      </c>
      <c r="D82" s="143">
        <f t="shared" si="4"/>
        <v>1.7915234246153466</v>
      </c>
    </row>
    <row r="83" spans="1:4" x14ac:dyDescent="0.25">
      <c r="A83" s="127" t="s">
        <v>40</v>
      </c>
      <c r="B83" s="73" t="s">
        <v>57</v>
      </c>
      <c r="C83" s="140">
        <f>SUMIFS(Inventario!W$2:W$598,Inventario!E$2:E$598,"Piso 2",Inventario!H$2:H$598,"Cocina_abierta")</f>
        <v>1476.963</v>
      </c>
      <c r="D83" s="143">
        <f t="shared" si="4"/>
        <v>12.102148791575905</v>
      </c>
    </row>
    <row r="84" spans="1:4" x14ac:dyDescent="0.25">
      <c r="A84" s="127" t="s">
        <v>40</v>
      </c>
      <c r="B84" s="73" t="s">
        <v>83</v>
      </c>
      <c r="C84" s="140">
        <f>SUMIFS(Inventario!W$2:W$598,Inventario!E$2:E$598,"Piso 2",Inventario!H$2:H$598,"Limpieza y desinfeccion")</f>
        <v>479.04</v>
      </c>
      <c r="D84" s="143">
        <f t="shared" si="4"/>
        <v>3.9252258567862039</v>
      </c>
    </row>
    <row r="85" spans="1:4" x14ac:dyDescent="0.25">
      <c r="A85" s="127" t="s">
        <v>40</v>
      </c>
      <c r="B85" s="73" t="s">
        <v>110</v>
      </c>
      <c r="C85" s="140">
        <f>SUMIFS(Inventario!W$2:W$598,Inventario!E$2:E$598,"Piso 2",Inventario!H$2:H$598,"Pasillo ")</f>
        <v>266.39999999999998</v>
      </c>
      <c r="D85" s="143">
        <f t="shared" si="4"/>
        <v>2.1828660826817061</v>
      </c>
    </row>
    <row r="86" spans="1:4" x14ac:dyDescent="0.25">
      <c r="A86" s="127" t="s">
        <v>28</v>
      </c>
      <c r="B86" s="73" t="s">
        <v>171</v>
      </c>
      <c r="C86" s="140">
        <f>SUMIFS(Inventario!W$2:W$598,Inventario!E$2:E$598,"Piso 3",Inventario!H$2:H$598,"Ambiente_9311 - E06-E07")</f>
        <v>94.16</v>
      </c>
      <c r="D86" s="143">
        <f t="shared" si="4"/>
        <v>0.77154155535026081</v>
      </c>
    </row>
    <row r="87" spans="1:4" x14ac:dyDescent="0.25">
      <c r="A87" s="127" t="s">
        <v>28</v>
      </c>
      <c r="B87" s="73" t="s">
        <v>31</v>
      </c>
      <c r="C87" s="140">
        <f>SUMIFS(Inventario!W$2:W$598,Inventario!E$2:E$598,"Piso 3",Inventario!H$2:H$598,"Auditorio")</f>
        <v>1471.9600000000003</v>
      </c>
      <c r="D87" s="143">
        <f t="shared" si="4"/>
        <v>12.061154500991611</v>
      </c>
    </row>
    <row r="88" spans="1:4" x14ac:dyDescent="0.25">
      <c r="A88" s="127" t="s">
        <v>28</v>
      </c>
      <c r="B88" s="73" t="s">
        <v>239</v>
      </c>
      <c r="C88" s="140">
        <f>SUMIFS(Inventario!W$2:W$598,Inventario!E$2:E$598,"Piso 3",Inventario!H$2:H$598,"Baños piso 3")</f>
        <v>19.2</v>
      </c>
      <c r="D88" s="143">
        <f t="shared" si="4"/>
        <v>0.15732368163471758</v>
      </c>
    </row>
    <row r="89" spans="1:4" x14ac:dyDescent="0.25">
      <c r="A89" s="127" t="s">
        <v>28</v>
      </c>
      <c r="B89" s="73" t="s">
        <v>268</v>
      </c>
      <c r="C89" s="140">
        <f>SUMIFS(Inventario!W$2:W$598,Inventario!E$2:E$598,"Piso 3",Inventario!H$2:H$598,"Biblioteca")</f>
        <v>14.88</v>
      </c>
      <c r="D89" s="143">
        <f t="shared" si="4"/>
        <v>0.12192585326690614</v>
      </c>
    </row>
    <row r="90" spans="1:4" x14ac:dyDescent="0.25">
      <c r="A90" s="127" t="s">
        <v>28</v>
      </c>
      <c r="B90" s="73" t="s">
        <v>74</v>
      </c>
      <c r="C90" s="140">
        <f>SUMIFS(Inventario!W$2:W$598,Inventario!E$2:E$598,"Piso 3",Inventario!H$2:H$598,"MDF")</f>
        <v>972</v>
      </c>
      <c r="D90" s="143">
        <f t="shared" si="4"/>
        <v>7.9645113827575775</v>
      </c>
    </row>
    <row r="91" spans="1:4" x14ac:dyDescent="0.25">
      <c r="A91" s="127" t="s">
        <v>28</v>
      </c>
      <c r="B91" s="73" t="s">
        <v>273</v>
      </c>
      <c r="C91" s="140">
        <f>SUMIFS(Inventario!W$2:W$598,Inventario!E$2:E$598,"Piso 3",Inventario!H$2:H$598,"Pasillo")</f>
        <v>7.68</v>
      </c>
      <c r="D91" s="143">
        <f t="shared" si="4"/>
        <v>6.2929472653887042E-2</v>
      </c>
    </row>
    <row r="92" spans="1:4" x14ac:dyDescent="0.25">
      <c r="A92" s="127" t="s">
        <v>28</v>
      </c>
      <c r="B92" s="73" t="s">
        <v>365</v>
      </c>
      <c r="C92" s="140">
        <f>SUMIFS(Inventario!W$2:W$598,Inventario!E$2:E$598,"Piso 3",Inventario!H$2:H$598,"Pasillo_Interno")</f>
        <v>1.296</v>
      </c>
      <c r="D92" s="143">
        <f t="shared" si="4"/>
        <v>1.0619348510343437E-2</v>
      </c>
    </row>
    <row r="93" spans="1:4" x14ac:dyDescent="0.25">
      <c r="A93" s="127" t="s">
        <v>93</v>
      </c>
      <c r="B93" s="73" t="s">
        <v>96</v>
      </c>
      <c r="C93" s="140">
        <f>SUMIFS(Inventario!W$2:W$598,Inventario!E$2:E$598,"Piso 4",Inventario!H$2:H$598,"Sala_de_instructores")</f>
        <v>316.64</v>
      </c>
      <c r="D93" s="143">
        <f t="shared" si="4"/>
        <v>2.5945297162925507</v>
      </c>
    </row>
    <row r="94" spans="1:4" x14ac:dyDescent="0.25">
      <c r="A94" s="127" t="s">
        <v>93</v>
      </c>
      <c r="B94" s="73" t="s">
        <v>152</v>
      </c>
      <c r="C94" s="140">
        <f>SUMIFS(Inventario!W$2:W$598,Inventario!E$2:E$598,"Piso 4",Inventario!H$2:H$598,"Cocina Personal Aseo")</f>
        <v>148</v>
      </c>
      <c r="D94" s="143">
        <f t="shared" si="4"/>
        <v>1.2127033792676147</v>
      </c>
    </row>
    <row r="95" spans="1:4" ht="15.75" thickBot="1" x14ac:dyDescent="0.3">
      <c r="A95" s="136" t="s">
        <v>93</v>
      </c>
      <c r="B95" s="128" t="s">
        <v>273</v>
      </c>
      <c r="C95" s="141">
        <f>SUMIFS(Inventario!W$2:W$598,Inventario!E$2:E$598,"Piso 4",Inventario!H$2:H$598,"Pasillo")</f>
        <v>23.472000000000001</v>
      </c>
      <c r="D95" s="144">
        <f t="shared" si="4"/>
        <v>0.19232820079844226</v>
      </c>
    </row>
    <row r="96" spans="1:4" ht="19.5" thickBot="1" x14ac:dyDescent="0.35">
      <c r="A96" s="203" t="s">
        <v>401</v>
      </c>
      <c r="B96" s="204"/>
      <c r="C96" s="145">
        <f>SUM(C74:C95)</f>
        <v>12204.138500000001</v>
      </c>
      <c r="D96" s="146">
        <f>SUM(D74:D95)</f>
        <v>99.999999999999986</v>
      </c>
    </row>
    <row r="99" spans="1:4" ht="15.75" thickBot="1" x14ac:dyDescent="0.3"/>
    <row r="100" spans="1:4" ht="60" customHeight="1" thickBot="1" x14ac:dyDescent="0.3">
      <c r="A100" s="86" t="s">
        <v>5</v>
      </c>
      <c r="B100" s="133" t="s">
        <v>403</v>
      </c>
      <c r="C100" s="138" t="s">
        <v>396</v>
      </c>
      <c r="D100" s="77" t="s">
        <v>397</v>
      </c>
    </row>
    <row r="101" spans="1:4" x14ac:dyDescent="0.25">
      <c r="A101" s="8" t="s">
        <v>40</v>
      </c>
      <c r="B101" s="8" t="s">
        <v>62</v>
      </c>
      <c r="C101" s="155">
        <v>2437.42</v>
      </c>
      <c r="D101" s="154">
        <f>(C101*100)/C$123</f>
        <v>19.972077504692361</v>
      </c>
    </row>
    <row r="102" spans="1:4" x14ac:dyDescent="0.25">
      <c r="A102" s="8" t="s">
        <v>49</v>
      </c>
      <c r="B102" s="8" t="s">
        <v>51</v>
      </c>
      <c r="C102" s="155">
        <v>1968.1054999999999</v>
      </c>
      <c r="D102" s="154">
        <f t="shared" ref="D102:D122" si="5">(C102*100)/C$123</f>
        <v>16.126541828413366</v>
      </c>
    </row>
    <row r="103" spans="1:4" x14ac:dyDescent="0.25">
      <c r="A103" s="8" t="s">
        <v>40</v>
      </c>
      <c r="B103" s="8" t="s">
        <v>57</v>
      </c>
      <c r="C103" s="155">
        <v>1476.963</v>
      </c>
      <c r="D103" s="154">
        <f t="shared" si="5"/>
        <v>12.102148791575905</v>
      </c>
    </row>
    <row r="104" spans="1:4" x14ac:dyDescent="0.25">
      <c r="A104" s="8" t="s">
        <v>28</v>
      </c>
      <c r="B104" s="8" t="s">
        <v>31</v>
      </c>
      <c r="C104" s="155">
        <v>1471.9600000000003</v>
      </c>
      <c r="D104" s="154">
        <f t="shared" si="5"/>
        <v>12.061154500991611</v>
      </c>
    </row>
    <row r="105" spans="1:4" x14ac:dyDescent="0.25">
      <c r="A105" s="8" t="s">
        <v>40</v>
      </c>
      <c r="B105" s="8" t="s">
        <v>43</v>
      </c>
      <c r="C105" s="155">
        <v>988.64199999999994</v>
      </c>
      <c r="D105" s="154">
        <f t="shared" si="5"/>
        <v>8.1008749613911704</v>
      </c>
    </row>
    <row r="106" spans="1:4" x14ac:dyDescent="0.25">
      <c r="A106" s="8" t="s">
        <v>28</v>
      </c>
      <c r="B106" s="8" t="s">
        <v>74</v>
      </c>
      <c r="C106" s="155">
        <v>972</v>
      </c>
      <c r="D106" s="154">
        <f t="shared" si="5"/>
        <v>7.9645113827575775</v>
      </c>
    </row>
    <row r="107" spans="1:4" x14ac:dyDescent="0.25">
      <c r="A107" s="8" t="s">
        <v>49</v>
      </c>
      <c r="B107" s="8" t="s">
        <v>122</v>
      </c>
      <c r="C107" s="155">
        <v>701.05600000000004</v>
      </c>
      <c r="D107" s="154">
        <f t="shared" si="5"/>
        <v>5.7444120287556553</v>
      </c>
    </row>
    <row r="108" spans="1:4" x14ac:dyDescent="0.25">
      <c r="A108" s="8" t="s">
        <v>40</v>
      </c>
      <c r="B108" s="8" t="s">
        <v>83</v>
      </c>
      <c r="C108" s="155">
        <v>479.04</v>
      </c>
      <c r="D108" s="154">
        <f t="shared" si="5"/>
        <v>3.9252258567862039</v>
      </c>
    </row>
    <row r="109" spans="1:4" x14ac:dyDescent="0.25">
      <c r="A109" s="8" t="s">
        <v>93</v>
      </c>
      <c r="B109" s="8" t="s">
        <v>96</v>
      </c>
      <c r="C109" s="155">
        <v>316.64</v>
      </c>
      <c r="D109" s="154">
        <f t="shared" si="5"/>
        <v>2.5945297162925507</v>
      </c>
    </row>
    <row r="110" spans="1:4" x14ac:dyDescent="0.25">
      <c r="A110" s="8" t="s">
        <v>49</v>
      </c>
      <c r="B110" s="8" t="s">
        <v>105</v>
      </c>
      <c r="C110" s="155">
        <v>312.12</v>
      </c>
      <c r="D110" s="154">
        <f t="shared" si="5"/>
        <v>2.5574930995743776</v>
      </c>
    </row>
    <row r="111" spans="1:4" x14ac:dyDescent="0.25">
      <c r="A111" s="8" t="s">
        <v>40</v>
      </c>
      <c r="B111" s="8" t="s">
        <v>110</v>
      </c>
      <c r="C111" s="155">
        <v>266.39999999999998</v>
      </c>
      <c r="D111" s="154">
        <f t="shared" si="5"/>
        <v>2.1828660826817061</v>
      </c>
    </row>
    <row r="112" spans="1:4" x14ac:dyDescent="0.25">
      <c r="A112" s="8" t="s">
        <v>49</v>
      </c>
      <c r="B112" s="8" t="s">
        <v>118</v>
      </c>
      <c r="C112" s="155">
        <v>266.15999999999997</v>
      </c>
      <c r="D112" s="154">
        <f t="shared" si="5"/>
        <v>2.1808995366612725</v>
      </c>
    </row>
    <row r="113" spans="1:4" x14ac:dyDescent="0.25">
      <c r="A113" s="8" t="s">
        <v>40</v>
      </c>
      <c r="B113" s="8" t="s">
        <v>165</v>
      </c>
      <c r="C113" s="155">
        <v>218.64000000000001</v>
      </c>
      <c r="D113" s="154">
        <f t="shared" si="5"/>
        <v>1.7915234246153466</v>
      </c>
    </row>
    <row r="114" spans="1:4" x14ac:dyDescent="0.25">
      <c r="A114" s="8" t="s">
        <v>93</v>
      </c>
      <c r="B114" s="8" t="s">
        <v>152</v>
      </c>
      <c r="C114" s="155">
        <v>148</v>
      </c>
      <c r="D114" s="154">
        <f t="shared" si="5"/>
        <v>1.2127033792676147</v>
      </c>
    </row>
    <row r="115" spans="1:4" x14ac:dyDescent="0.25">
      <c r="A115" s="8" t="s">
        <v>28</v>
      </c>
      <c r="B115" s="8" t="s">
        <v>171</v>
      </c>
      <c r="C115" s="155">
        <v>94.16</v>
      </c>
      <c r="D115" s="154">
        <f t="shared" si="5"/>
        <v>0.77154155535026081</v>
      </c>
    </row>
    <row r="116" spans="1:4" x14ac:dyDescent="0.25">
      <c r="A116" s="8" t="s">
        <v>93</v>
      </c>
      <c r="B116" s="8" t="s">
        <v>273</v>
      </c>
      <c r="C116" s="155">
        <v>23.472000000000001</v>
      </c>
      <c r="D116" s="154">
        <f t="shared" si="5"/>
        <v>0.19232820079844226</v>
      </c>
    </row>
    <row r="117" spans="1:4" x14ac:dyDescent="0.25">
      <c r="A117" s="8" t="s">
        <v>28</v>
      </c>
      <c r="B117" s="8" t="s">
        <v>239</v>
      </c>
      <c r="C117" s="155">
        <v>19.2</v>
      </c>
      <c r="D117" s="154">
        <f t="shared" si="5"/>
        <v>0.15732368163471758</v>
      </c>
    </row>
    <row r="118" spans="1:4" x14ac:dyDescent="0.25">
      <c r="A118" s="8" t="s">
        <v>40</v>
      </c>
      <c r="B118" s="8" t="s">
        <v>300</v>
      </c>
      <c r="C118" s="155">
        <v>17.423999999999996</v>
      </c>
      <c r="D118" s="154">
        <f t="shared" si="5"/>
        <v>0.1427712410835062</v>
      </c>
    </row>
    <row r="119" spans="1:4" x14ac:dyDescent="0.25">
      <c r="A119" s="8" t="s">
        <v>28</v>
      </c>
      <c r="B119" s="8" t="s">
        <v>268</v>
      </c>
      <c r="C119" s="155">
        <v>14.88</v>
      </c>
      <c r="D119" s="154">
        <f t="shared" si="5"/>
        <v>0.12192585326690614</v>
      </c>
    </row>
    <row r="120" spans="1:4" x14ac:dyDescent="0.25">
      <c r="A120" s="8" t="s">
        <v>28</v>
      </c>
      <c r="B120" s="8" t="s">
        <v>273</v>
      </c>
      <c r="C120" s="155">
        <v>7.68</v>
      </c>
      <c r="D120" s="154">
        <f t="shared" si="5"/>
        <v>6.2929472653887042E-2</v>
      </c>
    </row>
    <row r="121" spans="1:4" x14ac:dyDescent="0.25">
      <c r="A121" s="8" t="s">
        <v>49</v>
      </c>
      <c r="B121" s="8" t="s">
        <v>336</v>
      </c>
      <c r="C121" s="155">
        <v>2.88</v>
      </c>
      <c r="D121" s="154">
        <f t="shared" si="5"/>
        <v>2.3598552245207637E-2</v>
      </c>
    </row>
    <row r="122" spans="1:4" x14ac:dyDescent="0.25">
      <c r="A122" s="8" t="s">
        <v>28</v>
      </c>
      <c r="B122" s="8" t="s">
        <v>365</v>
      </c>
      <c r="C122" s="155">
        <v>1.296</v>
      </c>
      <c r="D122" s="154">
        <f t="shared" si="5"/>
        <v>1.0619348510343437E-2</v>
      </c>
    </row>
    <row r="123" spans="1:4" x14ac:dyDescent="0.25">
      <c r="A123" s="8"/>
      <c r="B123" s="8"/>
      <c r="C123" s="155">
        <f>SUM(C101:C122)</f>
        <v>12204.138500000001</v>
      </c>
      <c r="D123" s="8"/>
    </row>
  </sheetData>
  <sortState ref="A101:D122">
    <sortCondition descending="1" ref="C101:C122"/>
  </sortState>
  <mergeCells count="5">
    <mergeCell ref="A96:B96"/>
    <mergeCell ref="A7:B7"/>
    <mergeCell ref="A23:B23"/>
    <mergeCell ref="A37:B37"/>
    <mergeCell ref="A48:B48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topLeftCell="A20" workbookViewId="0">
      <selection activeCell="E33" sqref="E33"/>
    </sheetView>
  </sheetViews>
  <sheetFormatPr baseColWidth="10" defaultColWidth="11.42578125" defaultRowHeight="15" x14ac:dyDescent="0.25"/>
  <sheetData>
    <row r="1" spans="1:4" ht="75" x14ac:dyDescent="0.25">
      <c r="A1" s="91" t="s">
        <v>405</v>
      </c>
      <c r="B1" s="91" t="s">
        <v>406</v>
      </c>
      <c r="C1" s="91" t="s">
        <v>407</v>
      </c>
      <c r="D1" s="91" t="s">
        <v>408</v>
      </c>
    </row>
    <row r="2" spans="1:4" x14ac:dyDescent="0.25">
      <c r="A2" s="156" t="s">
        <v>409</v>
      </c>
      <c r="B2" s="157">
        <v>4240</v>
      </c>
      <c r="C2" s="9">
        <v>3440</v>
      </c>
      <c r="D2" s="9">
        <v>540</v>
      </c>
    </row>
    <row r="3" spans="1:4" x14ac:dyDescent="0.25">
      <c r="A3" s="156" t="s">
        <v>410</v>
      </c>
      <c r="B3" s="157">
        <v>5280</v>
      </c>
      <c r="C3" s="18">
        <v>4480</v>
      </c>
      <c r="D3" s="9">
        <v>246</v>
      </c>
    </row>
    <row r="4" spans="1:4" x14ac:dyDescent="0.25">
      <c r="A4" s="156" t="s">
        <v>411</v>
      </c>
      <c r="B4" s="156">
        <v>5520</v>
      </c>
      <c r="C4" s="18">
        <v>5120</v>
      </c>
      <c r="D4" s="9">
        <v>225</v>
      </c>
    </row>
    <row r="5" spans="1:4" x14ac:dyDescent="0.25">
      <c r="A5" s="156" t="s">
        <v>412</v>
      </c>
      <c r="B5" s="156">
        <v>6080</v>
      </c>
      <c r="C5" s="18">
        <v>3520</v>
      </c>
      <c r="D5" s="9">
        <v>231</v>
      </c>
    </row>
    <row r="6" spans="1:4" x14ac:dyDescent="0.25">
      <c r="A6" s="156" t="s">
        <v>413</v>
      </c>
      <c r="B6" s="156">
        <v>5840</v>
      </c>
      <c r="C6" s="18">
        <v>5360</v>
      </c>
      <c r="D6" s="9">
        <v>396</v>
      </c>
    </row>
    <row r="7" spans="1:4" x14ac:dyDescent="0.25">
      <c r="A7" s="156" t="s">
        <v>414</v>
      </c>
      <c r="B7" s="156">
        <v>5200</v>
      </c>
      <c r="C7" s="18">
        <v>6880</v>
      </c>
      <c r="D7" s="9">
        <v>269</v>
      </c>
    </row>
    <row r="8" spans="1:4" x14ac:dyDescent="0.25">
      <c r="A8" s="156" t="s">
        <v>415</v>
      </c>
      <c r="B8" s="156">
        <v>5280</v>
      </c>
      <c r="C8" s="18">
        <v>6320</v>
      </c>
      <c r="D8" s="9">
        <v>207</v>
      </c>
    </row>
    <row r="9" spans="1:4" x14ac:dyDescent="0.25">
      <c r="A9" s="156" t="s">
        <v>416</v>
      </c>
      <c r="B9" s="156">
        <v>5440</v>
      </c>
      <c r="C9" s="18">
        <v>6800</v>
      </c>
      <c r="D9" s="9">
        <v>207</v>
      </c>
    </row>
    <row r="10" spans="1:4" x14ac:dyDescent="0.25">
      <c r="A10" s="156" t="s">
        <v>417</v>
      </c>
      <c r="B10" s="156">
        <v>4400</v>
      </c>
      <c r="C10" s="18">
        <v>7360</v>
      </c>
      <c r="D10" s="9">
        <v>229</v>
      </c>
    </row>
    <row r="11" spans="1:4" x14ac:dyDescent="0.25">
      <c r="A11" s="156" t="s">
        <v>418</v>
      </c>
      <c r="B11" s="156">
        <v>4560</v>
      </c>
      <c r="C11" s="158">
        <v>7040</v>
      </c>
      <c r="D11" s="9">
        <v>267</v>
      </c>
    </row>
    <row r="12" spans="1:4" x14ac:dyDescent="0.25">
      <c r="A12" s="156" t="s">
        <v>419</v>
      </c>
      <c r="B12" s="156">
        <v>4400</v>
      </c>
      <c r="C12" s="156">
        <v>5760</v>
      </c>
      <c r="D12" s="9">
        <v>267</v>
      </c>
    </row>
    <row r="13" spans="1:4" x14ac:dyDescent="0.25">
      <c r="A13" s="156" t="s">
        <v>420</v>
      </c>
      <c r="B13" s="156">
        <v>4640</v>
      </c>
      <c r="C13" s="156">
        <v>5760</v>
      </c>
      <c r="D13" s="9">
        <v>607</v>
      </c>
    </row>
    <row r="20" spans="1:3" ht="75" x14ac:dyDescent="0.25">
      <c r="A20" s="91" t="s">
        <v>405</v>
      </c>
      <c r="B20" s="91" t="s">
        <v>407</v>
      </c>
      <c r="C20" s="91" t="s">
        <v>421</v>
      </c>
    </row>
    <row r="21" spans="1:3" x14ac:dyDescent="0.25">
      <c r="A21" s="156" t="s">
        <v>409</v>
      </c>
      <c r="B21" s="9">
        <v>3440</v>
      </c>
      <c r="C21" s="9">
        <v>540</v>
      </c>
    </row>
    <row r="22" spans="1:3" x14ac:dyDescent="0.25">
      <c r="A22" s="156" t="s">
        <v>410</v>
      </c>
      <c r="B22" s="18">
        <v>4480</v>
      </c>
      <c r="C22" s="9">
        <v>246</v>
      </c>
    </row>
    <row r="23" spans="1:3" x14ac:dyDescent="0.25">
      <c r="A23" s="156" t="s">
        <v>411</v>
      </c>
      <c r="B23" s="18">
        <v>5120</v>
      </c>
      <c r="C23" s="9">
        <v>225</v>
      </c>
    </row>
    <row r="24" spans="1:3" x14ac:dyDescent="0.25">
      <c r="A24" s="156" t="s">
        <v>412</v>
      </c>
      <c r="B24" s="18">
        <v>3520</v>
      </c>
      <c r="C24" s="9">
        <v>231</v>
      </c>
    </row>
    <row r="25" spans="1:3" x14ac:dyDescent="0.25">
      <c r="A25" s="156" t="s">
        <v>413</v>
      </c>
      <c r="B25" s="18">
        <v>5360</v>
      </c>
      <c r="C25" s="9">
        <v>396</v>
      </c>
    </row>
    <row r="26" spans="1:3" x14ac:dyDescent="0.25">
      <c r="A26" s="156" t="s">
        <v>414</v>
      </c>
      <c r="B26" s="18">
        <v>6880</v>
      </c>
      <c r="C26" s="9">
        <v>269</v>
      </c>
    </row>
    <row r="27" spans="1:3" x14ac:dyDescent="0.25">
      <c r="A27" s="156" t="s">
        <v>415</v>
      </c>
      <c r="B27" s="18">
        <v>6320</v>
      </c>
      <c r="C27" s="9">
        <v>207</v>
      </c>
    </row>
    <row r="28" spans="1:3" x14ac:dyDescent="0.25">
      <c r="A28" s="156" t="s">
        <v>416</v>
      </c>
      <c r="B28" s="18">
        <v>6800</v>
      </c>
      <c r="C28" s="9">
        <v>207</v>
      </c>
    </row>
    <row r="29" spans="1:3" x14ac:dyDescent="0.25">
      <c r="A29" s="156" t="s">
        <v>417</v>
      </c>
      <c r="B29" s="18">
        <v>7360</v>
      </c>
      <c r="C29" s="9">
        <v>229</v>
      </c>
    </row>
    <row r="30" spans="1:3" x14ac:dyDescent="0.25">
      <c r="A30" s="156" t="s">
        <v>418</v>
      </c>
      <c r="B30" s="158">
        <v>7040</v>
      </c>
      <c r="C30" s="9">
        <v>267</v>
      </c>
    </row>
    <row r="31" spans="1:3" x14ac:dyDescent="0.25">
      <c r="A31" s="156" t="s">
        <v>419</v>
      </c>
      <c r="B31" s="156">
        <v>5760</v>
      </c>
      <c r="C31" s="9">
        <v>267</v>
      </c>
    </row>
    <row r="32" spans="1:3" x14ac:dyDescent="0.25">
      <c r="A32" s="156" t="s">
        <v>420</v>
      </c>
      <c r="B32" s="156">
        <v>5760</v>
      </c>
      <c r="C32" s="9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D22" sqref="D22"/>
    </sheetView>
  </sheetViews>
  <sheetFormatPr baseColWidth="10" defaultColWidth="11.42578125" defaultRowHeight="15" x14ac:dyDescent="0.25"/>
  <sheetData>
    <row r="1" spans="1:4" ht="60.75" customHeight="1" x14ac:dyDescent="0.25">
      <c r="A1" s="91" t="s">
        <v>405</v>
      </c>
      <c r="B1" s="91" t="s">
        <v>422</v>
      </c>
      <c r="C1" s="91" t="s">
        <v>423</v>
      </c>
      <c r="D1" s="91" t="s">
        <v>421</v>
      </c>
    </row>
    <row r="2" spans="1:4" x14ac:dyDescent="0.25">
      <c r="A2" s="9" t="s">
        <v>409</v>
      </c>
      <c r="B2" s="28">
        <v>25</v>
      </c>
      <c r="C2" s="159">
        <v>19</v>
      </c>
      <c r="D2" s="9">
        <v>540</v>
      </c>
    </row>
    <row r="3" spans="1:4" x14ac:dyDescent="0.25">
      <c r="A3" s="9" t="s">
        <v>410</v>
      </c>
      <c r="B3" s="28">
        <v>87</v>
      </c>
      <c r="C3" s="28">
        <v>56</v>
      </c>
      <c r="D3" s="9">
        <v>246</v>
      </c>
    </row>
    <row r="4" spans="1:4" x14ac:dyDescent="0.25">
      <c r="A4" s="9" t="s">
        <v>411</v>
      </c>
      <c r="B4" s="29">
        <v>86</v>
      </c>
      <c r="C4" s="28">
        <v>71</v>
      </c>
      <c r="D4" s="9">
        <v>225</v>
      </c>
    </row>
    <row r="5" spans="1:4" x14ac:dyDescent="0.25">
      <c r="A5" s="9" t="s">
        <v>412</v>
      </c>
      <c r="B5" s="29">
        <v>76</v>
      </c>
      <c r="C5" s="28">
        <v>49</v>
      </c>
      <c r="D5" s="9">
        <v>231</v>
      </c>
    </row>
    <row r="6" spans="1:4" x14ac:dyDescent="0.25">
      <c r="A6" s="9" t="s">
        <v>413</v>
      </c>
      <c r="B6" s="29">
        <v>72</v>
      </c>
      <c r="C6" s="28">
        <v>51</v>
      </c>
      <c r="D6" s="9">
        <v>396</v>
      </c>
    </row>
    <row r="7" spans="1:4" x14ac:dyDescent="0.25">
      <c r="A7" s="9" t="s">
        <v>414</v>
      </c>
      <c r="B7" s="29">
        <v>73</v>
      </c>
      <c r="C7" s="28">
        <v>49</v>
      </c>
      <c r="D7" s="9">
        <v>269</v>
      </c>
    </row>
    <row r="8" spans="1:4" x14ac:dyDescent="0.25">
      <c r="A8" s="9" t="s">
        <v>415</v>
      </c>
      <c r="B8" s="29">
        <v>60</v>
      </c>
      <c r="C8" s="28">
        <v>118</v>
      </c>
      <c r="D8" s="9">
        <v>207</v>
      </c>
    </row>
    <row r="9" spans="1:4" x14ac:dyDescent="0.25">
      <c r="A9" s="9" t="s">
        <v>416</v>
      </c>
      <c r="B9" s="160">
        <v>71</v>
      </c>
      <c r="C9" s="28">
        <v>87</v>
      </c>
      <c r="D9" s="9">
        <v>207</v>
      </c>
    </row>
    <row r="10" spans="1:4" x14ac:dyDescent="0.25">
      <c r="A10" s="9" t="s">
        <v>417</v>
      </c>
      <c r="B10" s="29">
        <v>57</v>
      </c>
      <c r="C10" s="28">
        <v>103</v>
      </c>
      <c r="D10" s="9">
        <v>229</v>
      </c>
    </row>
    <row r="11" spans="1:4" x14ac:dyDescent="0.25">
      <c r="A11" s="9" t="s">
        <v>418</v>
      </c>
      <c r="B11" s="29">
        <v>50</v>
      </c>
      <c r="C11" s="29">
        <v>112</v>
      </c>
      <c r="D11" s="9">
        <v>267</v>
      </c>
    </row>
    <row r="12" spans="1:4" x14ac:dyDescent="0.25">
      <c r="A12" s="9" t="s">
        <v>419</v>
      </c>
      <c r="B12" s="29">
        <v>53</v>
      </c>
      <c r="C12" s="29">
        <v>112</v>
      </c>
      <c r="D12" s="9">
        <v>267</v>
      </c>
    </row>
    <row r="13" spans="1:4" x14ac:dyDescent="0.25">
      <c r="A13" s="9" t="s">
        <v>420</v>
      </c>
      <c r="B13" s="29">
        <v>48</v>
      </c>
      <c r="C13" s="29">
        <v>95</v>
      </c>
      <c r="D13" s="9">
        <v>607</v>
      </c>
    </row>
    <row r="20" spans="1:3" ht="45" x14ac:dyDescent="0.25">
      <c r="A20" s="91" t="s">
        <v>405</v>
      </c>
      <c r="B20" s="91" t="s">
        <v>423</v>
      </c>
      <c r="C20" s="91" t="s">
        <v>421</v>
      </c>
    </row>
    <row r="21" spans="1:3" x14ac:dyDescent="0.25">
      <c r="A21" s="9" t="s">
        <v>409</v>
      </c>
      <c r="B21" s="159">
        <v>19</v>
      </c>
      <c r="C21" s="9">
        <v>540</v>
      </c>
    </row>
    <row r="22" spans="1:3" x14ac:dyDescent="0.25">
      <c r="A22" s="9" t="s">
        <v>410</v>
      </c>
      <c r="B22" s="28">
        <v>56</v>
      </c>
      <c r="C22" s="9">
        <v>246</v>
      </c>
    </row>
    <row r="23" spans="1:3" x14ac:dyDescent="0.25">
      <c r="A23" s="9" t="s">
        <v>411</v>
      </c>
      <c r="B23" s="28">
        <v>71</v>
      </c>
      <c r="C23" s="9">
        <v>225</v>
      </c>
    </row>
    <row r="24" spans="1:3" x14ac:dyDescent="0.25">
      <c r="A24" s="9" t="s">
        <v>412</v>
      </c>
      <c r="B24" s="28">
        <v>49</v>
      </c>
      <c r="C24" s="9">
        <v>231</v>
      </c>
    </row>
    <row r="25" spans="1:3" x14ac:dyDescent="0.25">
      <c r="A25" s="9" t="s">
        <v>413</v>
      </c>
      <c r="B25" s="28">
        <v>51</v>
      </c>
      <c r="C25" s="9">
        <v>396</v>
      </c>
    </row>
    <row r="26" spans="1:3" x14ac:dyDescent="0.25">
      <c r="A26" s="9" t="s">
        <v>414</v>
      </c>
      <c r="B26" s="28">
        <v>49</v>
      </c>
      <c r="C26" s="9">
        <v>269</v>
      </c>
    </row>
    <row r="27" spans="1:3" x14ac:dyDescent="0.25">
      <c r="A27" s="9" t="s">
        <v>415</v>
      </c>
      <c r="B27" s="28">
        <v>118</v>
      </c>
      <c r="C27" s="9">
        <v>207</v>
      </c>
    </row>
    <row r="28" spans="1:3" x14ac:dyDescent="0.25">
      <c r="A28" s="9" t="s">
        <v>416</v>
      </c>
      <c r="B28" s="28">
        <v>87</v>
      </c>
      <c r="C28" s="9">
        <v>207</v>
      </c>
    </row>
    <row r="29" spans="1:3" x14ac:dyDescent="0.25">
      <c r="A29" s="9" t="s">
        <v>417</v>
      </c>
      <c r="B29" s="28">
        <v>103</v>
      </c>
      <c r="C29" s="9">
        <v>229</v>
      </c>
    </row>
    <row r="30" spans="1:3" x14ac:dyDescent="0.25">
      <c r="A30" s="9" t="s">
        <v>418</v>
      </c>
      <c r="B30" s="29">
        <v>112</v>
      </c>
      <c r="C30" s="9">
        <v>267</v>
      </c>
    </row>
    <row r="31" spans="1:3" x14ac:dyDescent="0.25">
      <c r="A31" s="9" t="s">
        <v>419</v>
      </c>
      <c r="B31" s="29">
        <v>112</v>
      </c>
      <c r="C31" s="9">
        <v>267</v>
      </c>
    </row>
    <row r="32" spans="1:3" x14ac:dyDescent="0.25">
      <c r="A32" s="9" t="s">
        <v>420</v>
      </c>
      <c r="B32" s="29">
        <v>95</v>
      </c>
      <c r="C32" s="9">
        <v>607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37"/>
  <sheetViews>
    <sheetView zoomScale="98" zoomScaleNormal="98" workbookViewId="0">
      <pane ySplit="1" topLeftCell="A2" activePane="bottomLeft" state="frozen"/>
      <selection pane="bottomLeft" activeCell="E16" sqref="E16"/>
    </sheetView>
  </sheetViews>
  <sheetFormatPr baseColWidth="10" defaultColWidth="11.42578125" defaultRowHeight="15" x14ac:dyDescent="0.25"/>
  <cols>
    <col min="1" max="1" width="26.85546875" bestFit="1" customWidth="1"/>
    <col min="2" max="2" width="33.5703125" bestFit="1" customWidth="1"/>
    <col min="3" max="3" width="10.140625" customWidth="1"/>
    <col min="4" max="4" width="24.5703125" bestFit="1" customWidth="1"/>
    <col min="5" max="5" width="25.28515625" bestFit="1" customWidth="1"/>
    <col min="6" max="6" width="8.5703125" bestFit="1" customWidth="1"/>
    <col min="7" max="7" width="16.42578125" bestFit="1" customWidth="1"/>
    <col min="8" max="8" width="24.42578125" bestFit="1" customWidth="1"/>
    <col min="9" max="9" width="29.7109375" bestFit="1" customWidth="1"/>
    <col min="10" max="10" width="25.5703125" bestFit="1" customWidth="1"/>
    <col min="11" max="11" width="8.5703125" bestFit="1" customWidth="1"/>
    <col min="12" max="12" width="12" customWidth="1"/>
    <col min="13" max="19" width="16.140625" customWidth="1"/>
    <col min="20" max="20" width="22" customWidth="1"/>
    <col min="21" max="21" width="14.85546875" style="7" customWidth="1"/>
    <col min="22" max="22" width="19" style="7" customWidth="1"/>
    <col min="23" max="77" width="11.42578125" style="7"/>
  </cols>
  <sheetData>
    <row r="1" spans="1:77" s="1" customFormat="1" ht="32.25" customHeight="1" x14ac:dyDescent="0.25">
      <c r="A1" s="34" t="s">
        <v>424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425</v>
      </c>
      <c r="G1" s="34" t="s">
        <v>426</v>
      </c>
      <c r="H1" s="34" t="s">
        <v>427</v>
      </c>
      <c r="I1" s="34" t="s">
        <v>428</v>
      </c>
      <c r="J1" s="34" t="s">
        <v>429</v>
      </c>
      <c r="K1" s="34" t="s">
        <v>430</v>
      </c>
      <c r="L1" s="34" t="s">
        <v>431</v>
      </c>
      <c r="M1" s="35" t="s">
        <v>432</v>
      </c>
      <c r="N1" s="35" t="s">
        <v>433</v>
      </c>
      <c r="O1" s="40" t="s">
        <v>434</v>
      </c>
      <c r="P1" s="40" t="s">
        <v>435</v>
      </c>
      <c r="Q1" s="40" t="s">
        <v>436</v>
      </c>
      <c r="R1" s="40" t="s">
        <v>437</v>
      </c>
      <c r="S1" s="42" t="s">
        <v>438</v>
      </c>
      <c r="T1" s="34" t="s">
        <v>23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</row>
    <row r="2" spans="1:77" x14ac:dyDescent="0.25">
      <c r="A2" s="8" t="s">
        <v>439</v>
      </c>
      <c r="B2" s="8" t="s">
        <v>25</v>
      </c>
      <c r="C2" s="8" t="s">
        <v>26</v>
      </c>
      <c r="D2" s="8" t="s">
        <v>27</v>
      </c>
      <c r="E2" s="8" t="s">
        <v>40</v>
      </c>
      <c r="F2" s="8" t="s">
        <v>41</v>
      </c>
      <c r="G2" s="8" t="s">
        <v>73</v>
      </c>
      <c r="H2" s="8" t="s">
        <v>440</v>
      </c>
      <c r="I2" s="8" t="s">
        <v>441</v>
      </c>
      <c r="J2" s="8" t="s">
        <v>442</v>
      </c>
      <c r="K2" s="9">
        <v>2</v>
      </c>
      <c r="L2" s="8" t="s">
        <v>37</v>
      </c>
      <c r="M2" s="8" t="s">
        <v>443</v>
      </c>
      <c r="N2" s="9"/>
      <c r="O2" s="9">
        <v>10</v>
      </c>
      <c r="P2" s="9"/>
      <c r="Q2" s="9">
        <v>60</v>
      </c>
      <c r="R2" s="9">
        <v>22</v>
      </c>
      <c r="S2" s="41">
        <f>(K2*O2*Q2*R2)/1000</f>
        <v>26.4</v>
      </c>
      <c r="T2" s="8"/>
    </row>
    <row r="3" spans="1:77" x14ac:dyDescent="0.25">
      <c r="A3" s="8" t="s">
        <v>444</v>
      </c>
      <c r="B3" s="8" t="s">
        <v>25</v>
      </c>
      <c r="C3" s="8" t="s">
        <v>26</v>
      </c>
      <c r="D3" s="8" t="s">
        <v>27</v>
      </c>
      <c r="E3" s="8" t="s">
        <v>40</v>
      </c>
      <c r="F3" s="8" t="s">
        <v>41</v>
      </c>
      <c r="G3" s="8" t="s">
        <v>73</v>
      </c>
      <c r="H3" s="8" t="s">
        <v>445</v>
      </c>
      <c r="I3" s="8" t="s">
        <v>441</v>
      </c>
      <c r="J3" s="8" t="s">
        <v>442</v>
      </c>
      <c r="K3" s="9">
        <v>2</v>
      </c>
      <c r="L3" s="8" t="s">
        <v>37</v>
      </c>
      <c r="M3" s="8" t="s">
        <v>443</v>
      </c>
      <c r="N3" s="9"/>
      <c r="O3" s="9">
        <v>10</v>
      </c>
      <c r="P3" s="9"/>
      <c r="Q3" s="9">
        <v>60</v>
      </c>
      <c r="R3" s="9">
        <v>22</v>
      </c>
      <c r="S3" s="41">
        <f t="shared" ref="S3:S4" si="0">(K3*O3*Q3*R3)/1000</f>
        <v>26.4</v>
      </c>
      <c r="T3" s="8"/>
    </row>
    <row r="4" spans="1:77" s="2" customFormat="1" ht="15" customHeight="1" x14ac:dyDescent="0.25">
      <c r="A4" s="8" t="s">
        <v>446</v>
      </c>
      <c r="B4" s="8" t="s">
        <v>89</v>
      </c>
      <c r="C4" s="8" t="s">
        <v>26</v>
      </c>
      <c r="D4" s="8" t="s">
        <v>27</v>
      </c>
      <c r="E4" s="8" t="s">
        <v>93</v>
      </c>
      <c r="F4" s="8" t="s">
        <v>94</v>
      </c>
      <c r="G4" s="8" t="s">
        <v>73</v>
      </c>
      <c r="H4" s="8" t="s">
        <v>447</v>
      </c>
      <c r="I4" s="8" t="s">
        <v>441</v>
      </c>
      <c r="J4" s="8" t="s">
        <v>442</v>
      </c>
      <c r="K4" s="9">
        <v>1</v>
      </c>
      <c r="L4" s="8" t="s">
        <v>37</v>
      </c>
      <c r="M4" s="8" t="s">
        <v>443</v>
      </c>
      <c r="N4" s="9"/>
      <c r="O4" s="9">
        <v>10</v>
      </c>
      <c r="P4" s="9"/>
      <c r="Q4" s="9">
        <v>0</v>
      </c>
      <c r="R4" s="9">
        <v>0</v>
      </c>
      <c r="S4" s="41">
        <f t="shared" si="0"/>
        <v>0</v>
      </c>
      <c r="T4" s="8" t="s">
        <v>448</v>
      </c>
      <c r="X4" s="7">
        <v>54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</row>
    <row r="5" spans="1:77" x14ac:dyDescent="0.25">
      <c r="A5" s="8" t="s">
        <v>449</v>
      </c>
      <c r="B5" s="8" t="s">
        <v>25</v>
      </c>
      <c r="C5" s="8" t="s">
        <v>26</v>
      </c>
      <c r="D5" s="8" t="s">
        <v>27</v>
      </c>
      <c r="E5" s="8" t="s">
        <v>49</v>
      </c>
      <c r="F5" s="8" t="s">
        <v>50</v>
      </c>
      <c r="G5" s="8" t="s">
        <v>73</v>
      </c>
      <c r="H5" s="8" t="s">
        <v>450</v>
      </c>
      <c r="I5" s="8" t="s">
        <v>441</v>
      </c>
      <c r="J5" s="8" t="s">
        <v>451</v>
      </c>
      <c r="K5" s="9">
        <v>2</v>
      </c>
      <c r="L5" s="8" t="s">
        <v>37</v>
      </c>
      <c r="M5" s="8" t="s">
        <v>452</v>
      </c>
      <c r="N5" s="9">
        <v>1</v>
      </c>
      <c r="O5" s="9"/>
      <c r="P5" s="9">
        <v>33</v>
      </c>
      <c r="Q5" s="9"/>
      <c r="R5" s="9">
        <v>22</v>
      </c>
      <c r="S5" s="41">
        <f>(K5*N5*P5*R5)/1000</f>
        <v>1.452</v>
      </c>
      <c r="T5" s="8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x14ac:dyDescent="0.25">
      <c r="A6" s="8" t="s">
        <v>453</v>
      </c>
      <c r="B6" s="8" t="s">
        <v>25</v>
      </c>
      <c r="C6" s="8" t="s">
        <v>26</v>
      </c>
      <c r="D6" s="8" t="s">
        <v>27</v>
      </c>
      <c r="E6" s="8" t="s">
        <v>40</v>
      </c>
      <c r="F6" s="8" t="s">
        <v>41</v>
      </c>
      <c r="G6" s="8" t="s">
        <v>73</v>
      </c>
      <c r="H6" s="8" t="s">
        <v>440</v>
      </c>
      <c r="I6" s="8" t="s">
        <v>441</v>
      </c>
      <c r="J6" s="8" t="s">
        <v>451</v>
      </c>
      <c r="K6" s="9">
        <v>1</v>
      </c>
      <c r="L6" s="8" t="s">
        <v>37</v>
      </c>
      <c r="M6" s="8" t="s">
        <v>452</v>
      </c>
      <c r="N6" s="9">
        <v>1</v>
      </c>
      <c r="O6" s="9"/>
      <c r="P6" s="9">
        <v>33</v>
      </c>
      <c r="Q6" s="9"/>
      <c r="R6" s="9">
        <v>22</v>
      </c>
      <c r="S6" s="41">
        <f t="shared" ref="S6:S12" si="1">(K6*N6*P6*R6)/1000</f>
        <v>0.72599999999999998</v>
      </c>
      <c r="T6" s="8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x14ac:dyDescent="0.25">
      <c r="A7" s="8" t="s">
        <v>454</v>
      </c>
      <c r="B7" s="8" t="s">
        <v>25</v>
      </c>
      <c r="C7" s="8" t="s">
        <v>26</v>
      </c>
      <c r="D7" s="8" t="s">
        <v>27</v>
      </c>
      <c r="E7" s="8" t="s">
        <v>40</v>
      </c>
      <c r="F7" s="8" t="s">
        <v>41</v>
      </c>
      <c r="G7" s="8" t="s">
        <v>73</v>
      </c>
      <c r="H7" s="8" t="s">
        <v>445</v>
      </c>
      <c r="I7" s="8" t="s">
        <v>441</v>
      </c>
      <c r="J7" s="8" t="s">
        <v>451</v>
      </c>
      <c r="K7" s="9">
        <v>1</v>
      </c>
      <c r="L7" s="8" t="s">
        <v>37</v>
      </c>
      <c r="M7" s="8" t="s">
        <v>452</v>
      </c>
      <c r="N7" s="9">
        <v>1</v>
      </c>
      <c r="O7" s="9"/>
      <c r="P7" s="9">
        <v>33</v>
      </c>
      <c r="Q7" s="9"/>
      <c r="R7" s="9">
        <v>22</v>
      </c>
      <c r="S7" s="41">
        <f t="shared" si="1"/>
        <v>0.72599999999999998</v>
      </c>
      <c r="T7" s="8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x14ac:dyDescent="0.25">
      <c r="A8" s="8" t="s">
        <v>455</v>
      </c>
      <c r="B8" s="8" t="s">
        <v>25</v>
      </c>
      <c r="C8" s="8" t="s">
        <v>26</v>
      </c>
      <c r="D8" s="8" t="s">
        <v>27</v>
      </c>
      <c r="E8" s="8" t="s">
        <v>40</v>
      </c>
      <c r="F8" s="8" t="s">
        <v>41</v>
      </c>
      <c r="G8" s="8" t="s">
        <v>73</v>
      </c>
      <c r="H8" s="8" t="s">
        <v>456</v>
      </c>
      <c r="I8" s="8" t="s">
        <v>441</v>
      </c>
      <c r="J8" s="8" t="s">
        <v>451</v>
      </c>
      <c r="K8" s="9">
        <v>1</v>
      </c>
      <c r="L8" s="8" t="s">
        <v>37</v>
      </c>
      <c r="M8" s="8" t="s">
        <v>452</v>
      </c>
      <c r="N8" s="9">
        <v>1</v>
      </c>
      <c r="O8" s="9"/>
      <c r="P8" s="9">
        <v>33</v>
      </c>
      <c r="Q8" s="9"/>
      <c r="R8" s="9">
        <v>22</v>
      </c>
      <c r="S8" s="41">
        <f t="shared" si="1"/>
        <v>0.72599999999999998</v>
      </c>
      <c r="T8" s="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x14ac:dyDescent="0.25">
      <c r="A9" s="8" t="s">
        <v>457</v>
      </c>
      <c r="B9" s="8" t="s">
        <v>89</v>
      </c>
      <c r="C9" s="8" t="s">
        <v>26</v>
      </c>
      <c r="D9" s="8" t="s">
        <v>27</v>
      </c>
      <c r="E9" s="8" t="s">
        <v>93</v>
      </c>
      <c r="F9" s="8" t="s">
        <v>94</v>
      </c>
      <c r="G9" s="8" t="s">
        <v>73</v>
      </c>
      <c r="H9" s="8" t="s">
        <v>447</v>
      </c>
      <c r="I9" s="8" t="s">
        <v>441</v>
      </c>
      <c r="J9" s="8" t="s">
        <v>451</v>
      </c>
      <c r="K9" s="9">
        <v>1</v>
      </c>
      <c r="L9" s="8" t="s">
        <v>37</v>
      </c>
      <c r="M9" s="8" t="s">
        <v>452</v>
      </c>
      <c r="N9" s="9">
        <v>1</v>
      </c>
      <c r="O9" s="9"/>
      <c r="P9" s="9">
        <v>33</v>
      </c>
      <c r="Q9" s="9"/>
      <c r="R9" s="9">
        <v>22</v>
      </c>
      <c r="S9" s="41">
        <f t="shared" si="1"/>
        <v>0.72599999999999998</v>
      </c>
      <c r="T9" s="8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x14ac:dyDescent="0.25">
      <c r="A10" s="8" t="s">
        <v>458</v>
      </c>
      <c r="B10" s="8" t="s">
        <v>25</v>
      </c>
      <c r="C10" s="8" t="s">
        <v>26</v>
      </c>
      <c r="D10" s="8" t="s">
        <v>27</v>
      </c>
      <c r="E10" s="12" t="s">
        <v>40</v>
      </c>
      <c r="F10" s="12" t="s">
        <v>41</v>
      </c>
      <c r="G10" s="12" t="s">
        <v>42</v>
      </c>
      <c r="H10" s="12" t="s">
        <v>143</v>
      </c>
      <c r="I10" s="8" t="s">
        <v>459</v>
      </c>
      <c r="J10" s="8" t="s">
        <v>451</v>
      </c>
      <c r="K10" s="9">
        <v>2</v>
      </c>
      <c r="L10" s="8" t="s">
        <v>37</v>
      </c>
      <c r="M10" s="8" t="s">
        <v>452</v>
      </c>
      <c r="N10" s="9">
        <v>1</v>
      </c>
      <c r="O10" s="9"/>
      <c r="P10" s="9">
        <v>33</v>
      </c>
      <c r="Q10" s="9"/>
      <c r="R10" s="9">
        <v>22</v>
      </c>
      <c r="S10" s="41">
        <f t="shared" si="1"/>
        <v>1.452</v>
      </c>
      <c r="T10" s="8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x14ac:dyDescent="0.25">
      <c r="A11" s="8" t="s">
        <v>455</v>
      </c>
      <c r="B11" s="8" t="s">
        <v>25</v>
      </c>
      <c r="C11" s="8" t="s">
        <v>26</v>
      </c>
      <c r="D11" s="8" t="s">
        <v>27</v>
      </c>
      <c r="E11" s="8" t="s">
        <v>28</v>
      </c>
      <c r="F11" s="8" t="s">
        <v>29</v>
      </c>
      <c r="G11" s="8" t="s">
        <v>73</v>
      </c>
      <c r="H11" s="8" t="s">
        <v>440</v>
      </c>
      <c r="I11" s="8" t="s">
        <v>441</v>
      </c>
      <c r="J11" s="8" t="s">
        <v>451</v>
      </c>
      <c r="K11" s="9">
        <v>1</v>
      </c>
      <c r="L11" s="8" t="s">
        <v>37</v>
      </c>
      <c r="M11" s="8" t="s">
        <v>452</v>
      </c>
      <c r="N11" s="9">
        <v>1</v>
      </c>
      <c r="O11" s="9"/>
      <c r="P11" s="9">
        <v>33</v>
      </c>
      <c r="Q11" s="9"/>
      <c r="R11" s="9">
        <v>22</v>
      </c>
      <c r="S11" s="41">
        <f t="shared" si="1"/>
        <v>0.72599999999999998</v>
      </c>
      <c r="T11" s="8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x14ac:dyDescent="0.25">
      <c r="A12" s="8" t="s">
        <v>455</v>
      </c>
      <c r="B12" s="8" t="s">
        <v>25</v>
      </c>
      <c r="C12" s="8" t="s">
        <v>26</v>
      </c>
      <c r="D12" s="8" t="s">
        <v>27</v>
      </c>
      <c r="E12" s="8" t="s">
        <v>28</v>
      </c>
      <c r="F12" s="8" t="s">
        <v>29</v>
      </c>
      <c r="G12" s="8" t="s">
        <v>73</v>
      </c>
      <c r="H12" s="8" t="s">
        <v>460</v>
      </c>
      <c r="I12" s="8" t="s">
        <v>441</v>
      </c>
      <c r="J12" s="8" t="s">
        <v>451</v>
      </c>
      <c r="K12" s="9">
        <v>1</v>
      </c>
      <c r="L12" s="8" t="s">
        <v>37</v>
      </c>
      <c r="M12" s="8" t="s">
        <v>452</v>
      </c>
      <c r="N12" s="9">
        <v>1</v>
      </c>
      <c r="O12" s="9"/>
      <c r="P12" s="9">
        <v>33</v>
      </c>
      <c r="Q12" s="9"/>
      <c r="R12" s="9">
        <v>22</v>
      </c>
      <c r="S12" s="41">
        <f t="shared" si="1"/>
        <v>0.72599999999999998</v>
      </c>
      <c r="T12" s="8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x14ac:dyDescent="0.25">
      <c r="A13" s="8" t="s">
        <v>461</v>
      </c>
      <c r="B13" s="8" t="s">
        <v>25</v>
      </c>
      <c r="C13" s="8" t="s">
        <v>26</v>
      </c>
      <c r="D13" s="8" t="s">
        <v>27</v>
      </c>
      <c r="E13" s="8" t="s">
        <v>40</v>
      </c>
      <c r="F13" s="8" t="s">
        <v>41</v>
      </c>
      <c r="G13" s="8" t="s">
        <v>42</v>
      </c>
      <c r="H13" s="8" t="s">
        <v>165</v>
      </c>
      <c r="I13" s="8" t="s">
        <v>462</v>
      </c>
      <c r="J13" s="8" t="s">
        <v>462</v>
      </c>
      <c r="K13" s="9">
        <v>2</v>
      </c>
      <c r="L13" s="8" t="s">
        <v>37</v>
      </c>
      <c r="M13" s="38" t="s">
        <v>443</v>
      </c>
      <c r="N13" s="38"/>
      <c r="O13" s="26">
        <v>8</v>
      </c>
      <c r="P13" s="26"/>
      <c r="Q13" s="26">
        <v>10</v>
      </c>
      <c r="R13" s="9">
        <v>15</v>
      </c>
      <c r="S13" s="41">
        <f t="shared" ref="S13:S19" si="2">(K13*O13*Q13*R13)/1000</f>
        <v>2.4</v>
      </c>
      <c r="T13" s="8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x14ac:dyDescent="0.25">
      <c r="A14" s="8" t="s">
        <v>463</v>
      </c>
      <c r="B14" s="8" t="s">
        <v>130</v>
      </c>
      <c r="C14" s="8" t="s">
        <v>26</v>
      </c>
      <c r="D14" s="8" t="s">
        <v>27</v>
      </c>
      <c r="E14" s="8" t="s">
        <v>464</v>
      </c>
      <c r="F14" s="8" t="s">
        <v>50</v>
      </c>
      <c r="G14" s="8" t="s">
        <v>42</v>
      </c>
      <c r="H14" s="8" t="s">
        <v>122</v>
      </c>
      <c r="I14" s="8" t="s">
        <v>465</v>
      </c>
      <c r="J14" s="8" t="s">
        <v>462</v>
      </c>
      <c r="K14" s="9">
        <v>5</v>
      </c>
      <c r="L14" s="8" t="s">
        <v>37</v>
      </c>
      <c r="M14" s="38" t="s">
        <v>443</v>
      </c>
      <c r="N14" s="38"/>
      <c r="O14" s="26">
        <v>8</v>
      </c>
      <c r="P14" s="26"/>
      <c r="Q14" s="26">
        <v>30</v>
      </c>
      <c r="R14" s="9">
        <v>15</v>
      </c>
      <c r="S14" s="41">
        <f t="shared" si="2"/>
        <v>18</v>
      </c>
      <c r="T14" s="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x14ac:dyDescent="0.25">
      <c r="A15" s="8" t="s">
        <v>312</v>
      </c>
      <c r="B15" s="8" t="s">
        <v>25</v>
      </c>
      <c r="C15" s="8" t="s">
        <v>26</v>
      </c>
      <c r="D15" s="8" t="s">
        <v>27</v>
      </c>
      <c r="E15" s="12" t="s">
        <v>40</v>
      </c>
      <c r="F15" s="12" t="s">
        <v>41</v>
      </c>
      <c r="G15" s="12" t="s">
        <v>42</v>
      </c>
      <c r="H15" s="12" t="s">
        <v>43</v>
      </c>
      <c r="I15" s="8" t="s">
        <v>465</v>
      </c>
      <c r="J15" s="8" t="s">
        <v>462</v>
      </c>
      <c r="K15" s="26">
        <v>4</v>
      </c>
      <c r="L15" s="8" t="s">
        <v>37</v>
      </c>
      <c r="M15" s="8" t="s">
        <v>443</v>
      </c>
      <c r="N15" s="8"/>
      <c r="O15" s="26">
        <v>8</v>
      </c>
      <c r="P15" s="26"/>
      <c r="Q15" s="26">
        <v>30</v>
      </c>
      <c r="R15" s="9">
        <v>15</v>
      </c>
      <c r="S15" s="41">
        <f t="shared" si="2"/>
        <v>14.4</v>
      </c>
      <c r="T15" s="8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x14ac:dyDescent="0.25">
      <c r="A16" s="8" t="s">
        <v>466</v>
      </c>
      <c r="B16" s="8" t="s">
        <v>25</v>
      </c>
      <c r="C16" s="8" t="s">
        <v>26</v>
      </c>
      <c r="D16" s="8" t="s">
        <v>27</v>
      </c>
      <c r="E16" s="12" t="s">
        <v>40</v>
      </c>
      <c r="F16" s="12" t="s">
        <v>41</v>
      </c>
      <c r="G16" s="12" t="s">
        <v>42</v>
      </c>
      <c r="H16" s="12" t="s">
        <v>467</v>
      </c>
      <c r="I16" s="8" t="s">
        <v>465</v>
      </c>
      <c r="J16" s="8" t="s">
        <v>462</v>
      </c>
      <c r="K16" s="26">
        <v>1</v>
      </c>
      <c r="L16" s="8" t="s">
        <v>37</v>
      </c>
      <c r="M16" s="8" t="s">
        <v>443</v>
      </c>
      <c r="N16" s="8"/>
      <c r="O16" s="26">
        <v>8</v>
      </c>
      <c r="P16" s="26"/>
      <c r="Q16" s="26">
        <v>30</v>
      </c>
      <c r="R16" s="9">
        <v>15</v>
      </c>
      <c r="S16" s="41">
        <f t="shared" si="2"/>
        <v>3.6</v>
      </c>
      <c r="T16" s="8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x14ac:dyDescent="0.25">
      <c r="A17" s="8" t="s">
        <v>468</v>
      </c>
      <c r="B17" s="8" t="s">
        <v>25</v>
      </c>
      <c r="C17" s="8" t="s">
        <v>26</v>
      </c>
      <c r="D17" s="8" t="s">
        <v>27</v>
      </c>
      <c r="E17" s="12" t="s">
        <v>40</v>
      </c>
      <c r="F17" s="12" t="s">
        <v>41</v>
      </c>
      <c r="G17" s="12" t="s">
        <v>42</v>
      </c>
      <c r="H17" s="12" t="s">
        <v>467</v>
      </c>
      <c r="I17" s="8" t="s">
        <v>465</v>
      </c>
      <c r="J17" s="8" t="s">
        <v>462</v>
      </c>
      <c r="K17" s="26">
        <v>2</v>
      </c>
      <c r="L17" s="8" t="s">
        <v>37</v>
      </c>
      <c r="M17" s="8" t="s">
        <v>443</v>
      </c>
      <c r="N17" s="8"/>
      <c r="O17" s="26">
        <v>8</v>
      </c>
      <c r="P17" s="26"/>
      <c r="Q17" s="26">
        <v>30</v>
      </c>
      <c r="R17" s="9">
        <v>15</v>
      </c>
      <c r="S17" s="41">
        <f t="shared" si="2"/>
        <v>7.2</v>
      </c>
      <c r="T17" s="8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x14ac:dyDescent="0.25">
      <c r="A18" s="8" t="s">
        <v>469</v>
      </c>
      <c r="B18" s="8" t="s">
        <v>25</v>
      </c>
      <c r="C18" s="8" t="s">
        <v>26</v>
      </c>
      <c r="D18" s="8" t="s">
        <v>27</v>
      </c>
      <c r="E18" s="12" t="s">
        <v>40</v>
      </c>
      <c r="F18" s="12" t="s">
        <v>41</v>
      </c>
      <c r="G18" s="12" t="s">
        <v>42</v>
      </c>
      <c r="H18" s="12" t="s">
        <v>467</v>
      </c>
      <c r="I18" s="8" t="s">
        <v>465</v>
      </c>
      <c r="J18" s="8" t="s">
        <v>462</v>
      </c>
      <c r="K18" s="26">
        <v>1</v>
      </c>
      <c r="L18" s="8" t="s">
        <v>37</v>
      </c>
      <c r="M18" s="8" t="s">
        <v>443</v>
      </c>
      <c r="N18" s="8"/>
      <c r="O18" s="26">
        <v>8</v>
      </c>
      <c r="P18" s="26"/>
      <c r="Q18" s="26">
        <v>30</v>
      </c>
      <c r="R18" s="9">
        <v>15</v>
      </c>
      <c r="S18" s="41">
        <f t="shared" si="2"/>
        <v>3.6</v>
      </c>
      <c r="T18" s="8"/>
    </row>
    <row r="19" spans="1:77" x14ac:dyDescent="0.25">
      <c r="A19" s="8" t="s">
        <v>470</v>
      </c>
      <c r="B19" s="8" t="s">
        <v>25</v>
      </c>
      <c r="C19" s="8" t="s">
        <v>26</v>
      </c>
      <c r="D19" s="8" t="s">
        <v>27</v>
      </c>
      <c r="E19" s="12" t="s">
        <v>40</v>
      </c>
      <c r="F19" s="12" t="s">
        <v>41</v>
      </c>
      <c r="G19" s="12" t="s">
        <v>42</v>
      </c>
      <c r="H19" s="12" t="s">
        <v>143</v>
      </c>
      <c r="I19" s="8" t="s">
        <v>465</v>
      </c>
      <c r="J19" s="8" t="s">
        <v>462</v>
      </c>
      <c r="K19" s="9">
        <v>3</v>
      </c>
      <c r="L19" s="8" t="s">
        <v>37</v>
      </c>
      <c r="M19" s="8" t="s">
        <v>443</v>
      </c>
      <c r="N19" s="8"/>
      <c r="O19" s="26">
        <v>8</v>
      </c>
      <c r="P19" s="26"/>
      <c r="Q19" s="26">
        <v>30</v>
      </c>
      <c r="R19" s="9">
        <v>15</v>
      </c>
      <c r="S19" s="41">
        <f t="shared" si="2"/>
        <v>10.8</v>
      </c>
      <c r="T19" s="8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x14ac:dyDescent="0.25">
      <c r="A20" s="8" t="s">
        <v>471</v>
      </c>
      <c r="B20" s="8" t="s">
        <v>89</v>
      </c>
      <c r="C20" s="8" t="s">
        <v>26</v>
      </c>
      <c r="D20" s="8" t="s">
        <v>27</v>
      </c>
      <c r="E20" s="8" t="s">
        <v>49</v>
      </c>
      <c r="F20" s="8" t="s">
        <v>50</v>
      </c>
      <c r="G20" s="8" t="s">
        <v>73</v>
      </c>
      <c r="H20" s="8" t="s">
        <v>450</v>
      </c>
      <c r="I20" s="8" t="s">
        <v>441</v>
      </c>
      <c r="J20" s="8" t="s">
        <v>472</v>
      </c>
      <c r="K20" s="9">
        <v>1</v>
      </c>
      <c r="L20" s="8" t="s">
        <v>37</v>
      </c>
      <c r="M20" s="8" t="s">
        <v>452</v>
      </c>
      <c r="N20" s="9">
        <v>2.5</v>
      </c>
      <c r="O20" s="9"/>
      <c r="P20" s="9">
        <v>21</v>
      </c>
      <c r="Q20" s="9"/>
      <c r="R20" s="9">
        <v>22</v>
      </c>
      <c r="S20" s="41">
        <f t="shared" ref="S20:S29" si="3">(K20*N20*P20*R20)/1000</f>
        <v>1.155</v>
      </c>
      <c r="T20" s="8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x14ac:dyDescent="0.25">
      <c r="A21" s="8" t="s">
        <v>473</v>
      </c>
      <c r="B21" s="8" t="s">
        <v>25</v>
      </c>
      <c r="C21" s="8" t="s">
        <v>26</v>
      </c>
      <c r="D21" s="8" t="s">
        <v>27</v>
      </c>
      <c r="E21" s="8" t="s">
        <v>40</v>
      </c>
      <c r="F21" s="8" t="s">
        <v>41</v>
      </c>
      <c r="G21" s="8" t="s">
        <v>73</v>
      </c>
      <c r="H21" s="8" t="s">
        <v>440</v>
      </c>
      <c r="I21" s="8" t="s">
        <v>441</v>
      </c>
      <c r="J21" s="8" t="s">
        <v>472</v>
      </c>
      <c r="K21" s="9">
        <v>1</v>
      </c>
      <c r="L21" s="8" t="s">
        <v>37</v>
      </c>
      <c r="M21" s="8" t="s">
        <v>452</v>
      </c>
      <c r="N21" s="9">
        <v>2.5</v>
      </c>
      <c r="O21" s="9"/>
      <c r="P21" s="9">
        <v>21</v>
      </c>
      <c r="Q21" s="9"/>
      <c r="R21" s="9">
        <v>22</v>
      </c>
      <c r="S21" s="41">
        <f t="shared" si="3"/>
        <v>1.155</v>
      </c>
      <c r="T21" s="8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x14ac:dyDescent="0.25">
      <c r="A22" s="8" t="s">
        <v>473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73</v>
      </c>
      <c r="H22" s="8" t="s">
        <v>440</v>
      </c>
      <c r="I22" s="8" t="s">
        <v>441</v>
      </c>
      <c r="J22" s="8" t="s">
        <v>472</v>
      </c>
      <c r="K22" s="9">
        <v>1</v>
      </c>
      <c r="L22" s="8" t="s">
        <v>37</v>
      </c>
      <c r="M22" s="8" t="s">
        <v>452</v>
      </c>
      <c r="N22" s="9">
        <v>2.5</v>
      </c>
      <c r="O22" s="9"/>
      <c r="P22" s="9">
        <v>21</v>
      </c>
      <c r="Q22" s="9"/>
      <c r="R22" s="9">
        <v>22</v>
      </c>
      <c r="S22" s="41">
        <f t="shared" si="3"/>
        <v>1.155</v>
      </c>
      <c r="T22" s="8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x14ac:dyDescent="0.25">
      <c r="A23" s="8" t="s">
        <v>474</v>
      </c>
      <c r="B23" s="8" t="s">
        <v>89</v>
      </c>
      <c r="C23" s="8" t="s">
        <v>26</v>
      </c>
      <c r="D23" s="8" t="s">
        <v>27</v>
      </c>
      <c r="E23" s="8" t="s">
        <v>49</v>
      </c>
      <c r="F23" s="8" t="s">
        <v>50</v>
      </c>
      <c r="G23" s="8" t="s">
        <v>73</v>
      </c>
      <c r="H23" s="8" t="s">
        <v>450</v>
      </c>
      <c r="I23" s="8" t="s">
        <v>441</v>
      </c>
      <c r="J23" s="8" t="s">
        <v>475</v>
      </c>
      <c r="K23" s="9">
        <v>1</v>
      </c>
      <c r="L23" s="8" t="s">
        <v>37</v>
      </c>
      <c r="M23" s="8" t="s">
        <v>452</v>
      </c>
      <c r="N23" s="9">
        <v>4</v>
      </c>
      <c r="O23" s="9"/>
      <c r="P23" s="9">
        <v>32</v>
      </c>
      <c r="Q23" s="9"/>
      <c r="R23" s="9">
        <v>22</v>
      </c>
      <c r="S23" s="41">
        <f>(K23*N23*P23*R23)/1000</f>
        <v>2.8159999999999998</v>
      </c>
      <c r="T23" s="8"/>
      <c r="U23" s="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x14ac:dyDescent="0.25">
      <c r="A24" s="8" t="s">
        <v>476</v>
      </c>
      <c r="B24" s="8" t="s">
        <v>25</v>
      </c>
      <c r="C24" s="8" t="s">
        <v>26</v>
      </c>
      <c r="D24" s="8" t="s">
        <v>27</v>
      </c>
      <c r="E24" s="8" t="s">
        <v>40</v>
      </c>
      <c r="F24" s="8" t="s">
        <v>41</v>
      </c>
      <c r="G24" s="8" t="s">
        <v>73</v>
      </c>
      <c r="H24" s="8" t="s">
        <v>440</v>
      </c>
      <c r="I24" s="8" t="s">
        <v>441</v>
      </c>
      <c r="J24" s="8" t="s">
        <v>475</v>
      </c>
      <c r="K24" s="9">
        <v>1</v>
      </c>
      <c r="L24" s="8" t="s">
        <v>37</v>
      </c>
      <c r="M24" s="8" t="s">
        <v>452</v>
      </c>
      <c r="N24" s="9">
        <v>4</v>
      </c>
      <c r="O24" s="9"/>
      <c r="P24" s="9">
        <v>32</v>
      </c>
      <c r="Q24" s="9"/>
      <c r="R24" s="9">
        <v>22</v>
      </c>
      <c r="S24" s="41">
        <f t="shared" si="3"/>
        <v>2.8159999999999998</v>
      </c>
      <c r="T24" s="8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x14ac:dyDescent="0.25">
      <c r="A25" s="8" t="s">
        <v>477</v>
      </c>
      <c r="B25" s="8" t="s">
        <v>25</v>
      </c>
      <c r="C25" s="8" t="s">
        <v>26</v>
      </c>
      <c r="D25" s="8" t="s">
        <v>27</v>
      </c>
      <c r="E25" s="8" t="s">
        <v>40</v>
      </c>
      <c r="F25" s="8" t="s">
        <v>41</v>
      </c>
      <c r="G25" s="8" t="s">
        <v>73</v>
      </c>
      <c r="H25" s="8" t="s">
        <v>445</v>
      </c>
      <c r="I25" s="8" t="s">
        <v>441</v>
      </c>
      <c r="J25" s="8" t="s">
        <v>475</v>
      </c>
      <c r="K25" s="9">
        <v>1</v>
      </c>
      <c r="L25" s="8" t="s">
        <v>37</v>
      </c>
      <c r="M25" s="8" t="s">
        <v>452</v>
      </c>
      <c r="N25" s="9">
        <v>4</v>
      </c>
      <c r="O25" s="9"/>
      <c r="P25" s="9">
        <v>32</v>
      </c>
      <c r="Q25" s="9"/>
      <c r="R25" s="9">
        <v>22</v>
      </c>
      <c r="S25" s="41">
        <f t="shared" si="3"/>
        <v>2.8159999999999998</v>
      </c>
      <c r="T25" s="8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x14ac:dyDescent="0.25">
      <c r="A26" s="8" t="s">
        <v>478</v>
      </c>
      <c r="B26" s="8" t="s">
        <v>89</v>
      </c>
      <c r="C26" s="8" t="s">
        <v>26</v>
      </c>
      <c r="D26" s="8" t="s">
        <v>27</v>
      </c>
      <c r="E26" s="8" t="s">
        <v>93</v>
      </c>
      <c r="F26" s="8" t="s">
        <v>94</v>
      </c>
      <c r="G26" s="8" t="s">
        <v>73</v>
      </c>
      <c r="H26" s="8" t="s">
        <v>447</v>
      </c>
      <c r="I26" s="8" t="s">
        <v>441</v>
      </c>
      <c r="J26" s="8" t="s">
        <v>475</v>
      </c>
      <c r="K26" s="9">
        <v>1</v>
      </c>
      <c r="L26" s="8" t="s">
        <v>37</v>
      </c>
      <c r="M26" s="8" t="s">
        <v>479</v>
      </c>
      <c r="N26" s="9">
        <v>6</v>
      </c>
      <c r="O26" s="9"/>
      <c r="P26" s="9">
        <v>32</v>
      </c>
      <c r="Q26" s="9"/>
      <c r="R26" s="9">
        <v>22</v>
      </c>
      <c r="S26" s="41">
        <f t="shared" si="3"/>
        <v>4.2240000000000002</v>
      </c>
      <c r="T26" s="8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x14ac:dyDescent="0.25">
      <c r="A27" s="8" t="s">
        <v>476</v>
      </c>
      <c r="B27" s="8" t="s">
        <v>25</v>
      </c>
      <c r="C27" s="8" t="s">
        <v>26</v>
      </c>
      <c r="D27" s="8" t="s">
        <v>27</v>
      </c>
      <c r="E27" s="8" t="s">
        <v>28</v>
      </c>
      <c r="F27" s="8" t="s">
        <v>29</v>
      </c>
      <c r="G27" s="8" t="s">
        <v>73</v>
      </c>
      <c r="H27" s="8" t="s">
        <v>460</v>
      </c>
      <c r="I27" s="8" t="s">
        <v>441</v>
      </c>
      <c r="J27" s="8" t="s">
        <v>472</v>
      </c>
      <c r="K27" s="9">
        <v>1</v>
      </c>
      <c r="L27" s="8" t="s">
        <v>37</v>
      </c>
      <c r="M27" s="8" t="s">
        <v>452</v>
      </c>
      <c r="N27" s="9">
        <v>2.5</v>
      </c>
      <c r="O27" s="9"/>
      <c r="P27" s="9">
        <v>21</v>
      </c>
      <c r="Q27" s="9"/>
      <c r="R27" s="9">
        <v>22</v>
      </c>
      <c r="S27" s="41">
        <f t="shared" si="3"/>
        <v>1.155</v>
      </c>
      <c r="T27" s="8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x14ac:dyDescent="0.25">
      <c r="A28" s="8" t="s">
        <v>477</v>
      </c>
      <c r="B28" s="8" t="s">
        <v>25</v>
      </c>
      <c r="C28" s="8" t="s">
        <v>26</v>
      </c>
      <c r="D28" s="8" t="s">
        <v>27</v>
      </c>
      <c r="E28" s="8" t="s">
        <v>40</v>
      </c>
      <c r="F28" s="8" t="s">
        <v>41</v>
      </c>
      <c r="G28" s="8" t="s">
        <v>73</v>
      </c>
      <c r="H28" s="8" t="s">
        <v>460</v>
      </c>
      <c r="I28" s="8" t="s">
        <v>441</v>
      </c>
      <c r="J28" s="8" t="s">
        <v>472</v>
      </c>
      <c r="K28" s="9">
        <v>1</v>
      </c>
      <c r="L28" s="8" t="s">
        <v>37</v>
      </c>
      <c r="M28" s="8" t="s">
        <v>452</v>
      </c>
      <c r="N28" s="9">
        <v>2.5</v>
      </c>
      <c r="O28" s="8"/>
      <c r="P28" s="9">
        <v>21</v>
      </c>
      <c r="Q28" s="8"/>
      <c r="R28" s="9">
        <v>22</v>
      </c>
      <c r="S28" s="41">
        <f t="shared" si="3"/>
        <v>1.155</v>
      </c>
      <c r="T28" s="8"/>
    </row>
    <row r="29" spans="1:77" x14ac:dyDescent="0.25">
      <c r="A29" s="8" t="s">
        <v>477</v>
      </c>
      <c r="B29" s="8" t="s">
        <v>25</v>
      </c>
      <c r="C29" s="8" t="s">
        <v>26</v>
      </c>
      <c r="D29" s="8" t="s">
        <v>27</v>
      </c>
      <c r="E29" s="8" t="s">
        <v>40</v>
      </c>
      <c r="F29" s="8" t="s">
        <v>41</v>
      </c>
      <c r="G29" s="8" t="s">
        <v>73</v>
      </c>
      <c r="H29" s="8" t="s">
        <v>460</v>
      </c>
      <c r="I29" s="8" t="s">
        <v>441</v>
      </c>
      <c r="J29" s="8" t="s">
        <v>451</v>
      </c>
      <c r="K29" s="9">
        <v>1</v>
      </c>
      <c r="L29" s="8" t="s">
        <v>37</v>
      </c>
      <c r="M29" s="8" t="s">
        <v>452</v>
      </c>
      <c r="N29" s="9">
        <v>1</v>
      </c>
      <c r="O29" s="8"/>
      <c r="P29" s="9">
        <v>33</v>
      </c>
      <c r="Q29" s="8"/>
      <c r="R29" s="9">
        <v>22</v>
      </c>
      <c r="S29" s="41">
        <f t="shared" si="3"/>
        <v>0.72599999999999998</v>
      </c>
      <c r="T29" s="8"/>
    </row>
    <row r="30" spans="1:77" x14ac:dyDescent="0.25">
      <c r="A30" s="8" t="s">
        <v>477</v>
      </c>
      <c r="B30" s="8" t="s">
        <v>25</v>
      </c>
      <c r="C30" s="8" t="s">
        <v>26</v>
      </c>
      <c r="D30" s="8" t="s">
        <v>27</v>
      </c>
      <c r="E30" s="8" t="s">
        <v>40</v>
      </c>
      <c r="F30" s="8" t="s">
        <v>41</v>
      </c>
      <c r="G30" s="8" t="s">
        <v>73</v>
      </c>
      <c r="H30" s="8" t="s">
        <v>460</v>
      </c>
      <c r="I30" s="8" t="s">
        <v>441</v>
      </c>
      <c r="J30" s="8" t="s">
        <v>475</v>
      </c>
      <c r="K30" s="9">
        <v>1</v>
      </c>
      <c r="L30" s="8" t="s">
        <v>37</v>
      </c>
      <c r="M30" s="8" t="s">
        <v>452</v>
      </c>
      <c r="N30" s="9">
        <v>4</v>
      </c>
      <c r="O30" s="8"/>
      <c r="P30" s="9">
        <v>32</v>
      </c>
      <c r="Q30" s="8"/>
      <c r="R30" s="9">
        <v>22</v>
      </c>
      <c r="S30" s="41">
        <f t="shared" ref="S30:S33" si="4">(K30*N30*P30*R30)/1000</f>
        <v>2.8159999999999998</v>
      </c>
      <c r="T30" s="8"/>
    </row>
    <row r="31" spans="1:77" x14ac:dyDescent="0.25">
      <c r="A31" s="8" t="s">
        <v>477</v>
      </c>
      <c r="B31" s="8" t="s">
        <v>25</v>
      </c>
      <c r="C31" s="8" t="s">
        <v>26</v>
      </c>
      <c r="D31" s="8" t="s">
        <v>27</v>
      </c>
      <c r="E31" s="8" t="s">
        <v>40</v>
      </c>
      <c r="F31" s="8" t="s">
        <v>41</v>
      </c>
      <c r="G31" s="8" t="s">
        <v>73</v>
      </c>
      <c r="H31" s="8" t="s">
        <v>456</v>
      </c>
      <c r="I31" s="8" t="s">
        <v>441</v>
      </c>
      <c r="J31" s="8" t="s">
        <v>475</v>
      </c>
      <c r="K31" s="9">
        <v>1</v>
      </c>
      <c r="L31" s="8" t="s">
        <v>37</v>
      </c>
      <c r="M31" s="8" t="s">
        <v>452</v>
      </c>
      <c r="N31" s="9">
        <v>4</v>
      </c>
      <c r="O31" s="8"/>
      <c r="P31" s="9">
        <v>32</v>
      </c>
      <c r="Q31" s="8"/>
      <c r="R31" s="9">
        <v>22</v>
      </c>
      <c r="S31" s="41">
        <f t="shared" si="4"/>
        <v>2.8159999999999998</v>
      </c>
      <c r="T31" s="8"/>
    </row>
    <row r="32" spans="1:77" x14ac:dyDescent="0.25">
      <c r="A32" s="8" t="s">
        <v>476</v>
      </c>
      <c r="B32" s="8" t="s">
        <v>25</v>
      </c>
      <c r="C32" s="8" t="s">
        <v>26</v>
      </c>
      <c r="D32" s="8" t="s">
        <v>27</v>
      </c>
      <c r="E32" s="8" t="s">
        <v>28</v>
      </c>
      <c r="F32" s="8" t="s">
        <v>29</v>
      </c>
      <c r="G32" s="8" t="s">
        <v>73</v>
      </c>
      <c r="H32" s="8" t="s">
        <v>440</v>
      </c>
      <c r="I32" s="8" t="s">
        <v>441</v>
      </c>
      <c r="J32" s="8" t="s">
        <v>475</v>
      </c>
      <c r="K32" s="9">
        <v>1</v>
      </c>
      <c r="L32" s="8" t="s">
        <v>37</v>
      </c>
      <c r="M32" s="8" t="s">
        <v>452</v>
      </c>
      <c r="N32" s="9">
        <v>4</v>
      </c>
      <c r="O32" s="8"/>
      <c r="P32" s="9">
        <v>32</v>
      </c>
      <c r="Q32" s="8"/>
      <c r="R32" s="9">
        <v>22</v>
      </c>
      <c r="S32" s="41">
        <f t="shared" si="4"/>
        <v>2.8159999999999998</v>
      </c>
      <c r="T32" s="8"/>
    </row>
    <row r="33" spans="1:20" x14ac:dyDescent="0.25">
      <c r="A33" s="8" t="s">
        <v>476</v>
      </c>
      <c r="B33" s="8" t="s">
        <v>25</v>
      </c>
      <c r="C33" s="8" t="s">
        <v>26</v>
      </c>
      <c r="D33" s="8" t="s">
        <v>27</v>
      </c>
      <c r="E33" s="8" t="s">
        <v>28</v>
      </c>
      <c r="F33" s="8" t="s">
        <v>29</v>
      </c>
      <c r="G33" s="8" t="s">
        <v>73</v>
      </c>
      <c r="H33" s="8" t="s">
        <v>460</v>
      </c>
      <c r="I33" s="8" t="s">
        <v>441</v>
      </c>
      <c r="J33" s="8" t="s">
        <v>475</v>
      </c>
      <c r="K33" s="9">
        <v>1</v>
      </c>
      <c r="L33" s="8" t="s">
        <v>37</v>
      </c>
      <c r="M33" s="8" t="s">
        <v>452</v>
      </c>
      <c r="N33" s="9">
        <v>4</v>
      </c>
      <c r="O33" s="8"/>
      <c r="P33" s="9">
        <v>32</v>
      </c>
      <c r="Q33" s="8"/>
      <c r="R33" s="9">
        <v>22</v>
      </c>
      <c r="S33" s="41">
        <f t="shared" si="4"/>
        <v>2.8159999999999998</v>
      </c>
      <c r="T33" s="8"/>
    </row>
    <row r="34" spans="1:20" x14ac:dyDescent="0.25">
      <c r="A34" s="8" t="s">
        <v>476</v>
      </c>
      <c r="B34" s="8" t="s">
        <v>25</v>
      </c>
      <c r="C34" s="8" t="s">
        <v>26</v>
      </c>
      <c r="D34" s="8" t="s">
        <v>27</v>
      </c>
      <c r="E34" s="8" t="s">
        <v>28</v>
      </c>
      <c r="F34" s="8" t="s">
        <v>29</v>
      </c>
      <c r="G34" s="8" t="s">
        <v>73</v>
      </c>
      <c r="H34" s="8" t="s">
        <v>445</v>
      </c>
      <c r="I34" s="8" t="s">
        <v>441</v>
      </c>
      <c r="J34" s="8" t="s">
        <v>451</v>
      </c>
      <c r="K34" s="9">
        <v>1</v>
      </c>
      <c r="L34" s="8" t="s">
        <v>37</v>
      </c>
      <c r="M34" s="8" t="s">
        <v>452</v>
      </c>
      <c r="N34" s="9">
        <v>1</v>
      </c>
      <c r="O34" s="8"/>
      <c r="P34" s="9">
        <v>33</v>
      </c>
      <c r="Q34" s="8"/>
      <c r="R34" s="9">
        <v>22</v>
      </c>
      <c r="S34" s="41">
        <f t="shared" ref="S34:S37" si="5">(K34*N34*P34*R34)/1000</f>
        <v>0.72599999999999998</v>
      </c>
      <c r="T34" s="8"/>
    </row>
    <row r="35" spans="1:20" x14ac:dyDescent="0.25">
      <c r="A35" s="8" t="s">
        <v>476</v>
      </c>
      <c r="B35" s="8" t="s">
        <v>25</v>
      </c>
      <c r="C35" s="8" t="s">
        <v>26</v>
      </c>
      <c r="D35" s="8" t="s">
        <v>27</v>
      </c>
      <c r="E35" s="8" t="s">
        <v>28</v>
      </c>
      <c r="F35" s="8" t="s">
        <v>29</v>
      </c>
      <c r="G35" s="8" t="s">
        <v>73</v>
      </c>
      <c r="H35" s="8" t="s">
        <v>445</v>
      </c>
      <c r="I35" s="8" t="s">
        <v>441</v>
      </c>
      <c r="J35" s="8" t="s">
        <v>451</v>
      </c>
      <c r="K35" s="9">
        <v>1</v>
      </c>
      <c r="L35" s="8" t="s">
        <v>37</v>
      </c>
      <c r="M35" s="8" t="s">
        <v>452</v>
      </c>
      <c r="N35" s="9">
        <v>1</v>
      </c>
      <c r="O35" s="8"/>
      <c r="P35" s="9">
        <v>33</v>
      </c>
      <c r="Q35" s="8"/>
      <c r="R35" s="9">
        <v>22</v>
      </c>
      <c r="S35" s="41">
        <f t="shared" si="5"/>
        <v>0.72599999999999998</v>
      </c>
      <c r="T35" s="8"/>
    </row>
    <row r="36" spans="1:20" x14ac:dyDescent="0.25">
      <c r="A36" s="8" t="s">
        <v>476</v>
      </c>
      <c r="B36" s="8" t="s">
        <v>25</v>
      </c>
      <c r="C36" s="8" t="s">
        <v>26</v>
      </c>
      <c r="D36" s="8" t="s">
        <v>27</v>
      </c>
      <c r="E36" s="8" t="s">
        <v>28</v>
      </c>
      <c r="F36" s="8" t="s">
        <v>29</v>
      </c>
      <c r="G36" s="8" t="s">
        <v>73</v>
      </c>
      <c r="H36" s="8" t="s">
        <v>456</v>
      </c>
      <c r="I36" s="8" t="s">
        <v>441</v>
      </c>
      <c r="J36" s="8" t="s">
        <v>475</v>
      </c>
      <c r="K36" s="9">
        <v>1</v>
      </c>
      <c r="L36" s="8" t="s">
        <v>37</v>
      </c>
      <c r="M36" s="8" t="s">
        <v>452</v>
      </c>
      <c r="N36" s="9">
        <v>4</v>
      </c>
      <c r="O36" s="8"/>
      <c r="P36" s="9">
        <v>32</v>
      </c>
      <c r="Q36" s="8"/>
      <c r="R36" s="9">
        <v>22</v>
      </c>
      <c r="S36" s="41">
        <f t="shared" si="5"/>
        <v>2.8159999999999998</v>
      </c>
      <c r="T36" s="8"/>
    </row>
    <row r="37" spans="1:20" x14ac:dyDescent="0.25">
      <c r="A37" s="8" t="s">
        <v>476</v>
      </c>
      <c r="B37" s="8" t="s">
        <v>25</v>
      </c>
      <c r="C37" s="8" t="s">
        <v>26</v>
      </c>
      <c r="D37" s="8" t="s">
        <v>27</v>
      </c>
      <c r="E37" s="8" t="s">
        <v>28</v>
      </c>
      <c r="F37" s="8" t="s">
        <v>29</v>
      </c>
      <c r="G37" s="8" t="s">
        <v>73</v>
      </c>
      <c r="H37" s="8" t="s">
        <v>456</v>
      </c>
      <c r="I37" s="8" t="s">
        <v>441</v>
      </c>
      <c r="J37" s="8" t="s">
        <v>475</v>
      </c>
      <c r="K37" s="9">
        <v>1</v>
      </c>
      <c r="L37" s="8" t="s">
        <v>37</v>
      </c>
      <c r="M37" s="8" t="s">
        <v>452</v>
      </c>
      <c r="N37" s="9">
        <v>4</v>
      </c>
      <c r="O37" s="8"/>
      <c r="P37" s="9">
        <v>32</v>
      </c>
      <c r="Q37" s="8"/>
      <c r="R37" s="9">
        <v>22</v>
      </c>
      <c r="S37" s="41">
        <f t="shared" si="5"/>
        <v>2.8159999999999998</v>
      </c>
      <c r="T37" s="8"/>
    </row>
  </sheetData>
  <autoFilter ref="A1:T37" xr:uid="{00000000-0009-0000-0000-000005000000}">
    <sortState ref="A2:T27">
      <sortCondition ref="J1:J27"/>
    </sortState>
  </autoFilter>
  <phoneticPr fontId="18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zoomScale="78" zoomScaleNormal="78" workbookViewId="0">
      <selection activeCell="G13" sqref="G13"/>
    </sheetView>
  </sheetViews>
  <sheetFormatPr baseColWidth="10" defaultColWidth="11.42578125" defaultRowHeight="15" x14ac:dyDescent="0.25"/>
  <cols>
    <col min="1" max="1" width="12.42578125" customWidth="1"/>
    <col min="2" max="2" width="19.42578125" customWidth="1"/>
    <col min="4" max="4" width="16.85546875" customWidth="1"/>
  </cols>
  <sheetData>
    <row r="1" spans="1:3" x14ac:dyDescent="0.25">
      <c r="A1" s="211" t="s">
        <v>480</v>
      </c>
      <c r="B1" s="211"/>
      <c r="C1" s="50">
        <v>270</v>
      </c>
    </row>
    <row r="2" spans="1:3" x14ac:dyDescent="0.25">
      <c r="A2" s="212" t="s">
        <v>481</v>
      </c>
      <c r="B2" s="212"/>
      <c r="C2" s="39">
        <v>13</v>
      </c>
    </row>
    <row r="3" spans="1:3" x14ac:dyDescent="0.25">
      <c r="A3" s="207" t="s">
        <v>482</v>
      </c>
      <c r="B3" s="207"/>
      <c r="C3" s="36">
        <f>C1/C2</f>
        <v>20.76923076923077</v>
      </c>
    </row>
    <row r="4" spans="1:3" x14ac:dyDescent="0.25">
      <c r="A4" s="207" t="s">
        <v>483</v>
      </c>
      <c r="B4" s="207"/>
      <c r="C4" s="36">
        <f>C3*0.8</f>
        <v>16.615384615384617</v>
      </c>
    </row>
    <row r="5" spans="1:3" ht="15" customHeight="1" x14ac:dyDescent="0.25">
      <c r="A5" s="213" t="s">
        <v>484</v>
      </c>
      <c r="B5" s="214"/>
      <c r="C5" s="44">
        <f>C4*2</f>
        <v>33.230769230769234</v>
      </c>
    </row>
    <row r="6" spans="1:3" x14ac:dyDescent="0.25">
      <c r="A6" s="212" t="s">
        <v>485</v>
      </c>
      <c r="B6" s="212"/>
      <c r="C6" s="8">
        <v>5</v>
      </c>
    </row>
    <row r="7" spans="1:3" x14ac:dyDescent="0.25">
      <c r="A7" s="207" t="s">
        <v>482</v>
      </c>
      <c r="B7" s="207"/>
      <c r="C7" s="8">
        <f>(C1/C6)/2</f>
        <v>27</v>
      </c>
    </row>
    <row r="8" spans="1:3" x14ac:dyDescent="0.25">
      <c r="A8" s="207" t="s">
        <v>483</v>
      </c>
      <c r="B8" s="207"/>
      <c r="C8" s="8">
        <f>C7*0.8</f>
        <v>21.6</v>
      </c>
    </row>
    <row r="9" spans="1:3" x14ac:dyDescent="0.25">
      <c r="A9" s="213" t="s">
        <v>484</v>
      </c>
      <c r="B9" s="214"/>
      <c r="C9" s="44">
        <f>C8</f>
        <v>21.6</v>
      </c>
    </row>
    <row r="10" spans="1:3" x14ac:dyDescent="0.25">
      <c r="A10" s="212" t="s">
        <v>486</v>
      </c>
      <c r="B10" s="212"/>
      <c r="C10" s="8">
        <v>10</v>
      </c>
    </row>
    <row r="11" spans="1:3" x14ac:dyDescent="0.25">
      <c r="A11" s="207" t="s">
        <v>487</v>
      </c>
      <c r="B11" s="207"/>
      <c r="C11" s="8">
        <f>C1/C10</f>
        <v>27</v>
      </c>
    </row>
    <row r="12" spans="1:3" x14ac:dyDescent="0.25">
      <c r="A12" s="207" t="s">
        <v>483</v>
      </c>
      <c r="B12" s="207"/>
      <c r="C12" s="8">
        <f>C11*0.8</f>
        <v>21.6</v>
      </c>
    </row>
    <row r="13" spans="1:3" x14ac:dyDescent="0.25">
      <c r="A13" s="213" t="s">
        <v>488</v>
      </c>
      <c r="B13" s="214"/>
      <c r="C13" s="44">
        <f>C12*1.5</f>
        <v>32.400000000000006</v>
      </c>
    </row>
    <row r="14" spans="1:3" x14ac:dyDescent="0.25">
      <c r="A14" s="210"/>
      <c r="B14" s="210"/>
    </row>
    <row r="16" spans="1:3" x14ac:dyDescent="0.25">
      <c r="A16" s="208"/>
      <c r="B16" s="208"/>
    </row>
    <row r="17" spans="1:4" ht="49.5" customHeight="1" x14ac:dyDescent="0.25">
      <c r="A17" s="209" t="s">
        <v>489</v>
      </c>
      <c r="B17" s="209"/>
      <c r="C17" s="91" t="s">
        <v>15</v>
      </c>
      <c r="D17" s="91" t="s">
        <v>490</v>
      </c>
    </row>
    <row r="18" spans="1:4" x14ac:dyDescent="0.25">
      <c r="A18" s="207" t="s">
        <v>491</v>
      </c>
      <c r="B18" s="207"/>
      <c r="C18" s="9">
        <v>13</v>
      </c>
      <c r="D18" s="8">
        <v>9.4</v>
      </c>
    </row>
    <row r="19" spans="1:4" x14ac:dyDescent="0.25">
      <c r="A19" s="207" t="s">
        <v>492</v>
      </c>
      <c r="B19" s="207"/>
      <c r="C19" s="9">
        <v>5</v>
      </c>
      <c r="D19" s="8">
        <v>5.8</v>
      </c>
    </row>
    <row r="20" spans="1:4" x14ac:dyDescent="0.25">
      <c r="A20" s="207" t="s">
        <v>493</v>
      </c>
      <c r="B20" s="207"/>
      <c r="C20" s="9">
        <v>10</v>
      </c>
      <c r="D20" s="8">
        <v>29.6</v>
      </c>
    </row>
    <row r="21" spans="1:4" x14ac:dyDescent="0.25">
      <c r="A21" s="207" t="s">
        <v>494</v>
      </c>
      <c r="B21" s="207"/>
      <c r="C21" s="9">
        <v>4</v>
      </c>
      <c r="D21" s="8">
        <v>52.8</v>
      </c>
    </row>
    <row r="22" spans="1:4" x14ac:dyDescent="0.25">
      <c r="A22" s="207" t="s">
        <v>465</v>
      </c>
      <c r="B22" s="207"/>
      <c r="C22" s="9">
        <v>60</v>
      </c>
      <c r="D22" s="8">
        <v>9.4</v>
      </c>
    </row>
  </sheetData>
  <mergeCells count="21">
    <mergeCell ref="A14:B14"/>
    <mergeCell ref="A1:B1"/>
    <mergeCell ref="A2:B2"/>
    <mergeCell ref="A5:B5"/>
    <mergeCell ref="A6:B6"/>
    <mergeCell ref="A4:B4"/>
    <mergeCell ref="A3:B3"/>
    <mergeCell ref="A13:B13"/>
    <mergeCell ref="A7:B7"/>
    <mergeCell ref="A8:B8"/>
    <mergeCell ref="A9:B9"/>
    <mergeCell ref="A10:B10"/>
    <mergeCell ref="A11:B11"/>
    <mergeCell ref="A12:B12"/>
    <mergeCell ref="A21:B21"/>
    <mergeCell ref="A22:B22"/>
    <mergeCell ref="A16:B16"/>
    <mergeCell ref="A17:B17"/>
    <mergeCell ref="A18:B18"/>
    <mergeCell ref="A19:B19"/>
    <mergeCell ref="A20:B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opLeftCell="D1" zoomScale="78" zoomScaleNormal="78" workbookViewId="0">
      <selection activeCell="E12" sqref="E12"/>
    </sheetView>
  </sheetViews>
  <sheetFormatPr baseColWidth="10" defaultColWidth="11.42578125" defaultRowHeight="15" x14ac:dyDescent="0.25"/>
  <cols>
    <col min="1" max="1" width="27.85546875" customWidth="1"/>
    <col min="2" max="2" width="20.5703125" customWidth="1"/>
    <col min="3" max="3" width="21.28515625" customWidth="1"/>
    <col min="4" max="6" width="18.85546875" customWidth="1"/>
    <col min="7" max="7" width="13" bestFit="1" customWidth="1"/>
    <col min="8" max="8" width="13" customWidth="1"/>
    <col min="9" max="9" width="14.7109375" customWidth="1"/>
  </cols>
  <sheetData>
    <row r="1" spans="1:9" ht="63.75" customHeight="1" x14ac:dyDescent="0.25">
      <c r="A1" s="45" t="s">
        <v>495</v>
      </c>
      <c r="B1" s="48" t="s">
        <v>496</v>
      </c>
      <c r="C1" s="48" t="s">
        <v>497</v>
      </c>
      <c r="D1" s="48" t="s">
        <v>498</v>
      </c>
      <c r="E1" s="48" t="s">
        <v>499</v>
      </c>
      <c r="F1" s="48" t="s">
        <v>500</v>
      </c>
      <c r="G1" s="48" t="s">
        <v>501</v>
      </c>
      <c r="H1" s="48" t="s">
        <v>502</v>
      </c>
      <c r="I1" s="48" t="s">
        <v>503</v>
      </c>
    </row>
    <row r="2" spans="1:9" x14ac:dyDescent="0.25">
      <c r="A2" s="8" t="s">
        <v>442</v>
      </c>
      <c r="B2" s="20">
        <v>52.8</v>
      </c>
      <c r="C2" s="41">
        <f>(B2*100)/B$8</f>
        <v>28.14498933901919</v>
      </c>
      <c r="D2" s="41">
        <f t="shared" ref="D2:D7" si="0">B$9*C2/100</f>
        <v>18.857142857142858</v>
      </c>
      <c r="E2" s="41">
        <f>D2*12</f>
        <v>226.28571428571428</v>
      </c>
      <c r="F2" s="41">
        <f>E2*0.3</f>
        <v>67.885714285714286</v>
      </c>
      <c r="G2" s="51">
        <f>D2*2933</f>
        <v>55308</v>
      </c>
      <c r="H2" s="51">
        <f>G2*12</f>
        <v>663696</v>
      </c>
      <c r="I2" s="52">
        <f t="shared" ref="I2:I8" si="1">(G2*0.3)*12</f>
        <v>199108.8</v>
      </c>
    </row>
    <row r="3" spans="1:9" x14ac:dyDescent="0.25">
      <c r="A3" s="8" t="s">
        <v>451</v>
      </c>
      <c r="B3" s="20">
        <v>9.4</v>
      </c>
      <c r="C3" s="41">
        <f t="shared" ref="C3:C7" si="2">(B3*100)/B$8</f>
        <v>5.0106609808102345</v>
      </c>
      <c r="D3" s="41">
        <f t="shared" si="0"/>
        <v>3.3571428571428572</v>
      </c>
      <c r="E3" s="41">
        <f t="shared" ref="E3:E8" si="3">D3*12</f>
        <v>40.285714285714285</v>
      </c>
      <c r="F3" s="41">
        <f t="shared" ref="F3:F8" si="4">E3*0.3</f>
        <v>12.085714285714285</v>
      </c>
      <c r="G3" s="51">
        <f t="shared" ref="G3:G7" si="5">D3*2933</f>
        <v>9846.5</v>
      </c>
      <c r="H3" s="51">
        <f t="shared" ref="H3:H8" si="6">G3*12</f>
        <v>118158</v>
      </c>
      <c r="I3" s="52">
        <f t="shared" si="1"/>
        <v>35447.399999999994</v>
      </c>
    </row>
    <row r="4" spans="1:9" x14ac:dyDescent="0.25">
      <c r="A4" s="8" t="s">
        <v>462</v>
      </c>
      <c r="B4" s="20">
        <v>60</v>
      </c>
      <c r="C4" s="41">
        <f t="shared" si="2"/>
        <v>31.982942430703627</v>
      </c>
      <c r="D4" s="41">
        <f t="shared" si="0"/>
        <v>21.428571428571431</v>
      </c>
      <c r="E4" s="41">
        <f t="shared" si="3"/>
        <v>257.14285714285717</v>
      </c>
      <c r="F4" s="41">
        <f t="shared" si="4"/>
        <v>77.142857142857153</v>
      </c>
      <c r="G4" s="51">
        <f t="shared" si="5"/>
        <v>62850.000000000007</v>
      </c>
      <c r="H4" s="51">
        <f t="shared" si="6"/>
        <v>754200.00000000012</v>
      </c>
      <c r="I4" s="52">
        <f t="shared" si="1"/>
        <v>226260</v>
      </c>
    </row>
    <row r="5" spans="1:9" x14ac:dyDescent="0.25">
      <c r="A5" s="8" t="s">
        <v>472</v>
      </c>
      <c r="B5" s="20">
        <v>5.8</v>
      </c>
      <c r="C5" s="41">
        <f t="shared" si="2"/>
        <v>3.091684434968017</v>
      </c>
      <c r="D5" s="41">
        <f t="shared" si="0"/>
        <v>2.0714285714285712</v>
      </c>
      <c r="E5" s="41">
        <f t="shared" si="3"/>
        <v>24.857142857142854</v>
      </c>
      <c r="F5" s="41">
        <f t="shared" si="4"/>
        <v>7.4571428571428555</v>
      </c>
      <c r="G5" s="51">
        <f t="shared" si="5"/>
        <v>6075.4999999999991</v>
      </c>
      <c r="H5" s="51">
        <f t="shared" si="6"/>
        <v>72905.999999999985</v>
      </c>
      <c r="I5" s="52">
        <f t="shared" si="1"/>
        <v>21871.799999999996</v>
      </c>
    </row>
    <row r="6" spans="1:9" x14ac:dyDescent="0.25">
      <c r="A6" s="8" t="s">
        <v>475</v>
      </c>
      <c r="B6" s="20">
        <v>29.6</v>
      </c>
      <c r="C6" s="41">
        <f t="shared" si="2"/>
        <v>15.778251599147122</v>
      </c>
      <c r="D6" s="41">
        <f t="shared" si="0"/>
        <v>10.571428571428571</v>
      </c>
      <c r="E6" s="41">
        <f t="shared" si="3"/>
        <v>126.85714285714286</v>
      </c>
      <c r="F6" s="41">
        <f t="shared" si="4"/>
        <v>38.057142857142857</v>
      </c>
      <c r="G6" s="51">
        <f t="shared" si="5"/>
        <v>31006</v>
      </c>
      <c r="H6" s="51">
        <f t="shared" si="6"/>
        <v>372072</v>
      </c>
      <c r="I6" s="52">
        <f t="shared" si="1"/>
        <v>111621.59999999999</v>
      </c>
    </row>
    <row r="7" spans="1:9" x14ac:dyDescent="0.25">
      <c r="A7" s="8" t="s">
        <v>504</v>
      </c>
      <c r="B7" s="20">
        <v>30</v>
      </c>
      <c r="C7" s="41">
        <f t="shared" si="2"/>
        <v>15.991471215351813</v>
      </c>
      <c r="D7" s="41">
        <f t="shared" si="0"/>
        <v>10.714285714285715</v>
      </c>
      <c r="E7" s="41">
        <f t="shared" si="3"/>
        <v>128.57142857142858</v>
      </c>
      <c r="F7" s="41">
        <f t="shared" si="4"/>
        <v>38.571428571428577</v>
      </c>
      <c r="G7" s="51">
        <f t="shared" si="5"/>
        <v>31425.000000000004</v>
      </c>
      <c r="H7" s="51">
        <f t="shared" si="6"/>
        <v>377100.00000000006</v>
      </c>
      <c r="I7" s="52">
        <f t="shared" si="1"/>
        <v>113130</v>
      </c>
    </row>
    <row r="8" spans="1:9" x14ac:dyDescent="0.25">
      <c r="A8" s="39" t="s">
        <v>505</v>
      </c>
      <c r="B8" s="46">
        <f>SUM(B2:B7)</f>
        <v>187.6</v>
      </c>
      <c r="C8" s="46">
        <f>SUM(C2:C7)</f>
        <v>100</v>
      </c>
      <c r="D8" s="49">
        <f>SUM(D2:D7)</f>
        <v>67</v>
      </c>
      <c r="E8" s="41">
        <f t="shared" si="3"/>
        <v>804</v>
      </c>
      <c r="F8" s="41">
        <f t="shared" si="4"/>
        <v>241.2</v>
      </c>
      <c r="G8" s="51">
        <f>D8*2933</f>
        <v>196511</v>
      </c>
      <c r="H8" s="51">
        <f t="shared" si="6"/>
        <v>2358132</v>
      </c>
      <c r="I8" s="52">
        <f t="shared" si="1"/>
        <v>707439.6</v>
      </c>
    </row>
    <row r="9" spans="1:9" x14ac:dyDescent="0.25">
      <c r="A9" s="39" t="s">
        <v>506</v>
      </c>
      <c r="B9" s="43">
        <v>67</v>
      </c>
      <c r="C9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9"/>
  <sheetViews>
    <sheetView workbookViewId="0">
      <pane ySplit="1" topLeftCell="A2" activePane="bottomLeft" state="frozen"/>
      <selection pane="bottomLeft" activeCell="E10" sqref="E10"/>
    </sheetView>
  </sheetViews>
  <sheetFormatPr baseColWidth="10" defaultColWidth="11.42578125" defaultRowHeight="15" x14ac:dyDescent="0.25"/>
  <cols>
    <col min="1" max="1" width="26.85546875" bestFit="1" customWidth="1"/>
    <col min="2" max="2" width="33.5703125" bestFit="1" customWidth="1"/>
    <col min="3" max="3" width="8.85546875" customWidth="1"/>
    <col min="4" max="5" width="27.140625" customWidth="1"/>
    <col min="6" max="6" width="25.28515625" customWidth="1"/>
    <col min="7" max="7" width="25.85546875" bestFit="1" customWidth="1"/>
    <col min="8" max="8" width="23.7109375" bestFit="1" customWidth="1"/>
    <col min="9" max="9" width="17.85546875" customWidth="1"/>
    <col min="10" max="10" width="14.42578125" customWidth="1"/>
    <col min="11" max="11" width="25.5703125" style="4" customWidth="1"/>
    <col min="12" max="12" width="25.5703125" customWidth="1"/>
    <col min="13" max="13" width="10.7109375" customWidth="1"/>
    <col min="14" max="14" width="19" customWidth="1"/>
    <col min="15" max="15" width="19.85546875" customWidth="1"/>
    <col min="16" max="16" width="13" customWidth="1"/>
    <col min="17" max="17" width="24.140625" customWidth="1"/>
    <col min="18" max="18" width="19.5703125" customWidth="1"/>
    <col min="19" max="19" width="10.42578125" customWidth="1"/>
    <col min="20" max="20" width="29.85546875" customWidth="1"/>
    <col min="21" max="21" width="48.85546875" customWidth="1"/>
  </cols>
  <sheetData>
    <row r="1" spans="1:65" s="1" customFormat="1" ht="76.5" customHeight="1" x14ac:dyDescent="0.25">
      <c r="A1" s="96" t="s">
        <v>0</v>
      </c>
      <c r="B1" s="96" t="s">
        <v>507</v>
      </c>
      <c r="C1" s="96" t="s">
        <v>508</v>
      </c>
      <c r="D1" s="96" t="s">
        <v>509</v>
      </c>
      <c r="E1" s="101" t="s">
        <v>4</v>
      </c>
      <c r="F1" s="96" t="s">
        <v>510</v>
      </c>
      <c r="G1" s="96" t="s">
        <v>426</v>
      </c>
      <c r="H1" s="96" t="s">
        <v>427</v>
      </c>
      <c r="I1" s="96" t="s">
        <v>428</v>
      </c>
      <c r="J1" s="97" t="s">
        <v>429</v>
      </c>
      <c r="K1" s="53" t="s">
        <v>511</v>
      </c>
      <c r="L1" s="53" t="s">
        <v>512</v>
      </c>
      <c r="M1" s="102" t="s">
        <v>430</v>
      </c>
      <c r="N1" s="98" t="s">
        <v>16</v>
      </c>
      <c r="O1" s="99" t="s">
        <v>513</v>
      </c>
      <c r="P1" s="99" t="s">
        <v>514</v>
      </c>
      <c r="Q1" s="99" t="s">
        <v>515</v>
      </c>
      <c r="R1" s="99" t="s">
        <v>516</v>
      </c>
      <c r="S1" s="95" t="s">
        <v>517</v>
      </c>
      <c r="T1" s="100" t="s">
        <v>518</v>
      </c>
      <c r="U1" s="199" t="s">
        <v>519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</row>
    <row r="2" spans="1:65" s="7" customFormat="1" ht="16.5" customHeight="1" x14ac:dyDescent="0.25">
      <c r="A2" s="3" t="s">
        <v>138</v>
      </c>
      <c r="B2" s="3" t="s">
        <v>92</v>
      </c>
      <c r="C2" s="3" t="s">
        <v>26</v>
      </c>
      <c r="D2" s="3" t="s">
        <v>27</v>
      </c>
      <c r="E2" s="103" t="s">
        <v>49</v>
      </c>
      <c r="F2" s="3" t="s">
        <v>50</v>
      </c>
      <c r="G2" s="5" t="s">
        <v>520</v>
      </c>
      <c r="H2" s="3" t="s">
        <v>521</v>
      </c>
      <c r="I2" s="3" t="s">
        <v>522</v>
      </c>
      <c r="J2" s="104" t="s">
        <v>131</v>
      </c>
      <c r="K2" s="9" t="s">
        <v>139</v>
      </c>
      <c r="L2" s="9" t="s">
        <v>140</v>
      </c>
      <c r="M2" s="105">
        <v>1</v>
      </c>
      <c r="N2" s="6" t="s">
        <v>37</v>
      </c>
      <c r="O2" s="106">
        <v>1</v>
      </c>
      <c r="P2" s="107">
        <v>12</v>
      </c>
      <c r="Q2" s="92">
        <v>90000</v>
      </c>
      <c r="R2" s="93">
        <f>Q2 / 39683.2</f>
        <v>2.2679622611079755</v>
      </c>
      <c r="S2" s="94">
        <f>(R2*O2*P2)*M2</f>
        <v>27.215547133295708</v>
      </c>
      <c r="T2" s="94">
        <f>S2/3.6</f>
        <v>7.5598742036932522</v>
      </c>
      <c r="U2" s="200" t="s">
        <v>523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</row>
    <row r="3" spans="1:65" s="7" customFormat="1" x14ac:dyDescent="0.25">
      <c r="A3" s="5" t="s">
        <v>524</v>
      </c>
      <c r="B3" s="5" t="s">
        <v>25</v>
      </c>
      <c r="C3" s="5" t="s">
        <v>26</v>
      </c>
      <c r="D3" s="5" t="s">
        <v>27</v>
      </c>
      <c r="E3" s="5" t="s">
        <v>464</v>
      </c>
      <c r="F3" s="5" t="s">
        <v>525</v>
      </c>
      <c r="G3" s="5" t="s">
        <v>520</v>
      </c>
      <c r="H3" s="5" t="s">
        <v>122</v>
      </c>
      <c r="I3" s="5" t="s">
        <v>526</v>
      </c>
      <c r="J3" s="16" t="s">
        <v>527</v>
      </c>
      <c r="K3" s="18" t="s">
        <v>115</v>
      </c>
      <c r="L3" s="18"/>
      <c r="M3" s="17">
        <v>1</v>
      </c>
      <c r="N3" s="6" t="s">
        <v>37</v>
      </c>
      <c r="O3" s="6">
        <v>3</v>
      </c>
      <c r="P3" s="6">
        <v>12</v>
      </c>
      <c r="Q3" s="92">
        <v>39000</v>
      </c>
      <c r="R3" s="93">
        <f t="shared" ref="R3:R7" si="0">Q3 / 39683.2</f>
        <v>0.98278364648012262</v>
      </c>
      <c r="S3" s="94">
        <f t="shared" ref="S3:S7" si="1">(R3*O3*P3)*M3</f>
        <v>35.380211273284417</v>
      </c>
      <c r="T3" s="94">
        <f t="shared" ref="T3:T7" si="2">S3/3.6</f>
        <v>9.8278364648012264</v>
      </c>
      <c r="U3" s="201" t="s">
        <v>528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s="7" customFormat="1" x14ac:dyDescent="0.25">
      <c r="A4" s="12" t="s">
        <v>529</v>
      </c>
      <c r="B4" s="12" t="s">
        <v>25</v>
      </c>
      <c r="C4" s="12" t="s">
        <v>26</v>
      </c>
      <c r="D4" s="12" t="s">
        <v>27</v>
      </c>
      <c r="E4" s="12" t="s">
        <v>464</v>
      </c>
      <c r="F4" s="12" t="s">
        <v>525</v>
      </c>
      <c r="G4" s="5" t="s">
        <v>520</v>
      </c>
      <c r="H4" s="12" t="s">
        <v>122</v>
      </c>
      <c r="I4" s="5" t="s">
        <v>526</v>
      </c>
      <c r="J4" s="30" t="s">
        <v>527</v>
      </c>
      <c r="K4" s="18" t="s">
        <v>115</v>
      </c>
      <c r="L4" s="18"/>
      <c r="M4" s="32">
        <v>1</v>
      </c>
      <c r="N4" s="18" t="s">
        <v>530</v>
      </c>
      <c r="O4" s="18">
        <v>1</v>
      </c>
      <c r="P4" s="18">
        <v>4</v>
      </c>
      <c r="Q4" s="92">
        <v>14000</v>
      </c>
      <c r="R4" s="93">
        <f t="shared" si="0"/>
        <v>0.35279412950568506</v>
      </c>
      <c r="S4" s="94">
        <f t="shared" si="1"/>
        <v>1.4111765180227402</v>
      </c>
      <c r="T4" s="94">
        <f t="shared" si="2"/>
        <v>0.39199347722853894</v>
      </c>
      <c r="U4" s="30" t="s">
        <v>531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65" s="7" customFormat="1" x14ac:dyDescent="0.25">
      <c r="A5" s="12" t="s">
        <v>532</v>
      </c>
      <c r="B5" s="12" t="s">
        <v>130</v>
      </c>
      <c r="C5" s="12" t="s">
        <v>26</v>
      </c>
      <c r="D5" s="12" t="s">
        <v>27</v>
      </c>
      <c r="E5" s="12" t="s">
        <v>533</v>
      </c>
      <c r="F5" s="12" t="s">
        <v>41</v>
      </c>
      <c r="G5" s="5" t="s">
        <v>520</v>
      </c>
      <c r="H5" s="12" t="s">
        <v>143</v>
      </c>
      <c r="I5" s="5" t="s">
        <v>526</v>
      </c>
      <c r="J5" s="16" t="s">
        <v>534</v>
      </c>
      <c r="K5" s="18"/>
      <c r="L5" s="18"/>
      <c r="M5" s="31">
        <v>1</v>
      </c>
      <c r="N5" s="18" t="s">
        <v>37</v>
      </c>
      <c r="O5" s="18">
        <v>2</v>
      </c>
      <c r="P5" s="18">
        <v>4</v>
      </c>
      <c r="Q5" s="92">
        <f>60000*0.6</f>
        <v>36000</v>
      </c>
      <c r="R5" s="93">
        <f t="shared" si="0"/>
        <v>0.90718490444319011</v>
      </c>
      <c r="S5" s="94">
        <f t="shared" si="1"/>
        <v>7.2574792355455209</v>
      </c>
      <c r="T5" s="94">
        <f t="shared" si="2"/>
        <v>2.0159664543182001</v>
      </c>
      <c r="U5" s="30" t="s">
        <v>535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</row>
    <row r="6" spans="1:65" s="7" customFormat="1" x14ac:dyDescent="0.25">
      <c r="A6" s="5" t="s">
        <v>536</v>
      </c>
      <c r="B6" s="5" t="s">
        <v>25</v>
      </c>
      <c r="C6" s="5" t="s">
        <v>26</v>
      </c>
      <c r="D6" s="5" t="s">
        <v>27</v>
      </c>
      <c r="E6" s="12" t="s">
        <v>533</v>
      </c>
      <c r="F6" s="5" t="s">
        <v>41</v>
      </c>
      <c r="G6" s="5" t="s">
        <v>520</v>
      </c>
      <c r="H6" s="5" t="s">
        <v>143</v>
      </c>
      <c r="I6" s="5" t="s">
        <v>526</v>
      </c>
      <c r="J6" s="16" t="s">
        <v>527</v>
      </c>
      <c r="K6" s="18"/>
      <c r="L6" s="18"/>
      <c r="M6" s="17">
        <v>3</v>
      </c>
      <c r="N6" s="6" t="s">
        <v>37</v>
      </c>
      <c r="O6" s="6">
        <v>3</v>
      </c>
      <c r="P6" s="6">
        <v>12</v>
      </c>
      <c r="Q6" s="92">
        <v>39000</v>
      </c>
      <c r="R6" s="93">
        <f t="shared" si="0"/>
        <v>0.98278364648012262</v>
      </c>
      <c r="S6" s="94">
        <f t="shared" si="1"/>
        <v>106.14063381985325</v>
      </c>
      <c r="T6" s="94">
        <f t="shared" si="2"/>
        <v>29.483509394403679</v>
      </c>
      <c r="U6" s="201" t="s">
        <v>537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65" ht="13.5" customHeight="1" x14ac:dyDescent="0.25">
      <c r="A7" s="12" t="s">
        <v>538</v>
      </c>
      <c r="B7" s="12" t="s">
        <v>130</v>
      </c>
      <c r="C7" s="12" t="s">
        <v>26</v>
      </c>
      <c r="D7" s="12" t="s">
        <v>27</v>
      </c>
      <c r="E7" s="12" t="s">
        <v>533</v>
      </c>
      <c r="F7" s="12" t="s">
        <v>533</v>
      </c>
      <c r="G7" s="5" t="s">
        <v>520</v>
      </c>
      <c r="H7" s="12" t="s">
        <v>539</v>
      </c>
      <c r="I7" s="12" t="s">
        <v>526</v>
      </c>
      <c r="J7" s="30" t="s">
        <v>527</v>
      </c>
      <c r="K7" s="18"/>
      <c r="L7" s="18"/>
      <c r="M7" s="32">
        <v>2</v>
      </c>
      <c r="N7" s="6" t="s">
        <v>37</v>
      </c>
      <c r="O7" s="18">
        <v>4</v>
      </c>
      <c r="P7" s="18">
        <v>12</v>
      </c>
      <c r="Q7" s="92">
        <v>39000</v>
      </c>
      <c r="R7" s="93">
        <f t="shared" si="0"/>
        <v>0.98278364648012262</v>
      </c>
      <c r="S7" s="94">
        <f t="shared" si="1"/>
        <v>94.347230062091768</v>
      </c>
      <c r="T7" s="94">
        <f t="shared" si="2"/>
        <v>26.207563906136603</v>
      </c>
      <c r="U7" s="202"/>
      <c r="V7" s="4"/>
      <c r="W7" s="4"/>
      <c r="X7" s="33"/>
    </row>
    <row r="8" spans="1:65" ht="13.5" customHeight="1" x14ac:dyDescent="0.25"/>
    <row r="9" spans="1:65" hidden="1" x14ac:dyDescent="0.25"/>
  </sheetData>
  <phoneticPr fontId="18" type="noConversion"/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98476-8b69-4866-8117-46c6e449a1a2">
      <Terms xmlns="http://schemas.microsoft.com/office/infopath/2007/PartnerControls"/>
    </lcf76f155ced4ddcb4097134ff3c332f>
    <TaxCatchAll xmlns="dc91eb17-4a49-45c2-9db4-3b73ddc5dc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2798EF550174589B42244BBEC6C2A" ma:contentTypeVersion="14" ma:contentTypeDescription="Create a new document." ma:contentTypeScope="" ma:versionID="29e05806a0faf5e7f19cb015b2d32232">
  <xsd:schema xmlns:xsd="http://www.w3.org/2001/XMLSchema" xmlns:xs="http://www.w3.org/2001/XMLSchema" xmlns:p="http://schemas.microsoft.com/office/2006/metadata/properties" xmlns:ns2="f9498476-8b69-4866-8117-46c6e449a1a2" xmlns:ns3="dc91eb17-4a49-45c2-9db4-3b73ddc5dc9a" targetNamespace="http://schemas.microsoft.com/office/2006/metadata/properties" ma:root="true" ma:fieldsID="e32509cc1b7b4dbe73d394d083eaa20d" ns2:_="" ns3:_="">
    <xsd:import namespace="f9498476-8b69-4866-8117-46c6e449a1a2"/>
    <xsd:import namespace="dc91eb17-4a49-45c2-9db4-3b73ddc5d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98476-8b69-4866-8117-46c6e449a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1eb17-4a49-45c2-9db4-3b73ddc5dc9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cdb0038-9c7d-4c8b-b011-7e76bc5f6fbf}" ma:internalName="TaxCatchAll" ma:showField="CatchAllData" ma:web="dc91eb17-4a49-45c2-9db4-3b73ddc5d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BCFC21-4508-435C-AD47-0B54720359D3}">
  <ds:schemaRefs>
    <ds:schemaRef ds:uri="http://purl.org/dc/terms/"/>
    <ds:schemaRef ds:uri="http://purl.org/dc/dcmitype/"/>
    <ds:schemaRef ds:uri="dc91eb17-4a49-45c2-9db4-3b73ddc5dc9a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9498476-8b69-4866-8117-46c6e449a1a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9B08A22-2D56-421B-88BC-AB5FCA890C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498476-8b69-4866-8117-46c6e449a1a2"/>
    <ds:schemaRef ds:uri="dc91eb17-4a49-45c2-9db4-3b73ddc5d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4072E5-BE2E-4470-BDAB-282227E66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Inventario</vt:lpstr>
      <vt:lpstr>Categoria</vt:lpstr>
      <vt:lpstr>Ambintes</vt:lpstr>
      <vt:lpstr>Fac_Energia</vt:lpstr>
      <vt:lpstr>Fac_Agua</vt:lpstr>
      <vt:lpstr>Inv_Agua</vt:lpstr>
      <vt:lpstr>Analisi AGUA</vt:lpstr>
      <vt:lpstr>Graf_Agua</vt:lpstr>
      <vt:lpstr>GAS</vt:lpstr>
      <vt:lpstr>Graficas_Gas</vt:lpstr>
      <vt:lpstr>Generacion</vt:lpstr>
      <vt:lpstr>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Fernando Perez Villa</dc:creator>
  <cp:keywords/>
  <dc:description/>
  <cp:lastModifiedBy>SENA</cp:lastModifiedBy>
  <cp:revision/>
  <dcterms:created xsi:type="dcterms:W3CDTF">2023-09-12T22:16:10Z</dcterms:created>
  <dcterms:modified xsi:type="dcterms:W3CDTF">2025-05-22T21:43:38Z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2023-09-12T22:16:23Z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1cb154a4-3e04-4dc9-9b99-ffdd38467c00</vt:lpwstr>
  </property>
  <property fmtid="{D5CDD505-2E9C-101B-9397-08002B2CF9AE}" pid="8" name="MSIP_Label_1299739c-ad3d-4908-806e-4d91151a6e13_ContentBits">
    <vt:lpwstr>0</vt:lpwstr>
  </property>
  <property fmtid="{D5CDD505-2E9C-101B-9397-08002B2CF9AE}" pid="9" name="ContentTypeId">
    <vt:lpwstr>0x0101009132798EF550174589B42244BBEC6C2A</vt:lpwstr>
  </property>
  <property fmtid="{D5CDD505-2E9C-101B-9397-08002B2CF9AE}" pid="10" name="MediaServiceImageTags">
    <vt:lpwstr/>
  </property>
</Properties>
</file>