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bjcalderona_unal_edu_co/Documents/Universidad/Semestres/XII/APM/"/>
    </mc:Choice>
  </mc:AlternateContent>
  <xr:revisionPtr revIDLastSave="428" documentId="8_{A3CE6FCA-9124-460F-B8EA-EF1681F19725}" xr6:coauthVersionLast="47" xr6:coauthVersionMax="47" xr10:uidLastSave="{1DEA5897-C824-4F21-8974-A8D50A99EBCA}"/>
  <bookViews>
    <workbookView xWindow="-108" yWindow="-108" windowWidth="23256" windowHeight="12576" activeTab="2" xr2:uid="{EC22D598-7706-49E8-830A-DFC985CDC397}"/>
  </bookViews>
  <sheets>
    <sheet name="Automatizado" sheetId="1" r:id="rId1"/>
    <sheet name="KPI V2" sheetId="2" r:id="rId2"/>
    <sheet name="KPI Automatizado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 l="1"/>
  <c r="C10" i="2"/>
  <c r="C11" i="2"/>
  <c r="G5" i="2"/>
  <c r="C27" i="2"/>
  <c r="G17" i="2"/>
  <c r="G18" i="2"/>
  <c r="C28" i="2"/>
  <c r="C29" i="2"/>
  <c r="G36" i="2"/>
  <c r="O58" i="2"/>
  <c r="O57" i="2"/>
  <c r="O56" i="2"/>
  <c r="O55" i="2"/>
  <c r="C15" i="2"/>
  <c r="G23" i="2"/>
  <c r="O54" i="2"/>
  <c r="G22" i="2"/>
  <c r="O53" i="2"/>
  <c r="G21" i="2"/>
  <c r="O52" i="2"/>
  <c r="G4" i="2"/>
  <c r="G10" i="2"/>
  <c r="G7" i="2"/>
  <c r="G11" i="2"/>
  <c r="O51" i="2"/>
  <c r="G6" i="2"/>
  <c r="G8" i="2"/>
  <c r="O50" i="2"/>
  <c r="I10" i="2"/>
  <c r="O49" i="2"/>
  <c r="O48" i="2"/>
  <c r="O47" i="2"/>
  <c r="O46" i="2"/>
  <c r="O45" i="2"/>
  <c r="O44" i="2"/>
  <c r="G36" i="3"/>
  <c r="K54" i="3"/>
  <c r="K53" i="3"/>
  <c r="K52" i="3"/>
  <c r="K51" i="3"/>
  <c r="K42" i="3"/>
  <c r="K41" i="3"/>
  <c r="K40" i="3"/>
  <c r="K50" i="3"/>
  <c r="K45" i="3"/>
  <c r="K43" i="3"/>
  <c r="K49" i="3"/>
  <c r="K48" i="3"/>
  <c r="K44" i="3"/>
  <c r="K47" i="3"/>
  <c r="G8" i="3"/>
  <c r="K46" i="3"/>
  <c r="G5" i="3"/>
  <c r="C27" i="3"/>
  <c r="G17" i="3"/>
  <c r="G18" i="3"/>
  <c r="C28" i="3"/>
  <c r="C29" i="3"/>
  <c r="G4" i="3"/>
  <c r="G10" i="3"/>
  <c r="I10" i="3"/>
  <c r="G35" i="3"/>
  <c r="C15" i="3"/>
  <c r="G21" i="3"/>
  <c r="G32" i="3"/>
  <c r="G33" i="3"/>
  <c r="G24" i="3"/>
  <c r="G23" i="3"/>
  <c r="G22" i="3"/>
  <c r="C16" i="3"/>
  <c r="G7" i="3"/>
  <c r="G11" i="3"/>
  <c r="K10" i="3"/>
  <c r="G6" i="3"/>
  <c r="G35" i="2"/>
  <c r="G32" i="2"/>
  <c r="G33" i="2"/>
  <c r="G24" i="2"/>
  <c r="C16" i="2"/>
  <c r="K10" i="2"/>
  <c r="H37" i="1"/>
  <c r="H38" i="1"/>
  <c r="D12" i="1"/>
  <c r="H5" i="1"/>
  <c r="H11" i="1"/>
  <c r="J11" i="1"/>
  <c r="D31" i="1"/>
  <c r="D30" i="1"/>
  <c r="D29" i="1"/>
  <c r="H6" i="1"/>
  <c r="D17" i="1"/>
  <c r="H12" i="1"/>
  <c r="H24" i="1"/>
  <c r="H23" i="1"/>
  <c r="H20" i="1"/>
  <c r="H19" i="1"/>
  <c r="D18" i="1"/>
  <c r="H8" i="1"/>
  <c r="H7" i="1"/>
  <c r="H9" i="1"/>
  <c r="H28" i="1"/>
  <c r="L11" i="1"/>
  <c r="H26" i="1"/>
  <c r="H30" i="1"/>
  <c r="H32" i="1"/>
  <c r="H25" i="1"/>
  <c r="H29" i="1"/>
  <c r="H31" i="1"/>
  <c r="H34" i="1"/>
  <c r="H35" i="1"/>
</calcChain>
</file>

<file path=xl/sharedStrings.xml><?xml version="1.0" encoding="utf-8"?>
<sst xmlns="http://schemas.openxmlformats.org/spreadsheetml/2006/main" count="260" uniqueCount="78">
  <si>
    <t>Horas de trabajo</t>
  </si>
  <si>
    <t>Turnos</t>
  </si>
  <si>
    <t>Horas Mensuales</t>
  </si>
  <si>
    <t>Minutos Mensuales</t>
  </si>
  <si>
    <t>Produccion Requerida</t>
  </si>
  <si>
    <t>Takt-Time</t>
  </si>
  <si>
    <t>Minutos</t>
  </si>
  <si>
    <t>Minutos/unidad</t>
  </si>
  <si>
    <t>Apto para la venta</t>
  </si>
  <si>
    <t>Produccion Apta Diaria</t>
  </si>
  <si>
    <t>Dias de trabajo mensual</t>
  </si>
  <si>
    <t>Producción Disponible Diaria</t>
  </si>
  <si>
    <t>Producción Disponible Mensual</t>
  </si>
  <si>
    <t>Cycle Time</t>
  </si>
  <si>
    <t>Minutos Diarios</t>
  </si>
  <si>
    <t>Unidades</t>
  </si>
  <si>
    <t>Horas</t>
  </si>
  <si>
    <t>Disponibilidad</t>
  </si>
  <si>
    <t>Horas Operativas</t>
  </si>
  <si>
    <t>Horas Stand By</t>
  </si>
  <si>
    <t>Mantenimiento Programado</t>
  </si>
  <si>
    <t>Mantenimiento No Programado</t>
  </si>
  <si>
    <t>paradas</t>
  </si>
  <si>
    <t>hora</t>
  </si>
  <si>
    <t>MBTF</t>
  </si>
  <si>
    <t>MTTR</t>
  </si>
  <si>
    <t>MTBM</t>
  </si>
  <si>
    <t>MTM</t>
  </si>
  <si>
    <t>Disponibilidad Inherente</t>
  </si>
  <si>
    <t>Disponibilidad Operacional</t>
  </si>
  <si>
    <t>Disponibillidad Fisica</t>
  </si>
  <si>
    <t>Disponibilidad Mecanica</t>
  </si>
  <si>
    <t>Utilizacion</t>
  </si>
  <si>
    <t>Horas mensuales</t>
  </si>
  <si>
    <t>Dias</t>
  </si>
  <si>
    <t>Cycle Time debe ser menor o igual que Tak-time</t>
  </si>
  <si>
    <t>Todo lo que está en verde son datos de entrada</t>
  </si>
  <si>
    <t>Reparable</t>
  </si>
  <si>
    <t>MTTF</t>
  </si>
  <si>
    <t>No Reparable</t>
  </si>
  <si>
    <t>Tiempo promedio para fallar</t>
  </si>
  <si>
    <t>Tiempo promedio entre Fallas</t>
  </si>
  <si>
    <t>Tasa de Fallas</t>
  </si>
  <si>
    <t>N fallas</t>
  </si>
  <si>
    <t>Fallas al año</t>
  </si>
  <si>
    <t>Tiempo promedio para reparar</t>
  </si>
  <si>
    <t>Unidades/Mes</t>
  </si>
  <si>
    <t>OEE</t>
  </si>
  <si>
    <t>Desempeño</t>
  </si>
  <si>
    <t>Calidad</t>
  </si>
  <si>
    <t>Availability</t>
  </si>
  <si>
    <t>Unidades/Año</t>
  </si>
  <si>
    <t>Producción Disponible Hora</t>
  </si>
  <si>
    <t>Horas Totales</t>
  </si>
  <si>
    <t>Horas paradas por mantenimiento</t>
  </si>
  <si>
    <t>Horas/ Se trabajan 7 Horas por una hora de almuerzo</t>
  </si>
  <si>
    <t>Rendimiento</t>
  </si>
  <si>
    <t>KPI´s Importantes</t>
  </si>
  <si>
    <t>Tak Time</t>
  </si>
  <si>
    <t>Tiempo de Ciclo</t>
  </si>
  <si>
    <t>Tc</t>
  </si>
  <si>
    <t>T</t>
  </si>
  <si>
    <t>Producción Hora</t>
  </si>
  <si>
    <t>Rp</t>
  </si>
  <si>
    <t>Tiempo entre Fallas</t>
  </si>
  <si>
    <t>Tiempo promedio para Reparar</t>
  </si>
  <si>
    <t>Producción Solicitada Mensual</t>
  </si>
  <si>
    <t>Producción Mensual</t>
  </si>
  <si>
    <t>Tiempo promedio entre Reparaciones</t>
  </si>
  <si>
    <t xml:space="preserve">Turnos </t>
  </si>
  <si>
    <t>A</t>
  </si>
  <si>
    <t>PE</t>
  </si>
  <si>
    <t>Q</t>
  </si>
  <si>
    <t>Overall Equipment Effectiveness</t>
  </si>
  <si>
    <t>Descripción</t>
  </si>
  <si>
    <t>Abreviación</t>
  </si>
  <si>
    <t>Valor</t>
  </si>
  <si>
    <t>Kpi´s Importantes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</si>
</sst>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9" borderId="8" applyNumberFormat="0" applyAlignment="0" applyProtection="0"/>
    <xf numFmtId="0" fontId="5" fillId="10" borderId="0" applyNumberFormat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0" borderId="1" xfId="0" applyBorder="1"/>
    <xf numFmtId="10" fontId="0" fillId="0" borderId="1" xfId="0" applyNumberFormat="1" applyBorder="1"/>
    <xf numFmtId="0" fontId="0" fillId="3" borderId="1" xfId="0" applyFill="1" applyBorder="1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0" fillId="4" borderId="1" xfId="0" applyFill="1" applyBorder="1"/>
    <xf numFmtId="0" fontId="1" fillId="2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4" borderId="1" xfId="0" applyFont="1" applyFill="1" applyBorder="1"/>
    <xf numFmtId="0" fontId="0" fillId="8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/>
    <xf numFmtId="1" fontId="0" fillId="0" borderId="1" xfId="0" applyNumberFormat="1" applyBorder="1"/>
    <xf numFmtId="0" fontId="0" fillId="0" borderId="0" xfId="0" applyAlignment="1">
      <alignment wrapText="1"/>
    </xf>
    <xf numFmtId="9" fontId="0" fillId="0" borderId="0" xfId="1" applyFont="1"/>
    <xf numFmtId="9" fontId="0" fillId="0" borderId="7" xfId="1" applyFont="1" applyBorder="1"/>
    <xf numFmtId="10" fontId="0" fillId="0" borderId="0" xfId="0" applyNumberFormat="1"/>
    <xf numFmtId="0" fontId="2" fillId="0" borderId="1" xfId="0" applyFont="1" applyBorder="1"/>
    <xf numFmtId="1" fontId="2" fillId="0" borderId="1" xfId="0" applyNumberFormat="1" applyFont="1" applyBorder="1"/>
    <xf numFmtId="1" fontId="0" fillId="0" borderId="0" xfId="0" applyNumberFormat="1"/>
    <xf numFmtId="9" fontId="0" fillId="0" borderId="0" xfId="0" applyNumberFormat="1"/>
    <xf numFmtId="9" fontId="0" fillId="11" borderId="0" xfId="0" applyNumberFormat="1" applyFill="1"/>
    <xf numFmtId="0" fontId="5" fillId="10" borderId="8" xfId="3" applyBorder="1"/>
    <xf numFmtId="0" fontId="5" fillId="10" borderId="0" xfId="3"/>
    <xf numFmtId="9" fontId="8" fillId="12" borderId="0" xfId="0" applyNumberFormat="1" applyFont="1" applyFill="1"/>
    <xf numFmtId="0" fontId="6" fillId="9" borderId="8" xfId="2" applyFont="1" applyAlignment="1">
      <alignment horizontal="center"/>
    </xf>
    <xf numFmtId="0" fontId="7" fillId="9" borderId="8" xfId="2" applyFont="1" applyAlignment="1">
      <alignment horizontal="center"/>
    </xf>
  </cellXfs>
  <cellStyles count="4">
    <cellStyle name="Énfasis2" xfId="3" builtinId="33"/>
    <cellStyle name="Entrada" xfId="2" builtinId="20"/>
    <cellStyle name="Normal" xfId="0" builtinId="0"/>
    <cellStyle name="Porcentaje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8CA1E-2FCC-48FC-92E2-D9A0246F20E9}" name="Tabla3" displayName="Tabla3" ref="M43:O58" totalsRowShown="0">
  <autoFilter ref="M43:O58" xr:uid="{C2B8CA1E-2FCC-48FC-92E2-D9A0246F20E9}"/>
  <tableColumns count="3">
    <tableColumn id="1" xr3:uid="{0C4C58B8-5907-4AAB-9296-37B7C25D2DF2}" name="Descripción"/>
    <tableColumn id="2" xr3:uid="{ACFDF618-2136-402B-B46F-3863FEE5AD32}" name="Abreviación"/>
    <tableColumn id="3" xr3:uid="{FC5057A4-C52E-4076-B582-085AB0FD9798}" name="Valor" dataDxfId="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E63F3-D780-417C-8137-3AFACCFA4133}" name="Tabla5" displayName="Tabla5" ref="I39:K54" totalsRowShown="0">
  <autoFilter ref="I39:K54" xr:uid="{588E63F3-D780-417C-8137-3AFACCFA4133}"/>
  <tableColumns count="3">
    <tableColumn id="1" xr3:uid="{C4C5172C-2EB8-4F5A-9CED-AFC2A5E0F586}" name="Descripción"/>
    <tableColumn id="2" xr3:uid="{21B3BEA6-F5BD-417B-89DE-4FFA8E6E190A}" name="Abreviación"/>
    <tableColumn id="3" xr3:uid="{381A4E9F-02FF-4E95-8D18-8F0E84C2079D}" name="Valor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3372-6B48-437D-8067-20E362AE8FE9}">
  <dimension ref="B2:M38"/>
  <sheetViews>
    <sheetView topLeftCell="D6" workbookViewId="0">
      <selection activeCell="E37" sqref="E37"/>
    </sheetView>
  </sheetViews>
  <sheetFormatPr baseColWidth="10" defaultRowHeight="14.4" x14ac:dyDescent="0.3"/>
  <cols>
    <col min="2" max="2" width="25.44140625" bestFit="1" customWidth="1"/>
    <col min="3" max="3" width="42.33203125" bestFit="1" customWidth="1"/>
    <col min="4" max="4" width="12.109375" bestFit="1" customWidth="1"/>
    <col min="5" max="5" width="26.33203125" bestFit="1" customWidth="1"/>
    <col min="7" max="7" width="43" bestFit="1" customWidth="1"/>
    <col min="9" max="9" width="14.88671875" bestFit="1" customWidth="1"/>
    <col min="11" max="11" width="12.77734375" bestFit="1" customWidth="1"/>
  </cols>
  <sheetData>
    <row r="2" spans="2:13" x14ac:dyDescent="0.3">
      <c r="C2" t="s">
        <v>36</v>
      </c>
    </row>
    <row r="5" spans="2:13" x14ac:dyDescent="0.3">
      <c r="C5" s="1" t="s">
        <v>10</v>
      </c>
      <c r="D5" s="2">
        <v>26</v>
      </c>
      <c r="E5" t="s">
        <v>34</v>
      </c>
      <c r="G5" s="8" t="s">
        <v>12</v>
      </c>
      <c r="H5" s="2">
        <f>D12*D5*D6*D7</f>
        <v>4368</v>
      </c>
      <c r="I5" s="2" t="s">
        <v>15</v>
      </c>
    </row>
    <row r="6" spans="2:13" x14ac:dyDescent="0.3">
      <c r="C6" s="1" t="s">
        <v>0</v>
      </c>
      <c r="D6" s="2">
        <v>8</v>
      </c>
      <c r="E6" t="s">
        <v>16</v>
      </c>
      <c r="G6" s="8" t="s">
        <v>2</v>
      </c>
      <c r="H6" s="2">
        <f>D6*D7*D5</f>
        <v>208</v>
      </c>
      <c r="I6" s="2" t="s">
        <v>16</v>
      </c>
    </row>
    <row r="7" spans="2:13" x14ac:dyDescent="0.3">
      <c r="C7" s="1" t="s">
        <v>1</v>
      </c>
      <c r="D7" s="2">
        <v>1</v>
      </c>
      <c r="G7" s="8" t="s">
        <v>3</v>
      </c>
      <c r="H7" s="2">
        <f>H6*60</f>
        <v>12480</v>
      </c>
      <c r="I7" s="2" t="s">
        <v>6</v>
      </c>
    </row>
    <row r="8" spans="2:13" x14ac:dyDescent="0.3">
      <c r="C8" s="2"/>
      <c r="D8" s="2"/>
      <c r="G8" s="8" t="s">
        <v>14</v>
      </c>
      <c r="H8" s="2">
        <f>D6*D7*60</f>
        <v>480</v>
      </c>
      <c r="I8" s="2" t="s">
        <v>6</v>
      </c>
    </row>
    <row r="9" spans="2:13" x14ac:dyDescent="0.3">
      <c r="C9" s="4" t="s">
        <v>4</v>
      </c>
      <c r="D9" s="2">
        <v>6000</v>
      </c>
      <c r="E9" t="s">
        <v>15</v>
      </c>
      <c r="G9" s="8" t="s">
        <v>5</v>
      </c>
      <c r="H9" s="2">
        <f>H7/D9</f>
        <v>2.08</v>
      </c>
      <c r="I9" s="2" t="s">
        <v>7</v>
      </c>
    </row>
    <row r="10" spans="2:13" x14ac:dyDescent="0.3">
      <c r="B10" s="14" t="s">
        <v>49</v>
      </c>
      <c r="C10" s="1" t="s">
        <v>8</v>
      </c>
      <c r="D10" s="3">
        <v>0.9</v>
      </c>
      <c r="G10" s="8"/>
      <c r="H10" s="2"/>
      <c r="I10" s="2"/>
    </row>
    <row r="11" spans="2:13" x14ac:dyDescent="0.3">
      <c r="C11" s="1" t="s">
        <v>52</v>
      </c>
      <c r="D11" s="2">
        <v>3</v>
      </c>
      <c r="G11" s="8" t="s">
        <v>9</v>
      </c>
      <c r="H11" s="2">
        <f>H5*D10/D5</f>
        <v>151.20000000000002</v>
      </c>
      <c r="I11" s="2" t="s">
        <v>15</v>
      </c>
      <c r="J11">
        <f>H11*D5</f>
        <v>3931.2000000000003</v>
      </c>
      <c r="K11" t="s">
        <v>46</v>
      </c>
      <c r="L11">
        <f>J11*12</f>
        <v>47174.400000000001</v>
      </c>
      <c r="M11" t="s">
        <v>51</v>
      </c>
    </row>
    <row r="12" spans="2:13" x14ac:dyDescent="0.3">
      <c r="B12">
        <v>18</v>
      </c>
      <c r="C12" s="1" t="s">
        <v>11</v>
      </c>
      <c r="D12" s="2">
        <f>D11*(D6-1)</f>
        <v>21</v>
      </c>
      <c r="E12" t="s">
        <v>15</v>
      </c>
      <c r="G12" s="8" t="s">
        <v>13</v>
      </c>
      <c r="H12" s="7">
        <f>H8/H11</f>
        <v>3.1746031746031744</v>
      </c>
      <c r="I12" s="2" t="s">
        <v>7</v>
      </c>
    </row>
    <row r="14" spans="2:13" x14ac:dyDescent="0.3">
      <c r="G14" s="8" t="s">
        <v>35</v>
      </c>
    </row>
    <row r="16" spans="2:13" x14ac:dyDescent="0.3">
      <c r="B16" s="21"/>
      <c r="C16" s="13" t="s">
        <v>17</v>
      </c>
      <c r="D16">
        <v>720</v>
      </c>
      <c r="E16" t="s">
        <v>16</v>
      </c>
    </row>
    <row r="17" spans="3:9" x14ac:dyDescent="0.3">
      <c r="C17" s="13" t="s">
        <v>18</v>
      </c>
      <c r="D17">
        <f>H6</f>
        <v>208</v>
      </c>
      <c r="E17" t="s">
        <v>16</v>
      </c>
    </row>
    <row r="18" spans="3:9" x14ac:dyDescent="0.3">
      <c r="C18" s="13" t="s">
        <v>19</v>
      </c>
      <c r="D18">
        <f>D5</f>
        <v>26</v>
      </c>
      <c r="E18" t="s">
        <v>16</v>
      </c>
    </row>
    <row r="19" spans="3:9" x14ac:dyDescent="0.3">
      <c r="C19" s="9" t="s">
        <v>20</v>
      </c>
      <c r="D19" s="11">
        <v>4</v>
      </c>
      <c r="E19" s="11" t="s">
        <v>22</v>
      </c>
      <c r="F19" s="10">
        <v>3</v>
      </c>
      <c r="G19" s="10" t="s">
        <v>23</v>
      </c>
      <c r="H19" s="12">
        <f>D19*F19</f>
        <v>12</v>
      </c>
      <c r="I19" t="s">
        <v>33</v>
      </c>
    </row>
    <row r="20" spans="3:9" x14ac:dyDescent="0.3">
      <c r="C20" s="9" t="s">
        <v>21</v>
      </c>
      <c r="D20" s="11">
        <v>4</v>
      </c>
      <c r="E20" s="11" t="s">
        <v>22</v>
      </c>
      <c r="F20" s="10">
        <v>5</v>
      </c>
      <c r="G20" s="10" t="s">
        <v>23</v>
      </c>
      <c r="H20" s="12">
        <f>D20*F20</f>
        <v>20</v>
      </c>
      <c r="I20" t="s">
        <v>33</v>
      </c>
    </row>
    <row r="23" spans="3:9" x14ac:dyDescent="0.3">
      <c r="E23" t="s">
        <v>41</v>
      </c>
      <c r="F23" t="s">
        <v>37</v>
      </c>
      <c r="G23" t="s">
        <v>24</v>
      </c>
      <c r="H23" s="6">
        <f>D17/D20</f>
        <v>52</v>
      </c>
      <c r="I23" t="s">
        <v>16</v>
      </c>
    </row>
    <row r="24" spans="3:9" x14ac:dyDescent="0.3">
      <c r="E24" t="s">
        <v>45</v>
      </c>
      <c r="G24" t="s">
        <v>25</v>
      </c>
      <c r="H24" s="6">
        <f>F20/D20</f>
        <v>1.25</v>
      </c>
      <c r="I24" t="s">
        <v>16</v>
      </c>
    </row>
    <row r="25" spans="3:9" x14ac:dyDescent="0.3">
      <c r="C25" t="s">
        <v>40</v>
      </c>
      <c r="G25" t="s">
        <v>26</v>
      </c>
      <c r="H25">
        <f>D17/(D19+D20)</f>
        <v>26</v>
      </c>
      <c r="I25" t="s">
        <v>16</v>
      </c>
    </row>
    <row r="26" spans="3:9" x14ac:dyDescent="0.3">
      <c r="C26" s="2" t="s">
        <v>24</v>
      </c>
      <c r="D26" s="2" t="s">
        <v>37</v>
      </c>
      <c r="G26" t="s">
        <v>27</v>
      </c>
      <c r="H26">
        <f xml:space="preserve"> (H20*H19)/(D20+D19)</f>
        <v>30</v>
      </c>
      <c r="I26" t="s">
        <v>16</v>
      </c>
    </row>
    <row r="27" spans="3:9" x14ac:dyDescent="0.3">
      <c r="C27" s="2" t="s">
        <v>38</v>
      </c>
      <c r="D27" s="2" t="s">
        <v>39</v>
      </c>
    </row>
    <row r="28" spans="3:9" ht="15" thickBot="1" x14ac:dyDescent="0.35">
      <c r="F28" s="14" t="s">
        <v>50</v>
      </c>
      <c r="G28" t="s">
        <v>28</v>
      </c>
      <c r="H28" s="5">
        <f>H23/(H23+H24)</f>
        <v>0.97652582159624413</v>
      </c>
    </row>
    <row r="29" spans="3:9" x14ac:dyDescent="0.3">
      <c r="C29" s="15" t="s">
        <v>53</v>
      </c>
      <c r="D29" s="16">
        <f>H6</f>
        <v>208</v>
      </c>
      <c r="G29" t="s">
        <v>29</v>
      </c>
      <c r="H29" s="5">
        <f>H25/(H25+H26)</f>
        <v>0.4642857142857143</v>
      </c>
    </row>
    <row r="30" spans="3:9" x14ac:dyDescent="0.3">
      <c r="C30" s="17" t="s">
        <v>54</v>
      </c>
      <c r="D30" s="18">
        <f>H19+H20</f>
        <v>32</v>
      </c>
      <c r="G30" t="s">
        <v>30</v>
      </c>
      <c r="H30" s="5">
        <f>(D16-(H20+H19))/D16</f>
        <v>0.9555555555555556</v>
      </c>
    </row>
    <row r="31" spans="3:9" ht="15" thickBot="1" x14ac:dyDescent="0.35">
      <c r="C31" s="19" t="s">
        <v>17</v>
      </c>
      <c r="D31" s="20">
        <f>(D29-D30)/D29</f>
        <v>0.84615384615384615</v>
      </c>
      <c r="G31" t="s">
        <v>31</v>
      </c>
      <c r="H31" s="5">
        <f>D17/(D17+H19+H20)</f>
        <v>0.8666666666666667</v>
      </c>
    </row>
    <row r="32" spans="3:9" x14ac:dyDescent="0.3">
      <c r="G32" t="s">
        <v>32</v>
      </c>
      <c r="H32" s="5">
        <f>D17/D16</f>
        <v>0.28888888888888886</v>
      </c>
    </row>
    <row r="34" spans="7:9" x14ac:dyDescent="0.3">
      <c r="G34" t="s">
        <v>42</v>
      </c>
      <c r="H34">
        <f>1/H23</f>
        <v>1.9230769230769232E-2</v>
      </c>
    </row>
    <row r="35" spans="7:9" x14ac:dyDescent="0.3">
      <c r="G35" t="s">
        <v>43</v>
      </c>
      <c r="H35">
        <f>D17*12*H34</f>
        <v>48</v>
      </c>
      <c r="I35" t="s">
        <v>44</v>
      </c>
    </row>
    <row r="37" spans="7:9" x14ac:dyDescent="0.3">
      <c r="G37" t="s">
        <v>48</v>
      </c>
      <c r="H37">
        <f>(J11/D9)*100</f>
        <v>65.52</v>
      </c>
    </row>
    <row r="38" spans="7:9" x14ac:dyDescent="0.3">
      <c r="G38" t="s">
        <v>47</v>
      </c>
      <c r="H38">
        <f>D31*H37*D10</f>
        <v>49.896000000000001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A411-95AE-4181-949F-35B3A4218A0C}">
  <dimension ref="A1:O58"/>
  <sheetViews>
    <sheetView topLeftCell="E34" workbookViewId="0">
      <selection activeCell="I47" sqref="I47"/>
    </sheetView>
  </sheetViews>
  <sheetFormatPr baseColWidth="10" defaultRowHeight="14.4" x14ac:dyDescent="0.3"/>
  <cols>
    <col min="2" max="2" width="40.109375" bestFit="1" customWidth="1"/>
    <col min="4" max="4" width="44.77734375" bestFit="1" customWidth="1"/>
    <col min="6" max="6" width="40.33203125" bestFit="1" customWidth="1"/>
    <col min="11" max="11" width="32.109375" bestFit="1" customWidth="1"/>
    <col min="12" max="12" width="12.5546875" bestFit="1" customWidth="1"/>
    <col min="13" max="13" width="32.109375" bestFit="1" customWidth="1"/>
    <col min="14" max="14" width="11.6640625" customWidth="1"/>
    <col min="15" max="15" width="11.109375" customWidth="1"/>
  </cols>
  <sheetData>
    <row r="1" spans="1:12" x14ac:dyDescent="0.3">
      <c r="B1" t="s">
        <v>36</v>
      </c>
    </row>
    <row r="4" spans="1:12" x14ac:dyDescent="0.3">
      <c r="B4" s="1" t="s">
        <v>10</v>
      </c>
      <c r="C4" s="2">
        <v>26</v>
      </c>
      <c r="D4" t="s">
        <v>34</v>
      </c>
      <c r="F4" s="8" t="s">
        <v>12</v>
      </c>
      <c r="G4" s="2">
        <f>C11*C4*C6</f>
        <v>958.048</v>
      </c>
      <c r="H4" s="2" t="s">
        <v>15</v>
      </c>
    </row>
    <row r="5" spans="1:12" x14ac:dyDescent="0.3">
      <c r="B5" s="1" t="s">
        <v>0</v>
      </c>
      <c r="C5" s="2">
        <v>8</v>
      </c>
      <c r="D5" t="s">
        <v>55</v>
      </c>
      <c r="F5" s="8" t="s">
        <v>2</v>
      </c>
      <c r="G5" s="2">
        <f>C5*C6*C4</f>
        <v>208</v>
      </c>
      <c r="H5" s="2" t="s">
        <v>16</v>
      </c>
    </row>
    <row r="6" spans="1:12" x14ac:dyDescent="0.3">
      <c r="B6" s="1" t="s">
        <v>1</v>
      </c>
      <c r="C6" s="2">
        <v>1</v>
      </c>
      <c r="D6" s="23"/>
      <c r="F6" s="8" t="s">
        <v>3</v>
      </c>
      <c r="G6" s="2">
        <f>G5*60</f>
        <v>12480</v>
      </c>
      <c r="H6" s="2" t="s">
        <v>6</v>
      </c>
    </row>
    <row r="7" spans="1:12" x14ac:dyDescent="0.3">
      <c r="B7" s="2"/>
      <c r="C7" s="2"/>
      <c r="F7" s="8" t="s">
        <v>14</v>
      </c>
      <c r="G7" s="2">
        <f>C5*C6*60</f>
        <v>480</v>
      </c>
      <c r="H7" s="2" t="s">
        <v>6</v>
      </c>
    </row>
    <row r="8" spans="1:12" x14ac:dyDescent="0.3">
      <c r="B8" s="4" t="s">
        <v>4</v>
      </c>
      <c r="C8" s="27">
        <v>3058</v>
      </c>
      <c r="D8" t="s">
        <v>15</v>
      </c>
      <c r="F8" s="8" t="s">
        <v>5</v>
      </c>
      <c r="G8" s="2">
        <f>G6/C8</f>
        <v>4.0810987573577497</v>
      </c>
      <c r="H8" s="2" t="s">
        <v>7</v>
      </c>
    </row>
    <row r="9" spans="1:12" x14ac:dyDescent="0.3">
      <c r="A9" s="14" t="s">
        <v>49</v>
      </c>
      <c r="B9" s="1" t="s">
        <v>8</v>
      </c>
      <c r="C9" s="3">
        <v>0.8</v>
      </c>
      <c r="F9" s="8"/>
      <c r="G9" s="2"/>
      <c r="H9" s="2"/>
    </row>
    <row r="10" spans="1:12" x14ac:dyDescent="0.3">
      <c r="B10" s="1" t="s">
        <v>52</v>
      </c>
      <c r="C10" s="2">
        <f>D10*2</f>
        <v>3.76</v>
      </c>
      <c r="D10">
        <v>1.88</v>
      </c>
      <c r="F10" s="8" t="s">
        <v>9</v>
      </c>
      <c r="G10" s="22">
        <f>(G4*C9)/C4</f>
        <v>29.478400000000001</v>
      </c>
      <c r="H10" s="2" t="s">
        <v>15</v>
      </c>
      <c r="I10" s="22">
        <f>G10*C4</f>
        <v>766.4384</v>
      </c>
      <c r="J10" s="2" t="s">
        <v>46</v>
      </c>
      <c r="K10" s="22">
        <f>I10*12</f>
        <v>9197.2608</v>
      </c>
      <c r="L10" s="2" t="s">
        <v>51</v>
      </c>
    </row>
    <row r="11" spans="1:12" x14ac:dyDescent="0.3">
      <c r="A11">
        <v>18</v>
      </c>
      <c r="B11" s="1" t="s">
        <v>11</v>
      </c>
      <c r="C11" s="22">
        <f>C10*2*(C5-1)*C31</f>
        <v>36.847999999999999</v>
      </c>
      <c r="D11" t="s">
        <v>15</v>
      </c>
      <c r="F11" s="8" t="s">
        <v>13</v>
      </c>
      <c r="G11" s="7">
        <f>G7/G10</f>
        <v>16.283108988276162</v>
      </c>
      <c r="H11" s="2" t="s">
        <v>7</v>
      </c>
    </row>
    <row r="13" spans="1:12" x14ac:dyDescent="0.3">
      <c r="F13" s="8" t="s">
        <v>35</v>
      </c>
    </row>
    <row r="15" spans="1:12" x14ac:dyDescent="0.3">
      <c r="B15" s="13" t="s">
        <v>18</v>
      </c>
      <c r="C15">
        <f>G5</f>
        <v>208</v>
      </c>
      <c r="D15" t="s">
        <v>16</v>
      </c>
    </row>
    <row r="16" spans="1:12" x14ac:dyDescent="0.3">
      <c r="B16" s="13" t="s">
        <v>19</v>
      </c>
      <c r="C16">
        <f>C4</f>
        <v>26</v>
      </c>
      <c r="D16" t="s">
        <v>16</v>
      </c>
    </row>
    <row r="17" spans="1:8" x14ac:dyDescent="0.3">
      <c r="B17" s="9" t="s">
        <v>20</v>
      </c>
      <c r="C17" s="11">
        <v>6</v>
      </c>
      <c r="D17" s="11" t="s">
        <v>22</v>
      </c>
      <c r="E17" s="10">
        <v>3</v>
      </c>
      <c r="F17" s="10" t="s">
        <v>23</v>
      </c>
      <c r="G17" s="12">
        <f>C17*E17</f>
        <v>18</v>
      </c>
      <c r="H17" t="s">
        <v>33</v>
      </c>
    </row>
    <row r="18" spans="1:8" x14ac:dyDescent="0.3">
      <c r="B18" s="9" t="s">
        <v>21</v>
      </c>
      <c r="C18" s="11">
        <v>5</v>
      </c>
      <c r="D18" s="11" t="s">
        <v>22</v>
      </c>
      <c r="E18" s="10">
        <v>5</v>
      </c>
      <c r="F18" s="10" t="s">
        <v>23</v>
      </c>
      <c r="G18" s="12">
        <f>C18*E18</f>
        <v>25</v>
      </c>
      <c r="H18" t="s">
        <v>33</v>
      </c>
    </row>
    <row r="21" spans="1:8" x14ac:dyDescent="0.3">
      <c r="D21" t="s">
        <v>41</v>
      </c>
      <c r="E21" t="s">
        <v>37</v>
      </c>
      <c r="F21" t="s">
        <v>24</v>
      </c>
      <c r="G21" s="6">
        <f>C15/C18</f>
        <v>41.6</v>
      </c>
      <c r="H21" t="s">
        <v>16</v>
      </c>
    </row>
    <row r="22" spans="1:8" x14ac:dyDescent="0.3">
      <c r="D22" t="s">
        <v>45</v>
      </c>
      <c r="F22" t="s">
        <v>25</v>
      </c>
      <c r="G22" s="6">
        <f>G18/C18</f>
        <v>5</v>
      </c>
      <c r="H22" t="s">
        <v>16</v>
      </c>
    </row>
    <row r="23" spans="1:8" x14ac:dyDescent="0.3">
      <c r="B23" t="s">
        <v>40</v>
      </c>
      <c r="F23" t="s">
        <v>26</v>
      </c>
      <c r="G23">
        <f>C15/(C17+C18)</f>
        <v>18.90909090909091</v>
      </c>
      <c r="H23" t="s">
        <v>16</v>
      </c>
    </row>
    <row r="24" spans="1:8" x14ac:dyDescent="0.3">
      <c r="B24" s="2"/>
      <c r="C24" s="2"/>
      <c r="F24" t="s">
        <v>27</v>
      </c>
      <c r="G24">
        <f xml:space="preserve"> (G18*G17)/(C18+C17)</f>
        <v>40.909090909090907</v>
      </c>
      <c r="H24" t="s">
        <v>16</v>
      </c>
    </row>
    <row r="25" spans="1:8" x14ac:dyDescent="0.3">
      <c r="B25" s="2"/>
      <c r="C25" s="2"/>
    </row>
    <row r="26" spans="1:8" ht="15" thickBot="1" x14ac:dyDescent="0.35">
      <c r="G26" s="5"/>
    </row>
    <row r="27" spans="1:8" x14ac:dyDescent="0.3">
      <c r="B27" s="15" t="s">
        <v>53</v>
      </c>
      <c r="C27" s="16">
        <f>G5</f>
        <v>208</v>
      </c>
      <c r="G27" s="5"/>
    </row>
    <row r="28" spans="1:8" x14ac:dyDescent="0.3">
      <c r="B28" s="17" t="s">
        <v>54</v>
      </c>
      <c r="C28" s="18">
        <f>G17+G18</f>
        <v>43</v>
      </c>
      <c r="G28" s="5"/>
    </row>
    <row r="29" spans="1:8" ht="15" thickBot="1" x14ac:dyDescent="0.35">
      <c r="A29" s="14" t="s">
        <v>50</v>
      </c>
      <c r="B29" s="19" t="s">
        <v>17</v>
      </c>
      <c r="C29" s="25">
        <f>(C27-C28)/C27</f>
        <v>0.79326923076923073</v>
      </c>
      <c r="G29" s="5"/>
    </row>
    <row r="30" spans="1:8" x14ac:dyDescent="0.3">
      <c r="G30" s="5"/>
    </row>
    <row r="31" spans="1:8" x14ac:dyDescent="0.3">
      <c r="B31" t="s">
        <v>56</v>
      </c>
      <c r="C31" s="24">
        <v>0.7</v>
      </c>
    </row>
    <row r="32" spans="1:8" x14ac:dyDescent="0.3">
      <c r="F32" t="s">
        <v>42</v>
      </c>
      <c r="G32">
        <f>1/G21</f>
        <v>2.4038461538461536E-2</v>
      </c>
    </row>
    <row r="33" spans="6:15" x14ac:dyDescent="0.3">
      <c r="F33" t="s">
        <v>43</v>
      </c>
      <c r="G33">
        <f>C15*12*G32</f>
        <v>59.999999999999993</v>
      </c>
      <c r="H33" t="s">
        <v>44</v>
      </c>
    </row>
    <row r="35" spans="6:15" x14ac:dyDescent="0.3">
      <c r="F35" t="s">
        <v>48</v>
      </c>
      <c r="G35">
        <f>(I10/C8)*100</f>
        <v>25.063387835186397</v>
      </c>
    </row>
    <row r="36" spans="6:15" x14ac:dyDescent="0.3">
      <c r="F36" t="s">
        <v>47</v>
      </c>
      <c r="G36" s="26">
        <f>(C29*C31*C9)</f>
        <v>0.44423076923076921</v>
      </c>
    </row>
    <row r="42" spans="6:15" ht="15.6" x14ac:dyDescent="0.3">
      <c r="M42" s="35" t="s">
        <v>77</v>
      </c>
      <c r="N42" s="35"/>
      <c r="O42" s="35"/>
    </row>
    <row r="43" spans="6:15" x14ac:dyDescent="0.3">
      <c r="M43" s="32" t="s">
        <v>74</v>
      </c>
      <c r="N43" s="32" t="s">
        <v>75</v>
      </c>
      <c r="O43" s="32" t="s">
        <v>76</v>
      </c>
    </row>
    <row r="44" spans="6:15" x14ac:dyDescent="0.3">
      <c r="M44" t="s">
        <v>10</v>
      </c>
      <c r="O44">
        <f xml:space="preserve"> 26</f>
        <v>26</v>
      </c>
    </row>
    <row r="45" spans="6:15" x14ac:dyDescent="0.3">
      <c r="M45" t="s">
        <v>69</v>
      </c>
      <c r="O45">
        <f>C6</f>
        <v>1</v>
      </c>
    </row>
    <row r="46" spans="6:15" x14ac:dyDescent="0.3">
      <c r="M46" t="s">
        <v>0</v>
      </c>
      <c r="O46">
        <f>C5</f>
        <v>8</v>
      </c>
    </row>
    <row r="47" spans="6:15" x14ac:dyDescent="0.3">
      <c r="M47" t="s">
        <v>66</v>
      </c>
      <c r="O47">
        <f>C8</f>
        <v>3058</v>
      </c>
    </row>
    <row r="48" spans="6:15" x14ac:dyDescent="0.3">
      <c r="M48" t="s">
        <v>62</v>
      </c>
      <c r="N48" t="s">
        <v>63</v>
      </c>
      <c r="O48" s="29">
        <f>G10/7</f>
        <v>4.2111999999999998</v>
      </c>
    </row>
    <row r="49" spans="13:15" x14ac:dyDescent="0.3">
      <c r="M49" t="s">
        <v>67</v>
      </c>
      <c r="O49" s="29">
        <f>I10</f>
        <v>766.4384</v>
      </c>
    </row>
    <row r="50" spans="13:15" x14ac:dyDescent="0.3">
      <c r="M50" t="s">
        <v>58</v>
      </c>
      <c r="N50" t="s">
        <v>61</v>
      </c>
      <c r="O50">
        <f>G8</f>
        <v>4.0810987573577497</v>
      </c>
    </row>
    <row r="51" spans="13:15" x14ac:dyDescent="0.3">
      <c r="M51" t="s">
        <v>59</v>
      </c>
      <c r="N51" t="s">
        <v>60</v>
      </c>
      <c r="O51" s="6">
        <f>G11</f>
        <v>16.283108988276162</v>
      </c>
    </row>
    <row r="52" spans="13:15" x14ac:dyDescent="0.3">
      <c r="M52" t="s">
        <v>64</v>
      </c>
      <c r="N52" t="s">
        <v>24</v>
      </c>
      <c r="O52" s="6">
        <f>G21</f>
        <v>41.6</v>
      </c>
    </row>
    <row r="53" spans="13:15" x14ac:dyDescent="0.3">
      <c r="M53" t="s">
        <v>65</v>
      </c>
      <c r="N53" t="s">
        <v>25</v>
      </c>
      <c r="O53" s="6">
        <f>G22</f>
        <v>5</v>
      </c>
    </row>
    <row r="54" spans="13:15" x14ac:dyDescent="0.3">
      <c r="M54" t="s">
        <v>68</v>
      </c>
      <c r="N54" t="s">
        <v>26</v>
      </c>
      <c r="O54">
        <f>G23</f>
        <v>18.90909090909091</v>
      </c>
    </row>
    <row r="55" spans="13:15" x14ac:dyDescent="0.3">
      <c r="M55" t="s">
        <v>56</v>
      </c>
      <c r="N55" t="s">
        <v>71</v>
      </c>
      <c r="O55" s="30">
        <f>C31</f>
        <v>0.7</v>
      </c>
    </row>
    <row r="56" spans="13:15" x14ac:dyDescent="0.3">
      <c r="M56" t="s">
        <v>17</v>
      </c>
      <c r="N56" t="s">
        <v>70</v>
      </c>
      <c r="O56" s="30">
        <f>C29</f>
        <v>0.79326923076923073</v>
      </c>
    </row>
    <row r="57" spans="13:15" x14ac:dyDescent="0.3">
      <c r="M57" t="s">
        <v>49</v>
      </c>
      <c r="N57" t="s">
        <v>72</v>
      </c>
      <c r="O57" s="30">
        <f>C9</f>
        <v>0.8</v>
      </c>
    </row>
    <row r="58" spans="13:15" x14ac:dyDescent="0.3">
      <c r="M58" t="s">
        <v>73</v>
      </c>
      <c r="N58" t="s">
        <v>47</v>
      </c>
      <c r="O58" s="31">
        <f>G36</f>
        <v>0.44423076923076921</v>
      </c>
    </row>
  </sheetData>
  <mergeCells count="1">
    <mergeCell ref="M42:O4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80D6-ACAD-4E75-8E0B-585406CEDB5C}">
  <dimension ref="A1:L54"/>
  <sheetViews>
    <sheetView tabSelected="1" workbookViewId="0">
      <selection activeCell="D10" sqref="D10"/>
    </sheetView>
  </sheetViews>
  <sheetFormatPr baseColWidth="10" defaultRowHeight="14.4" x14ac:dyDescent="0.3"/>
  <cols>
    <col min="2" max="2" width="40.109375" bestFit="1" customWidth="1"/>
    <col min="3" max="3" width="17.33203125" customWidth="1"/>
    <col min="4" max="4" width="44.77734375" bestFit="1" customWidth="1"/>
    <col min="6" max="6" width="40.33203125" bestFit="1" customWidth="1"/>
    <col min="9" max="9" width="32.109375" bestFit="1" customWidth="1"/>
    <col min="12" max="12" width="12.5546875" bestFit="1" customWidth="1"/>
  </cols>
  <sheetData>
    <row r="1" spans="1:12" x14ac:dyDescent="0.3">
      <c r="B1" t="s">
        <v>36</v>
      </c>
    </row>
    <row r="4" spans="1:12" x14ac:dyDescent="0.3">
      <c r="B4" s="1" t="s">
        <v>10</v>
      </c>
      <c r="C4" s="2">
        <v>26</v>
      </c>
      <c r="D4" t="s">
        <v>34</v>
      </c>
      <c r="F4" s="8" t="s">
        <v>12</v>
      </c>
      <c r="G4" s="2">
        <f>C11*C4*C6</f>
        <v>3603.6</v>
      </c>
      <c r="H4" s="2" t="s">
        <v>15</v>
      </c>
    </row>
    <row r="5" spans="1:12" x14ac:dyDescent="0.3">
      <c r="B5" s="1" t="s">
        <v>0</v>
      </c>
      <c r="C5" s="2">
        <v>8</v>
      </c>
      <c r="D5" t="s">
        <v>55</v>
      </c>
      <c r="F5" s="8" t="s">
        <v>2</v>
      </c>
      <c r="G5" s="2">
        <f>C5*C6*C4</f>
        <v>208</v>
      </c>
      <c r="H5" s="2" t="s">
        <v>16</v>
      </c>
    </row>
    <row r="6" spans="1:12" x14ac:dyDescent="0.3">
      <c r="B6" s="1" t="s">
        <v>1</v>
      </c>
      <c r="C6" s="2">
        <v>1</v>
      </c>
      <c r="D6" s="23"/>
      <c r="F6" s="8" t="s">
        <v>3</v>
      </c>
      <c r="G6" s="2">
        <f>G5*60</f>
        <v>12480</v>
      </c>
      <c r="H6" s="2" t="s">
        <v>6</v>
      </c>
    </row>
    <row r="7" spans="1:12" x14ac:dyDescent="0.3">
      <c r="B7" s="2"/>
      <c r="C7" s="2"/>
      <c r="F7" s="8" t="s">
        <v>14</v>
      </c>
      <c r="G7" s="2">
        <f>C5*C6*60</f>
        <v>480</v>
      </c>
      <c r="H7" s="2" t="s">
        <v>6</v>
      </c>
    </row>
    <row r="8" spans="1:12" x14ac:dyDescent="0.3">
      <c r="B8" s="4" t="s">
        <v>4</v>
      </c>
      <c r="C8" s="27">
        <v>3058</v>
      </c>
      <c r="D8" t="s">
        <v>15</v>
      </c>
      <c r="F8" s="8" t="s">
        <v>5</v>
      </c>
      <c r="G8" s="2">
        <f>G6/C8</f>
        <v>4.0810987573577497</v>
      </c>
      <c r="H8" s="2" t="s">
        <v>7</v>
      </c>
    </row>
    <row r="9" spans="1:12" x14ac:dyDescent="0.3">
      <c r="A9" s="14" t="s">
        <v>49</v>
      </c>
      <c r="B9" s="1" t="s">
        <v>8</v>
      </c>
      <c r="C9" s="3">
        <v>0.9</v>
      </c>
      <c r="F9" s="8"/>
      <c r="G9" s="2"/>
      <c r="H9" s="2"/>
    </row>
    <row r="10" spans="1:12" x14ac:dyDescent="0.3">
      <c r="B10" s="1" t="s">
        <v>52</v>
      </c>
      <c r="C10" s="2">
        <v>11</v>
      </c>
      <c r="D10">
        <v>1.88</v>
      </c>
      <c r="F10" s="8" t="s">
        <v>9</v>
      </c>
      <c r="G10" s="22">
        <f>(G4*C9)/C4</f>
        <v>124.74</v>
      </c>
      <c r="H10" s="2" t="s">
        <v>15</v>
      </c>
      <c r="I10" s="22">
        <f>G10*C4</f>
        <v>3243.24</v>
      </c>
      <c r="J10" s="2" t="s">
        <v>46</v>
      </c>
      <c r="K10" s="22">
        <f>I10*12</f>
        <v>38918.879999999997</v>
      </c>
      <c r="L10" s="2" t="s">
        <v>51</v>
      </c>
    </row>
    <row r="11" spans="1:12" x14ac:dyDescent="0.3">
      <c r="A11">
        <v>18</v>
      </c>
      <c r="B11" s="1" t="s">
        <v>11</v>
      </c>
      <c r="C11" s="28">
        <f>C10*2*(C5-1)*C31</f>
        <v>138.6</v>
      </c>
      <c r="D11" t="s">
        <v>15</v>
      </c>
      <c r="F11" s="8" t="s">
        <v>13</v>
      </c>
      <c r="G11" s="7">
        <f>G7/G10</f>
        <v>3.8480038480038483</v>
      </c>
      <c r="H11" s="2" t="s">
        <v>7</v>
      </c>
    </row>
    <row r="13" spans="1:12" x14ac:dyDescent="0.3">
      <c r="F13" s="8" t="s">
        <v>35</v>
      </c>
    </row>
    <row r="15" spans="1:12" x14ac:dyDescent="0.3">
      <c r="B15" s="13" t="s">
        <v>18</v>
      </c>
      <c r="C15">
        <f>G5</f>
        <v>208</v>
      </c>
      <c r="D15" t="s">
        <v>16</v>
      </c>
    </row>
    <row r="16" spans="1:12" x14ac:dyDescent="0.3">
      <c r="B16" s="13" t="s">
        <v>19</v>
      </c>
      <c r="C16">
        <f>C4</f>
        <v>26</v>
      </c>
      <c r="D16" t="s">
        <v>16</v>
      </c>
    </row>
    <row r="17" spans="1:8" x14ac:dyDescent="0.3">
      <c r="B17" s="9" t="s">
        <v>20</v>
      </c>
      <c r="C17" s="11">
        <v>4</v>
      </c>
      <c r="D17" s="11" t="s">
        <v>22</v>
      </c>
      <c r="E17" s="10">
        <v>2</v>
      </c>
      <c r="F17" s="10" t="s">
        <v>23</v>
      </c>
      <c r="G17" s="12">
        <f>C17*E17</f>
        <v>8</v>
      </c>
      <c r="H17" t="s">
        <v>33</v>
      </c>
    </row>
    <row r="18" spans="1:8" x14ac:dyDescent="0.3">
      <c r="B18" s="9" t="s">
        <v>21</v>
      </c>
      <c r="C18" s="11">
        <v>4</v>
      </c>
      <c r="D18" s="11" t="s">
        <v>22</v>
      </c>
      <c r="E18" s="10">
        <v>3</v>
      </c>
      <c r="F18" s="10" t="s">
        <v>23</v>
      </c>
      <c r="G18" s="12">
        <f>C18*E18</f>
        <v>12</v>
      </c>
      <c r="H18" t="s">
        <v>33</v>
      </c>
    </row>
    <row r="21" spans="1:8" x14ac:dyDescent="0.3">
      <c r="D21" t="s">
        <v>41</v>
      </c>
      <c r="E21" t="s">
        <v>37</v>
      </c>
      <c r="F21" t="s">
        <v>24</v>
      </c>
      <c r="G21" s="6">
        <f>C15/C18</f>
        <v>52</v>
      </c>
      <c r="H21" t="s">
        <v>16</v>
      </c>
    </row>
    <row r="22" spans="1:8" x14ac:dyDescent="0.3">
      <c r="D22" t="s">
        <v>45</v>
      </c>
      <c r="F22" t="s">
        <v>25</v>
      </c>
      <c r="G22" s="6">
        <f>G18/C18</f>
        <v>3</v>
      </c>
      <c r="H22" t="s">
        <v>16</v>
      </c>
    </row>
    <row r="23" spans="1:8" x14ac:dyDescent="0.3">
      <c r="B23" t="s">
        <v>40</v>
      </c>
      <c r="F23" t="s">
        <v>26</v>
      </c>
      <c r="G23">
        <f>C15/(C17+C18)</f>
        <v>26</v>
      </c>
      <c r="H23" t="s">
        <v>16</v>
      </c>
    </row>
    <row r="24" spans="1:8" x14ac:dyDescent="0.3">
      <c r="B24" s="2"/>
      <c r="C24" s="2"/>
      <c r="F24" t="s">
        <v>27</v>
      </c>
      <c r="G24">
        <f xml:space="preserve"> (G18*G17)/(C18+C17)</f>
        <v>12</v>
      </c>
      <c r="H24" t="s">
        <v>16</v>
      </c>
    </row>
    <row r="25" spans="1:8" x14ac:dyDescent="0.3">
      <c r="B25" s="2"/>
      <c r="C25" s="2"/>
    </row>
    <row r="26" spans="1:8" ht="15" thickBot="1" x14ac:dyDescent="0.35">
      <c r="G26" s="5"/>
    </row>
    <row r="27" spans="1:8" x14ac:dyDescent="0.3">
      <c r="B27" s="15" t="s">
        <v>53</v>
      </c>
      <c r="C27" s="16">
        <f>G5</f>
        <v>208</v>
      </c>
      <c r="G27" s="5"/>
    </row>
    <row r="28" spans="1:8" x14ac:dyDescent="0.3">
      <c r="B28" s="17" t="s">
        <v>54</v>
      </c>
      <c r="C28" s="18">
        <f>G17+G18</f>
        <v>20</v>
      </c>
      <c r="G28" s="5"/>
    </row>
    <row r="29" spans="1:8" ht="15" thickBot="1" x14ac:dyDescent="0.35">
      <c r="A29" s="14" t="s">
        <v>50</v>
      </c>
      <c r="B29" s="19" t="s">
        <v>17</v>
      </c>
      <c r="C29" s="25">
        <f>(C27-C28)/C27</f>
        <v>0.90384615384615385</v>
      </c>
      <c r="G29" s="5"/>
    </row>
    <row r="30" spans="1:8" x14ac:dyDescent="0.3">
      <c r="G30" s="5"/>
    </row>
    <row r="31" spans="1:8" x14ac:dyDescent="0.3">
      <c r="B31" t="s">
        <v>56</v>
      </c>
      <c r="C31" s="24">
        <v>0.9</v>
      </c>
    </row>
    <row r="32" spans="1:8" x14ac:dyDescent="0.3">
      <c r="F32" t="s">
        <v>42</v>
      </c>
      <c r="G32">
        <f>1/G21</f>
        <v>1.9230769230769232E-2</v>
      </c>
    </row>
    <row r="33" spans="6:11" x14ac:dyDescent="0.3">
      <c r="F33" t="s">
        <v>43</v>
      </c>
      <c r="G33">
        <f>C15*12*G32</f>
        <v>48</v>
      </c>
      <c r="H33" t="s">
        <v>44</v>
      </c>
    </row>
    <row r="35" spans="6:11" x14ac:dyDescent="0.3">
      <c r="F35" t="s">
        <v>48</v>
      </c>
      <c r="G35">
        <f>(I10/C8)*100</f>
        <v>106.05755395683451</v>
      </c>
    </row>
    <row r="36" spans="6:11" x14ac:dyDescent="0.3">
      <c r="F36" t="s">
        <v>47</v>
      </c>
      <c r="G36" s="26">
        <f>(C29*C31*C9)</f>
        <v>0.73211538461538461</v>
      </c>
    </row>
    <row r="38" spans="6:11" ht="18" x14ac:dyDescent="0.35">
      <c r="I38" s="36" t="s">
        <v>57</v>
      </c>
      <c r="J38" s="36"/>
      <c r="K38" s="36"/>
    </row>
    <row r="39" spans="6:11" x14ac:dyDescent="0.3">
      <c r="I39" s="33" t="s">
        <v>74</v>
      </c>
      <c r="J39" s="33" t="s">
        <v>75</v>
      </c>
      <c r="K39" s="33" t="s">
        <v>76</v>
      </c>
    </row>
    <row r="40" spans="6:11" x14ac:dyDescent="0.3">
      <c r="I40" t="s">
        <v>10</v>
      </c>
      <c r="K40">
        <f xml:space="preserve"> 26</f>
        <v>26</v>
      </c>
    </row>
    <row r="41" spans="6:11" x14ac:dyDescent="0.3">
      <c r="I41" t="s">
        <v>69</v>
      </c>
      <c r="K41">
        <f>C6</f>
        <v>1</v>
      </c>
    </row>
    <row r="42" spans="6:11" x14ac:dyDescent="0.3">
      <c r="I42" t="s">
        <v>0</v>
      </c>
      <c r="K42">
        <f>C5</f>
        <v>8</v>
      </c>
    </row>
    <row r="43" spans="6:11" x14ac:dyDescent="0.3">
      <c r="I43" t="s">
        <v>66</v>
      </c>
      <c r="K43">
        <f>C8</f>
        <v>3058</v>
      </c>
    </row>
    <row r="44" spans="6:11" x14ac:dyDescent="0.3">
      <c r="I44" t="s">
        <v>62</v>
      </c>
      <c r="J44" t="s">
        <v>63</v>
      </c>
      <c r="K44" s="29">
        <f>G10/7</f>
        <v>17.82</v>
      </c>
    </row>
    <row r="45" spans="6:11" x14ac:dyDescent="0.3">
      <c r="I45" t="s">
        <v>67</v>
      </c>
      <c r="K45" s="29">
        <f>I10</f>
        <v>3243.24</v>
      </c>
    </row>
    <row r="46" spans="6:11" x14ac:dyDescent="0.3">
      <c r="I46" t="s">
        <v>58</v>
      </c>
      <c r="J46" t="s">
        <v>61</v>
      </c>
      <c r="K46">
        <f>G8</f>
        <v>4.0810987573577497</v>
      </c>
    </row>
    <row r="47" spans="6:11" x14ac:dyDescent="0.3">
      <c r="I47" t="s">
        <v>59</v>
      </c>
      <c r="J47" t="s">
        <v>60</v>
      </c>
      <c r="K47" s="6">
        <f>G11</f>
        <v>3.8480038480038483</v>
      </c>
    </row>
    <row r="48" spans="6:11" x14ac:dyDescent="0.3">
      <c r="I48" t="s">
        <v>64</v>
      </c>
      <c r="J48" t="s">
        <v>24</v>
      </c>
      <c r="K48" s="6">
        <f>G21</f>
        <v>52</v>
      </c>
    </row>
    <row r="49" spans="9:11" x14ac:dyDescent="0.3">
      <c r="I49" t="s">
        <v>65</v>
      </c>
      <c r="J49" t="s">
        <v>25</v>
      </c>
      <c r="K49" s="6">
        <f>G22</f>
        <v>3</v>
      </c>
    </row>
    <row r="50" spans="9:11" x14ac:dyDescent="0.3">
      <c r="I50" t="s">
        <v>68</v>
      </c>
      <c r="J50" t="s">
        <v>26</v>
      </c>
      <c r="K50">
        <f>G23</f>
        <v>26</v>
      </c>
    </row>
    <row r="51" spans="9:11" x14ac:dyDescent="0.3">
      <c r="I51" t="s">
        <v>56</v>
      </c>
      <c r="J51" t="s">
        <v>71</v>
      </c>
      <c r="K51" s="30">
        <f>C31</f>
        <v>0.9</v>
      </c>
    </row>
    <row r="52" spans="9:11" x14ac:dyDescent="0.3">
      <c r="I52" t="s">
        <v>17</v>
      </c>
      <c r="J52" t="s">
        <v>70</v>
      </c>
      <c r="K52" s="30">
        <f>C29</f>
        <v>0.90384615384615385</v>
      </c>
    </row>
    <row r="53" spans="9:11" x14ac:dyDescent="0.3">
      <c r="I53" t="s">
        <v>49</v>
      </c>
      <c r="J53" t="s">
        <v>72</v>
      </c>
      <c r="K53" s="30">
        <f>C9</f>
        <v>0.9</v>
      </c>
    </row>
    <row r="54" spans="9:11" ht="15.6" x14ac:dyDescent="0.3">
      <c r="I54" t="s">
        <v>73</v>
      </c>
      <c r="J54" t="s">
        <v>47</v>
      </c>
      <c r="K54" s="34">
        <f>G36</f>
        <v>0.73211538461538461</v>
      </c>
    </row>
  </sheetData>
  <mergeCells count="1">
    <mergeCell ref="I38:K38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Automatizado</vt:lpstr>
      <vt:lpstr>KPI V2</vt:lpstr>
      <vt:lpstr>KPI Automatizado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Brayan_Calderon</dc:creator>
  <cp:lastModifiedBy>Brayan José  Calderón Amorocho</cp:lastModifiedBy>
  <dcterms:created xsi:type="dcterms:W3CDTF">2022-05-31T22:15:37Z</dcterms:created>
  <dcterms:modified xsi:type="dcterms:W3CDTF">2022-06-28T07:40:09Z</dcterms:modified>
</cp:coreProperties>
</file>