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B8CF93F3-F82A-4F97-908B-5205FF3509A6}" xr6:coauthVersionLast="47" xr6:coauthVersionMax="47" xr10:uidLastSave="{00000000-0000-0000-0000-000000000000}"/>
  <bookViews>
    <workbookView xWindow="-38520" yWindow="-120" windowWidth="38640" windowHeight="21240" firstSheet="1" activeTab="3" xr2:uid="{00000000-000D-0000-FFFF-FFFF00000000}"/>
  </bookViews>
  <sheets>
    <sheet name="melee_logic" sheetId="4" r:id="rId1"/>
    <sheet name="fire_logic" sheetId="3" r:id="rId2"/>
    <sheet name="hook_logic" sheetId="5" r:id="rId3"/>
    <sheet name="ram_logic" sheetId="8" r:id="rId4"/>
    <sheet name="other_logic" sheetId="7" r:id="rId5"/>
    <sheet name="shield_logi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6" l="1" a="1"/>
  <c r="M5" i="6" s="1"/>
  <c r="M6" i="6" a="1"/>
  <c r="M6" i="6" s="1"/>
  <c r="M7" i="6" a="1"/>
  <c r="M7" i="6" s="1"/>
  <c r="M8" i="6" a="1"/>
  <c r="M8" i="6" s="1"/>
  <c r="M9" i="6" a="1"/>
  <c r="M9" i="6" s="1"/>
  <c r="M10" i="6" a="1"/>
  <c r="M10" i="6" s="1"/>
  <c r="M11" i="6" a="1"/>
  <c r="M11" i="6" s="1"/>
  <c r="M4" i="6" a="1"/>
  <c r="M4" i="6" s="1"/>
  <c r="J11" i="6"/>
  <c r="I11" i="6"/>
  <c r="E11" i="6"/>
  <c r="J10" i="6"/>
  <c r="I10" i="6"/>
  <c r="E10" i="6"/>
  <c r="J9" i="6"/>
  <c r="I9" i="6"/>
  <c r="E9" i="6"/>
  <c r="J8" i="6"/>
  <c r="I8" i="6"/>
  <c r="E8" i="6"/>
  <c r="J7" i="6"/>
  <c r="I7" i="6"/>
  <c r="E7" i="6"/>
  <c r="J6" i="6"/>
  <c r="I6" i="6"/>
  <c r="E6" i="6"/>
  <c r="J5" i="6"/>
  <c r="I5" i="6"/>
  <c r="E5" i="6"/>
  <c r="L6" i="8"/>
  <c r="L5" i="8"/>
  <c r="L4" i="8"/>
  <c r="H4" i="7"/>
  <c r="J6" i="8"/>
  <c r="J5" i="8"/>
  <c r="J4" i="8"/>
  <c r="J4" i="6"/>
  <c r="I4" i="6"/>
  <c r="E4" i="6"/>
  <c r="N8" i="5"/>
  <c r="E8" i="5"/>
  <c r="N7" i="5"/>
  <c r="E7" i="5"/>
  <c r="N6" i="5"/>
  <c r="E6" i="5"/>
  <c r="N5" i="5"/>
  <c r="E5" i="5"/>
  <c r="N4" i="5"/>
  <c r="E4" i="5"/>
  <c r="AP25" i="3"/>
  <c r="AQ25" i="3" s="1"/>
  <c r="AO25" i="3"/>
  <c r="AN25" i="3"/>
  <c r="AM25" i="3" s="1"/>
  <c r="AK25" i="3"/>
  <c r="M25" i="3"/>
  <c r="H25" i="3"/>
  <c r="AQ24" i="3"/>
  <c r="AP24" i="3"/>
  <c r="AO24" i="3"/>
  <c r="AN24" i="3"/>
  <c r="AM24" i="3" s="1"/>
  <c r="AK24" i="3"/>
  <c r="M24" i="3"/>
  <c r="H24" i="3"/>
  <c r="AP23" i="3"/>
  <c r="AQ23" i="3" s="1"/>
  <c r="AO23" i="3"/>
  <c r="AN23" i="3"/>
  <c r="AM23" i="3" s="1"/>
  <c r="AK23" i="3"/>
  <c r="M23" i="3"/>
  <c r="H23" i="3"/>
  <c r="AQ22" i="3"/>
  <c r="AP22" i="3"/>
  <c r="AO22" i="3"/>
  <c r="AN22" i="3"/>
  <c r="AM22" i="3" s="1"/>
  <c r="AK22" i="3"/>
  <c r="M22" i="3"/>
  <c r="H22" i="3"/>
  <c r="AP21" i="3"/>
  <c r="AQ21" i="3" s="1"/>
  <c r="AO21" i="3"/>
  <c r="AN21" i="3"/>
  <c r="AM21" i="3" s="1"/>
  <c r="AK21" i="3"/>
  <c r="M21" i="3"/>
  <c r="H21" i="3"/>
  <c r="AQ20" i="3"/>
  <c r="AP20" i="3"/>
  <c r="AO20" i="3"/>
  <c r="AN20" i="3"/>
  <c r="AM20" i="3" s="1"/>
  <c r="AK20" i="3"/>
  <c r="M20" i="3"/>
  <c r="H20" i="3"/>
  <c r="AR17" i="3"/>
  <c r="AQ17" i="3"/>
  <c r="AP17" i="3"/>
  <c r="AO17" i="3"/>
  <c r="AN17" i="3"/>
  <c r="AM17" i="3"/>
  <c r="AK17" i="3"/>
  <c r="AI17" i="3"/>
  <c r="AE17" i="3"/>
  <c r="AD17" i="3"/>
  <c r="AB17" i="3"/>
  <c r="AA17" i="3"/>
  <c r="Z17" i="3" s="1" a="1"/>
  <c r="Z17" i="3" s="1"/>
  <c r="X17" i="3"/>
  <c r="V17" i="3"/>
  <c r="M17" i="3"/>
  <c r="H17" i="3"/>
  <c r="AT16" i="3"/>
  <c r="AS16" i="3"/>
  <c r="AR16" i="3"/>
  <c r="AP16" i="3"/>
  <c r="AO16" i="3"/>
  <c r="AN16" i="3"/>
  <c r="AM16" i="3" s="1"/>
  <c r="AK16" i="3"/>
  <c r="AI16" i="3"/>
  <c r="AE16" i="3"/>
  <c r="AD16" i="3"/>
  <c r="AB16" i="3"/>
  <c r="AA16" i="3"/>
  <c r="Z16" i="3" a="1"/>
  <c r="Z16" i="3" s="1"/>
  <c r="Y16" i="3"/>
  <c r="X16" i="3"/>
  <c r="V16" i="3"/>
  <c r="M16" i="3"/>
  <c r="H16" i="3"/>
  <c r="AT14" i="3"/>
  <c r="AS14" i="3"/>
  <c r="AR14" i="3"/>
  <c r="AP14" i="3"/>
  <c r="AO14" i="3"/>
  <c r="AN14" i="3"/>
  <c r="AM14" i="3"/>
  <c r="AW14" i="3" s="1"/>
  <c r="AK14" i="3"/>
  <c r="AI14" i="3"/>
  <c r="AE14" i="3"/>
  <c r="AD14" i="3"/>
  <c r="AB14" i="3"/>
  <c r="AA14" i="3"/>
  <c r="Z14" i="3" s="1" a="1"/>
  <c r="Z14" i="3" s="1"/>
  <c r="Y14" i="3"/>
  <c r="X14" i="3"/>
  <c r="V14" i="3"/>
  <c r="M14" i="3"/>
  <c r="H14" i="3"/>
  <c r="AT13" i="3"/>
  <c r="AR13" i="3"/>
  <c r="AO13" i="3"/>
  <c r="AN13" i="3"/>
  <c r="AM13" i="3"/>
  <c r="AW13" i="3" s="1"/>
  <c r="AK13" i="3"/>
  <c r="AJ13" i="3"/>
  <c r="AP13" i="3" s="1"/>
  <c r="AI13" i="3"/>
  <c r="AE13" i="3"/>
  <c r="AD13" i="3"/>
  <c r="AB13" i="3"/>
  <c r="AA13" i="3"/>
  <c r="Z13" i="3" s="1" a="1"/>
  <c r="Z13" i="3" s="1"/>
  <c r="X13" i="3"/>
  <c r="V13" i="3"/>
  <c r="M13" i="3"/>
  <c r="H13" i="3"/>
  <c r="AR12" i="3"/>
  <c r="AP12" i="3"/>
  <c r="AO12" i="3"/>
  <c r="AN12" i="3"/>
  <c r="AM12" i="3" s="1"/>
  <c r="AK12" i="3"/>
  <c r="AI12" i="3"/>
  <c r="AE12" i="3"/>
  <c r="AD12" i="3"/>
  <c r="AB12" i="3"/>
  <c r="AA12" i="3"/>
  <c r="AT12" i="3" s="1"/>
  <c r="Z12" i="3" a="1"/>
  <c r="Z12" i="3" s="1"/>
  <c r="X12" i="3"/>
  <c r="V12" i="3"/>
  <c r="M12" i="3"/>
  <c r="H12" i="3"/>
  <c r="AR11" i="3"/>
  <c r="AP11" i="3"/>
  <c r="AO11" i="3"/>
  <c r="AN11" i="3"/>
  <c r="AM11" i="3" s="1"/>
  <c r="AK11" i="3"/>
  <c r="AI11" i="3"/>
  <c r="AE11" i="3"/>
  <c r="AD11" i="3"/>
  <c r="AB11" i="3"/>
  <c r="AA11" i="3"/>
  <c r="Z11" i="3" s="1" a="1"/>
  <c r="Z11" i="3" s="1"/>
  <c r="X11" i="3"/>
  <c r="V11" i="3"/>
  <c r="M11" i="3"/>
  <c r="H11" i="3"/>
  <c r="AT10" i="3"/>
  <c r="AR10" i="3"/>
  <c r="AP10" i="3"/>
  <c r="AO10" i="3"/>
  <c r="AN10" i="3"/>
  <c r="AM10" i="3" s="1"/>
  <c r="AK10" i="3"/>
  <c r="AI10" i="3"/>
  <c r="AE10" i="3"/>
  <c r="AD10" i="3"/>
  <c r="AB10" i="3"/>
  <c r="AA10" i="3"/>
  <c r="AS10" i="3" s="1"/>
  <c r="Y10" i="3"/>
  <c r="X10" i="3"/>
  <c r="V10" i="3"/>
  <c r="M10" i="3"/>
  <c r="H10" i="3"/>
  <c r="AR9" i="3"/>
  <c r="AQ9" i="3"/>
  <c r="AP9" i="3"/>
  <c r="AO9" i="3"/>
  <c r="AN9" i="3"/>
  <c r="AM9" i="3"/>
  <c r="AK9" i="3"/>
  <c r="AI9" i="3"/>
  <c r="AE9" i="3"/>
  <c r="AD9" i="3"/>
  <c r="AB9" i="3"/>
  <c r="AA9" i="3"/>
  <c r="Z9" i="3" s="1" a="1"/>
  <c r="Z9" i="3" s="1"/>
  <c r="X9" i="3"/>
  <c r="V9" i="3"/>
  <c r="M9" i="3"/>
  <c r="H9" i="3"/>
  <c r="AT8" i="3"/>
  <c r="AR8" i="3"/>
  <c r="AO8" i="3"/>
  <c r="AN8" i="3"/>
  <c r="AM8" i="3" s="1"/>
  <c r="AI8" i="3"/>
  <c r="AJ8" i="3" s="1"/>
  <c r="AE8" i="3"/>
  <c r="AD8" i="3"/>
  <c r="AB8" i="3"/>
  <c r="AA8" i="3"/>
  <c r="Z8" i="3" s="1" a="1"/>
  <c r="Z8" i="3" s="1"/>
  <c r="X8" i="3"/>
  <c r="V8" i="3"/>
  <c r="M8" i="3"/>
  <c r="H8" i="3"/>
  <c r="AT7" i="3"/>
  <c r="AS7" i="3"/>
  <c r="AR7" i="3"/>
  <c r="AO7" i="3"/>
  <c r="AN7" i="3"/>
  <c r="AM7" i="3" s="1"/>
  <c r="AI7" i="3"/>
  <c r="AJ7" i="3" s="1"/>
  <c r="AE7" i="3"/>
  <c r="AD7" i="3"/>
  <c r="AB7" i="3"/>
  <c r="Z7" i="3" s="1" a="1"/>
  <c r="Z7" i="3" s="1"/>
  <c r="AA7" i="3"/>
  <c r="Y7" i="3"/>
  <c r="X7" i="3"/>
  <c r="V7" i="3"/>
  <c r="M7" i="3"/>
  <c r="H7" i="3"/>
  <c r="AR6" i="3"/>
  <c r="AO6" i="3"/>
  <c r="AN6" i="3"/>
  <c r="AM6" i="3" s="1"/>
  <c r="AI6" i="3"/>
  <c r="AJ6" i="3" s="1"/>
  <c r="AE6" i="3"/>
  <c r="AD6" i="3"/>
  <c r="AB6" i="3"/>
  <c r="AA6" i="3"/>
  <c r="Z6" i="3" s="1" a="1"/>
  <c r="Z6" i="3" s="1"/>
  <c r="X6" i="3"/>
  <c r="V6" i="3"/>
  <c r="M6" i="3"/>
  <c r="H6" i="3"/>
  <c r="AT5" i="3"/>
  <c r="AR5" i="3"/>
  <c r="AP5" i="3"/>
  <c r="AO5" i="3"/>
  <c r="AN5" i="3"/>
  <c r="AM5" i="3" s="1"/>
  <c r="AK5" i="3"/>
  <c r="AI5" i="3"/>
  <c r="AE5" i="3"/>
  <c r="AD5" i="3"/>
  <c r="AB5" i="3"/>
  <c r="AA5" i="3"/>
  <c r="AS5" i="3" s="1"/>
  <c r="Y5" i="3"/>
  <c r="X5" i="3"/>
  <c r="V5" i="3"/>
  <c r="M5" i="3"/>
  <c r="H5" i="3"/>
  <c r="AR4" i="3"/>
  <c r="AQ4" i="3"/>
  <c r="AP4" i="3"/>
  <c r="AO4" i="3"/>
  <c r="AN4" i="3"/>
  <c r="AM4" i="3"/>
  <c r="AU4" i="3" s="1"/>
  <c r="AK4" i="3"/>
  <c r="AI4" i="3"/>
  <c r="AE4" i="3"/>
  <c r="AD4" i="3"/>
  <c r="AB4" i="3"/>
  <c r="AA4" i="3"/>
  <c r="Z4" i="3" s="1" a="1"/>
  <c r="Z4" i="3" s="1"/>
  <c r="X4" i="3"/>
  <c r="V4" i="3"/>
  <c r="M4" i="3"/>
  <c r="H4" i="3"/>
  <c r="Z9" i="4"/>
  <c r="Y9" i="4"/>
  <c r="L9" i="4" a="1"/>
  <c r="L9" i="4" s="1"/>
  <c r="I9" i="4"/>
  <c r="E9" i="4"/>
  <c r="Z8" i="4"/>
  <c r="Y8" i="4"/>
  <c r="L8" i="4" a="1"/>
  <c r="L8" i="4" s="1"/>
  <c r="I8" i="4"/>
  <c r="E8" i="4"/>
  <c r="Z7" i="4"/>
  <c r="Y7" i="4"/>
  <c r="P7" i="4" a="1"/>
  <c r="P7" i="4"/>
  <c r="L7" i="4" a="1"/>
  <c r="L7" i="4" s="1"/>
  <c r="J7" i="4"/>
  <c r="I7" i="4" s="1"/>
  <c r="E7" i="4"/>
  <c r="Z6" i="4"/>
  <c r="Y6" i="4"/>
  <c r="L6" i="4" a="1"/>
  <c r="L6" i="4"/>
  <c r="J6" i="4"/>
  <c r="I6" i="4"/>
  <c r="E6" i="4"/>
  <c r="Z5" i="4"/>
  <c r="Y5" i="4"/>
  <c r="L5" i="4" a="1"/>
  <c r="L5" i="4" s="1"/>
  <c r="I5" i="4"/>
  <c r="E5" i="4"/>
  <c r="Z4" i="4"/>
  <c r="Y4" i="4"/>
  <c r="P4" i="4" a="1"/>
  <c r="P4" i="4" s="1"/>
  <c r="L4" i="4" a="1"/>
  <c r="L4" i="4" s="1"/>
  <c r="J4" i="4"/>
  <c r="I4" i="4" s="1"/>
  <c r="E4" i="4"/>
  <c r="AU11" i="3" l="1"/>
  <c r="AQ11" i="3"/>
  <c r="AP8" i="3"/>
  <c r="AK8" i="3"/>
  <c r="AU8" i="3"/>
  <c r="AQ8" i="3"/>
  <c r="AW8" i="3"/>
  <c r="AQ10" i="3"/>
  <c r="AW10" i="3"/>
  <c r="AV10" i="3"/>
  <c r="AX10" i="3" s="1"/>
  <c r="AU10" i="3"/>
  <c r="AU16" i="3"/>
  <c r="AQ16" i="3"/>
  <c r="AV16" i="3"/>
  <c r="AX16" i="3" s="1"/>
  <c r="AW16" i="3"/>
  <c r="AK7" i="3"/>
  <c r="AP7" i="3"/>
  <c r="AW7" i="3" s="1"/>
  <c r="AP6" i="3"/>
  <c r="AK6" i="3"/>
  <c r="AU6" i="3"/>
  <c r="AQ6" i="3"/>
  <c r="AQ5" i="3"/>
  <c r="AW5" i="3"/>
  <c r="AV5" i="3"/>
  <c r="AX5" i="3" s="1"/>
  <c r="AU5" i="3"/>
  <c r="AQ12" i="3"/>
  <c r="AV12" i="3"/>
  <c r="AX12" i="3" s="1"/>
  <c r="AW12" i="3"/>
  <c r="AU12" i="3"/>
  <c r="AS12" i="3"/>
  <c r="Z5" i="3" a="1"/>
  <c r="Z5" i="3" s="1"/>
  <c r="Z10" i="3" a="1"/>
  <c r="Z10" i="3" s="1"/>
  <c r="Y12" i="3"/>
  <c r="AQ14" i="3"/>
  <c r="AS4" i="3"/>
  <c r="AV4" i="3" s="1"/>
  <c r="AX4" i="3" s="1"/>
  <c r="AS9" i="3"/>
  <c r="AV9" i="3" s="1"/>
  <c r="AU14" i="3"/>
  <c r="AS17" i="3"/>
  <c r="Y4" i="3"/>
  <c r="AT4" i="3"/>
  <c r="Y9" i="3"/>
  <c r="AT9" i="3"/>
  <c r="AW9" i="3" s="1"/>
  <c r="AV14" i="3"/>
  <c r="AX14" i="3" s="1"/>
  <c r="Y17" i="3"/>
  <c r="AT17" i="3"/>
  <c r="AW17" i="3" s="1"/>
  <c r="AU9" i="3"/>
  <c r="AS11" i="3"/>
  <c r="AV11" i="3" s="1"/>
  <c r="AX11" i="3" s="1"/>
  <c r="AU17" i="3"/>
  <c r="Y6" i="3"/>
  <c r="AS6" i="3"/>
  <c r="AV6" i="3" s="1"/>
  <c r="Y11" i="3"/>
  <c r="AT11" i="3"/>
  <c r="AW11" i="3" s="1"/>
  <c r="AQ13" i="3"/>
  <c r="AV17" i="3"/>
  <c r="AW4" i="3"/>
  <c r="AT6" i="3"/>
  <c r="AW6" i="3" s="1"/>
  <c r="Y13" i="3"/>
  <c r="AS13" i="3"/>
  <c r="AV13" i="3" s="1"/>
  <c r="AX13" i="3" s="1"/>
  <c r="Y8" i="3"/>
  <c r="AS8" i="3"/>
  <c r="AV8" i="3" s="1"/>
  <c r="AX8" i="3" s="1"/>
  <c r="AU13" i="3"/>
  <c r="AX9" i="3" l="1"/>
  <c r="AX6" i="3"/>
  <c r="AQ7" i="3"/>
  <c r="AU7" i="3"/>
  <c r="AV7" i="3"/>
  <c r="AX7" i="3" s="1"/>
  <c r="AX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<sst xmlns="http://schemas.openxmlformats.org/spreadsheetml/2006/main" count="437" uniqueCount="246">
  <si>
    <t>logic_id</t>
  </si>
  <si>
    <t>cd</t>
  </si>
  <si>
    <t>can_blaze</t>
  </si>
  <si>
    <t>sharpness_min</t>
  </si>
  <si>
    <t>sharpness_loss</t>
  </si>
  <si>
    <t>sharpness_recover</t>
  </si>
  <si>
    <t>SE_attack_begin</t>
  </si>
  <si>
    <t>hit_period</t>
  </si>
  <si>
    <t>hit_period_2</t>
  </si>
  <si>
    <t>hit_box_offset</t>
  </si>
  <si>
    <t>atk_part_speed</t>
  </si>
  <si>
    <t>damage</t>
  </si>
  <si>
    <t>critical_chance</t>
  </si>
  <si>
    <t>critical_dmg_rate</t>
  </si>
  <si>
    <t>knockback_ft</t>
  </si>
  <si>
    <t>uint key</t>
  </si>
  <si>
    <t>int</t>
  </si>
  <si>
    <t>bool</t>
  </si>
  <si>
    <t>float</t>
  </si>
  <si>
    <t>string</t>
  </si>
  <si>
    <t>(float,float)</t>
  </si>
  <si>
    <t>(float,float)?</t>
  </si>
  <si>
    <t>近战逻辑id</t>
  </si>
  <si>
    <t>备注1
设备</t>
  </si>
  <si>
    <t>备注2
设备控制脚本</t>
  </si>
  <si>
    <r>
      <rPr>
        <b/>
        <sz val="11"/>
        <color theme="1"/>
        <rFont val="等线"/>
        <family val="3"/>
        <charset val="134"/>
        <scheme val="minor"/>
      </rPr>
      <t xml:space="preserve">攻击间隔
</t>
    </r>
    <r>
      <rPr>
        <sz val="11"/>
        <color theme="1"/>
        <rFont val="等线"/>
        <family val="3"/>
        <charset val="134"/>
        <scheme val="minor"/>
      </rPr>
      <t>(帧)</t>
    </r>
  </si>
  <si>
    <t>备注
(秒)</t>
  </si>
  <si>
    <r>
      <rPr>
        <b/>
        <sz val="11"/>
        <color theme="1"/>
        <rFont val="等线"/>
        <family val="3"/>
        <charset val="134"/>
        <scheme val="minor"/>
      </rPr>
      <t xml:space="preserve">能否连击
</t>
    </r>
    <r>
      <rPr>
        <i/>
        <sz val="11"/>
        <color theme="1"/>
        <rFont val="等线"/>
        <family val="3"/>
        <charset val="134"/>
        <scheme val="minor"/>
      </rPr>
      <t>true:自动攻击
false:手动攻击</t>
    </r>
  </si>
  <si>
    <t>锋利度
下限</t>
  </si>
  <si>
    <t>锋利度
击打损失</t>
  </si>
  <si>
    <t>锋利度
每帧恢复</t>
  </si>
  <si>
    <t>辅助列
每秒恢复</t>
  </si>
  <si>
    <t>音效 - 挥舞</t>
  </si>
  <si>
    <r>
      <rPr>
        <b/>
        <sz val="11"/>
        <color theme="1"/>
        <rFont val="等线"/>
        <family val="3"/>
        <charset val="134"/>
        <scheme val="minor"/>
      </rPr>
      <t xml:space="preserve">打击时间段1
</t>
    </r>
    <r>
      <rPr>
        <i/>
        <sz val="11"/>
        <color theme="1"/>
        <rFont val="等线"/>
        <family val="3"/>
        <charset val="134"/>
        <scheme val="minor"/>
      </rPr>
      <t>默认碰撞盒
开启、关闭
的时间段</t>
    </r>
  </si>
  <si>
    <t>碰撞盒
开启帧
attack_1</t>
  </si>
  <si>
    <t>碰撞盒
关闭帧
attack_1</t>
  </si>
  <si>
    <t>总帧数
attack_1</t>
  </si>
  <si>
    <r>
      <rPr>
        <b/>
        <sz val="11"/>
        <color theme="1"/>
        <rFont val="等线"/>
        <family val="3"/>
        <charset val="134"/>
        <scheme val="minor"/>
      </rPr>
      <t xml:space="preserve">打击时间段2
</t>
    </r>
    <r>
      <rPr>
        <i/>
        <sz val="11"/>
        <color theme="1"/>
        <rFont val="等线"/>
        <family val="3"/>
        <charset val="134"/>
        <scheme val="minor"/>
      </rPr>
      <t>若attack2动画为戳刺而不是挥砍，则需要配置不同的碰撞盒开关时间</t>
    </r>
  </si>
  <si>
    <t>碰撞盒
开启帧
attack_2</t>
  </si>
  <si>
    <t>碰撞盒
关闭帧
attack_2</t>
  </si>
  <si>
    <t>总帧数
attack_2</t>
  </si>
  <si>
    <r>
      <rPr>
        <b/>
        <sz val="11"/>
        <color theme="1"/>
        <rFont val="等线"/>
        <family val="3"/>
        <charset val="134"/>
        <scheme val="minor"/>
      </rPr>
      <t xml:space="preserve">碰撞盒偏移
</t>
    </r>
    <r>
      <rPr>
        <i/>
        <sz val="11"/>
        <color theme="1"/>
        <rFont val="等线"/>
        <family val="3"/>
        <charset val="134"/>
        <scheme val="minor"/>
      </rPr>
      <t>碰撞盒到自身坐标的偏移距离，根据动画进行配置</t>
    </r>
  </si>
  <si>
    <t>攻击部件移速</t>
  </si>
  <si>
    <t>伤害</t>
  </si>
  <si>
    <r>
      <rPr>
        <b/>
        <sz val="11"/>
        <color theme="1"/>
        <rFont val="等线"/>
        <family val="3"/>
        <charset val="134"/>
        <scheme val="minor"/>
      </rPr>
      <t xml:space="preserve">暴击率
</t>
    </r>
    <r>
      <rPr>
        <i/>
        <sz val="10"/>
        <color theme="1"/>
        <rFont val="等线"/>
        <family val="3"/>
        <charset val="134"/>
        <scheme val="minor"/>
      </rPr>
      <t>千分比配置
1000=100%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rgb="FFC00000"/>
        <rFont val="等线"/>
        <family val="3"/>
        <charset val="134"/>
        <scheme val="minor"/>
      </rPr>
      <t>怪物未实装</t>
    </r>
  </si>
  <si>
    <r>
      <rPr>
        <b/>
        <sz val="11"/>
        <color theme="1"/>
        <rFont val="等线"/>
        <family val="3"/>
        <charset val="134"/>
        <scheme val="minor"/>
      </rPr>
      <t xml:space="preserve">暴击伤害倍率
</t>
    </r>
    <r>
      <rPr>
        <i/>
        <sz val="10"/>
        <color theme="1"/>
        <rFont val="等线"/>
        <family val="3"/>
        <charset val="134"/>
        <scheme val="minor"/>
      </rPr>
      <t xml:space="preserve">千分比配置
1000=100%
配置值不应低于1000
</t>
    </r>
    <r>
      <rPr>
        <i/>
        <sz val="11"/>
        <color rgb="FFC00000"/>
        <rFont val="等线"/>
        <family val="3"/>
        <charset val="134"/>
        <scheme val="minor"/>
      </rPr>
      <t>怪物未实装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</si>
  <si>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单轮DPS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</si>
  <si>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平均DPS</t>
    </r>
  </si>
  <si>
    <t>击退力度</t>
  </si>
  <si>
    <t>短匕</t>
  </si>
  <si>
    <t>BasicMelee</t>
  </si>
  <si>
    <t>se_ag_melee_wield</t>
  </si>
  <si>
    <t>砍刀</t>
  </si>
  <si>
    <t>大剑</t>
  </si>
  <si>
    <t>长矛</t>
  </si>
  <si>
    <t>执刑木棍</t>
  </si>
  <si>
    <t>执刑斧钺</t>
  </si>
  <si>
    <t>SE_fire</t>
  </si>
  <si>
    <t>SE_reloaded</t>
  </si>
  <si>
    <t>projectile_id</t>
  </si>
  <si>
    <t>speed</t>
  </si>
  <si>
    <t>projectile_life_ticks</t>
  </si>
  <si>
    <t>salvo</t>
  </si>
  <si>
    <t>angle</t>
  </si>
  <si>
    <t>bone_name</t>
  </si>
  <si>
    <t>capacity</t>
  </si>
  <si>
    <t>reload_by_stage</t>
  </si>
  <si>
    <t>reload_speed</t>
  </si>
  <si>
    <t>reload_manual_process</t>
  </si>
  <si>
    <t>reload_manual_reward</t>
  </si>
  <si>
    <t>tick_percent</t>
  </si>
  <si>
    <t>rapid_fire_tick_percent</t>
  </si>
  <si>
    <t>ignite</t>
  </si>
  <si>
    <t>uint</t>
  </si>
  <si>
    <t>(int,int)</t>
  </si>
  <si>
    <t>发射逻辑id</t>
  </si>
  <si>
    <t>备注1
名称</t>
  </si>
  <si>
    <t>备注2
类型</t>
  </si>
  <si>
    <t>备注3
设备/怪物控制脚本</t>
  </si>
  <si>
    <r>
      <rPr>
        <b/>
        <sz val="11"/>
        <color theme="1"/>
        <rFont val="等线"/>
        <family val="3"/>
        <charset val="134"/>
        <scheme val="minor"/>
      </rPr>
      <t xml:space="preserve">音效-射击
</t>
    </r>
    <r>
      <rPr>
        <i/>
        <sz val="11"/>
        <color rgb="FFC00000"/>
        <rFont val="等线"/>
        <family val="3"/>
        <charset val="134"/>
        <scheme val="minor"/>
      </rPr>
      <t>怪物未实装</t>
    </r>
  </si>
  <si>
    <r>
      <rPr>
        <b/>
        <sz val="11"/>
        <color theme="1"/>
        <rFont val="等线"/>
        <family val="3"/>
        <charset val="134"/>
        <scheme val="minor"/>
      </rPr>
      <t xml:space="preserve">音效-装填完毕
</t>
    </r>
    <r>
      <rPr>
        <i/>
        <sz val="11"/>
        <color rgb="FFC00000"/>
        <rFont val="等线"/>
        <family val="3"/>
        <charset val="134"/>
        <scheme val="minor"/>
      </rPr>
      <t>怪物未实装</t>
    </r>
  </si>
  <si>
    <t>飞射物id</t>
  </si>
  <si>
    <r>
      <rPr>
        <b/>
        <sz val="11"/>
        <color theme="1"/>
        <rFont val="等线"/>
        <family val="3"/>
        <charset val="134"/>
        <scheme val="minor"/>
      </rPr>
      <t xml:space="preserve">初速度
</t>
    </r>
    <r>
      <rPr>
        <i/>
        <sz val="9"/>
        <color theme="1"/>
        <rFont val="等线"/>
        <family val="3"/>
        <charset val="134"/>
        <scheme val="minor"/>
      </rPr>
      <t>设备: 随机
怪物: t控制</t>
    </r>
  </si>
  <si>
    <t>辅助列
初速度
min</t>
  </si>
  <si>
    <t>辅助列
初速度
max</t>
  </si>
  <si>
    <t>飞射物寿命</t>
  </si>
  <si>
    <t>辅助列
寿命
min</t>
  </si>
  <si>
    <t>辅助列
寿命
max</t>
  </si>
  <si>
    <r>
      <rPr>
        <b/>
        <sz val="11"/>
        <color theme="1"/>
        <rFont val="等线"/>
        <family val="3"/>
        <charset val="134"/>
        <scheme val="minor"/>
      </rPr>
      <t xml:space="preserve">齐发数
</t>
    </r>
    <r>
      <rPr>
        <i/>
        <sz val="11"/>
        <color theme="1"/>
        <rFont val="等线"/>
        <family val="3"/>
        <charset val="134"/>
        <scheme val="minor"/>
      </rPr>
      <t>单次射击多个子弹</t>
    </r>
  </si>
  <si>
    <t>散布角度</t>
  </si>
  <si>
    <t>初始骨骼</t>
  </si>
  <si>
    <r>
      <rPr>
        <b/>
        <sz val="11"/>
        <color theme="1"/>
        <rFont val="等线"/>
        <family val="3"/>
        <charset val="134"/>
        <scheme val="minor"/>
      </rPr>
      <t xml:space="preserve">备弹数
</t>
    </r>
    <r>
      <rPr>
        <i/>
        <sz val="9"/>
        <color theme="1"/>
        <rFont val="等线"/>
        <family val="3"/>
        <charset val="134"/>
        <scheme val="minor"/>
      </rPr>
      <t>弹匣容量
仅设备使用</t>
    </r>
    <r>
      <rPr>
        <b/>
        <sz val="9"/>
        <color theme="1"/>
        <rFont val="等线"/>
        <family val="3"/>
        <charset val="134"/>
        <scheme val="minor"/>
      </rPr>
      <t xml:space="preserve">
</t>
    </r>
    <r>
      <rPr>
        <i/>
        <sz val="9"/>
        <color rgb="FFFF0000"/>
        <rFont val="等线"/>
        <family val="3"/>
        <charset val="134"/>
        <scheme val="minor"/>
      </rPr>
      <t>对怪物无效</t>
    </r>
  </si>
  <si>
    <r>
      <rPr>
        <b/>
        <sz val="11"/>
        <color theme="1"/>
        <rFont val="等线"/>
        <family val="3"/>
        <charset val="134"/>
        <scheme val="minor"/>
      </rPr>
      <t xml:space="preserve">装填阶段数
</t>
    </r>
    <r>
      <rPr>
        <i/>
        <sz val="9"/>
        <color theme="1"/>
        <rFont val="等线"/>
        <family val="3"/>
        <charset val="134"/>
        <scheme val="minor"/>
      </rPr>
      <t xml:space="preserve">n&gt;0: 装填分为n段
n&lt;=0: 逐发装填
</t>
    </r>
    <r>
      <rPr>
        <i/>
        <sz val="9"/>
        <color rgb="FFFF0000"/>
        <rFont val="等线"/>
        <family val="3"/>
        <charset val="134"/>
        <scheme val="minor"/>
      </rPr>
      <t>对怪物无效</t>
    </r>
  </si>
  <si>
    <r>
      <rPr>
        <b/>
        <sz val="11"/>
        <color theme="1"/>
        <rFont val="等线"/>
        <family val="3"/>
        <charset val="134"/>
        <scheme val="minor"/>
      </rPr>
      <t xml:space="preserve">装填速度
</t>
    </r>
    <r>
      <rPr>
        <i/>
        <sz val="9"/>
        <color theme="1"/>
        <rFont val="等线"/>
        <family val="3"/>
        <charset val="134"/>
        <scheme val="minor"/>
      </rPr>
      <t xml:space="preserve">设备:装填速率
</t>
    </r>
    <r>
      <rPr>
        <i/>
        <sz val="9"/>
        <color rgb="FFFF0000"/>
        <rFont val="等线"/>
        <family val="3"/>
        <charset val="134"/>
        <scheme val="minor"/>
      </rPr>
      <t>对怪物无效</t>
    </r>
  </si>
  <si>
    <t>装填速率
时长辅助
（帧）</t>
  </si>
  <si>
    <t>备注1
时长(秒)</t>
  </si>
  <si>
    <r>
      <rPr>
        <b/>
        <sz val="11"/>
        <color theme="1"/>
        <rFont val="等线"/>
        <family val="3"/>
        <charset val="134"/>
        <scheme val="minor"/>
      </rPr>
      <t>设备手动装填阈值</t>
    </r>
    <r>
      <rPr>
        <i/>
        <sz val="11"/>
        <color theme="1"/>
        <rFont val="等线"/>
        <family val="3"/>
        <charset val="134"/>
        <scheme val="minor"/>
      </rPr>
      <t xml:space="preserve">
设备手动装填时的奖励触发阈值进度
</t>
    </r>
    <r>
      <rPr>
        <i/>
        <sz val="11"/>
        <color rgb="FFFF0000"/>
        <rFont val="等线"/>
        <family val="3"/>
        <charset val="134"/>
        <scheme val="minor"/>
      </rPr>
      <t>对怪物无效</t>
    </r>
  </si>
  <si>
    <r>
      <rPr>
        <b/>
        <sz val="11"/>
        <color theme="1"/>
        <rFont val="等线"/>
        <family val="3"/>
        <charset val="134"/>
        <scheme val="minor"/>
      </rPr>
      <t>设备手动装填奖励</t>
    </r>
    <r>
      <rPr>
        <i/>
        <sz val="11"/>
        <color theme="1"/>
        <rFont val="等线"/>
        <family val="3"/>
        <charset val="134"/>
        <scheme val="minor"/>
      </rPr>
      <t xml:space="preserve">
item1:成功奖励
item2:失败惩罚
</t>
    </r>
    <r>
      <rPr>
        <i/>
        <sz val="11"/>
        <color rgb="FFFF0000"/>
        <rFont val="等线"/>
        <family val="3"/>
        <charset val="134"/>
        <scheme val="minor"/>
      </rPr>
      <t>对怪物无效</t>
    </r>
  </si>
  <si>
    <t>奖励
时长
（帧）</t>
  </si>
  <si>
    <t>惩罚
时长
（帧）</t>
  </si>
  <si>
    <r>
      <rPr>
        <b/>
        <sz val="11"/>
        <color theme="1"/>
        <rFont val="等线"/>
        <family val="3"/>
        <charset val="134"/>
        <scheme val="minor"/>
      </rPr>
      <t xml:space="preserve">能否连续射击
</t>
    </r>
    <r>
      <rPr>
        <i/>
        <sz val="11"/>
        <color theme="1"/>
        <rFont val="等线"/>
        <family val="3"/>
        <charset val="134"/>
        <scheme val="minor"/>
      </rPr>
      <t xml:space="preserve">true:连续射击
false:单点射
</t>
    </r>
    <r>
      <rPr>
        <i/>
        <sz val="11"/>
        <color rgb="FFFF0000"/>
        <rFont val="等线"/>
        <family val="3"/>
        <charset val="134"/>
        <scheme val="minor"/>
      </rPr>
      <t>对怪物无效</t>
    </r>
  </si>
  <si>
    <r>
      <rPr>
        <b/>
        <sz val="11"/>
        <color theme="1"/>
        <rFont val="等线"/>
        <family val="3"/>
        <charset val="134"/>
        <scheme val="minor"/>
      </rPr>
      <t xml:space="preserve">开火帧（0~1）
</t>
    </r>
    <r>
      <rPr>
        <i/>
        <sz val="11"/>
        <color theme="1"/>
        <rFont val="等线"/>
        <family val="3"/>
        <charset val="134"/>
        <scheme val="minor"/>
      </rPr>
      <t>在这一时刻创造飞射物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rgb="FFFF0000"/>
        <rFont val="等线"/>
        <family val="3"/>
        <charset val="134"/>
        <scheme val="minor"/>
      </rPr>
      <t>对怪物无效</t>
    </r>
  </si>
  <si>
    <r>
      <rPr>
        <b/>
        <sz val="11"/>
        <color theme="1"/>
        <rFont val="等线"/>
        <family val="3"/>
        <charset val="134"/>
        <scheme val="minor"/>
      </rPr>
      <t xml:space="preserve">后摇帧（0~1）
</t>
    </r>
    <r>
      <rPr>
        <i/>
        <sz val="11"/>
        <color theme="1"/>
        <rFont val="等线"/>
        <family val="3"/>
        <charset val="134"/>
        <scheme val="minor"/>
      </rPr>
      <t>这一时刻后 进入可被打断的后摇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rgb="FFFF0000"/>
        <rFont val="等线"/>
        <family val="3"/>
        <charset val="134"/>
        <scheme val="minor"/>
      </rPr>
      <t>对怪物无效</t>
    </r>
  </si>
  <si>
    <t>射击帧</t>
  </si>
  <si>
    <t>打断帧</t>
  </si>
  <si>
    <t>总帧数</t>
  </si>
  <si>
    <t>最小
动画
攻击
间隔</t>
  </si>
  <si>
    <r>
      <rPr>
        <b/>
        <sz val="11"/>
        <color theme="1"/>
        <rFont val="等线"/>
        <family val="3"/>
        <charset val="134"/>
        <scheme val="minor"/>
      </rPr>
      <t>冷却 
(帧)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9"/>
        <color theme="1"/>
        <rFont val="等线"/>
        <family val="3"/>
        <charset val="134"/>
        <scheme val="minor"/>
      </rPr>
      <t>设备:基础cd</t>
    </r>
    <r>
      <rPr>
        <b/>
        <sz val="9"/>
        <color theme="1"/>
        <rFont val="等线"/>
        <family val="3"/>
        <charset val="134"/>
        <scheme val="minor"/>
      </rPr>
      <t xml:space="preserve">
</t>
    </r>
    <r>
      <rPr>
        <i/>
        <sz val="9"/>
        <color theme="1"/>
        <rFont val="等线"/>
        <family val="3"/>
        <charset val="134"/>
        <scheme val="minor"/>
      </rPr>
      <t>怪物:cd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</si>
  <si>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单轮伤害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</si>
  <si>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暴击修正倍率期望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</si>
  <si>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单轮耗时
</t>
    </r>
    <r>
      <rPr>
        <b/>
        <i/>
        <sz val="11"/>
        <color theme="1" tint="0.499984740745262"/>
        <rFont val="等线"/>
        <family val="3"/>
        <charset val="134"/>
        <scheme val="minor"/>
      </rPr>
      <t>(极限)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（秒）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</si>
  <si>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单轮耗时
（秒）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</si>
  <si>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装填默认总时长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</si>
  <si>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装填保底总时长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</si>
  <si>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装填最优总时长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</si>
  <si>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不装填
DPS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</si>
  <si>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装填保底
DPS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</si>
  <si>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最优装填
DPS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</si>
  <si>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
平均DPS</t>
    </r>
  </si>
  <si>
    <t>点燃</t>
  </si>
  <si>
    <t>弓箭</t>
  </si>
  <si>
    <t>设备</t>
  </si>
  <si>
    <t>BasicShooter</t>
  </si>
  <si>
    <t>se_ag_shoot_bow</t>
  </si>
  <si>
    <t>se_ag_gun_reloaded</t>
  </si>
  <si>
    <t>proj_muzzel</t>
  </si>
  <si>
    <t>防身手枪</t>
  </si>
  <si>
    <t>se_ag_shoot_gun</t>
  </si>
  <si>
    <t>喇叭霰弹枪</t>
  </si>
  <si>
    <t>百子连珠炮</t>
  </si>
  <si>
    <t>se_ag_shoot_gatlin</t>
  </si>
  <si>
    <t>机关箭匣</t>
  </si>
  <si>
    <t>火箭爆弹</t>
  </si>
  <si>
    <t>se_pixabay_shoot_rocket</t>
  </si>
  <si>
    <t>土制火箭爆弹</t>
  </si>
  <si>
    <t>单发火枪</t>
  </si>
  <si>
    <t>se_ag_shoot_sniper</t>
  </si>
  <si>
    <t>命运手枪</t>
  </si>
  <si>
    <t>镇暴左轮</t>
  </si>
  <si>
    <t>镇暴霰弹枪</t>
  </si>
  <si>
    <t>se_ag_shoot_shotgun</t>
  </si>
  <si>
    <t>车载投石器</t>
  </si>
  <si>
    <t>Shooter_Trebuchet</t>
  </si>
  <si>
    <t>se_ag_shoot_catapult</t>
  </si>
  <si>
    <t>飞针陀螺</t>
  </si>
  <si>
    <t>Shooter_Gyroscope</t>
  </si>
  <si>
    <t>se_ag_shoot_needle</t>
  </si>
  <si>
    <t>地宫洞穴人</t>
  </si>
  <si>
    <t>怪物</t>
  </si>
  <si>
    <t>dungeon_caveman</t>
  </si>
  <si>
    <t>地宫跳虫骑手</t>
  </si>
  <si>
    <t>dungeon_springtail_rider</t>
  </si>
  <si>
    <t>地宫蝙蝠骑手</t>
  </si>
  <si>
    <t>dungeon_bat_rider</t>
  </si>
  <si>
    <t>洞穴人流浪者</t>
  </si>
  <si>
    <t>dungeon_caveman_wanderer</t>
  </si>
  <si>
    <t>洞穴人纵火者</t>
  </si>
  <si>
    <t>dungeon_caveman_arsonist</t>
  </si>
  <si>
    <t>洞穴人暴徒</t>
  </si>
  <si>
    <t>dungeon_caveman_mob</t>
  </si>
  <si>
    <t>speed_shooting</t>
  </si>
  <si>
    <t>speed_hooked</t>
  </si>
  <si>
    <t>speed_reeling_in</t>
  </si>
  <si>
    <t>elasticity</t>
  </si>
  <si>
    <t>breaking_overlength</t>
  </si>
  <si>
    <t>damage_hit</t>
  </si>
  <si>
    <t>damage_by_period</t>
  </si>
  <si>
    <t>damage_interval</t>
  </si>
  <si>
    <t>钩索逻辑id</t>
  </si>
  <si>
    <t>备注2
控制脚本</t>
  </si>
  <si>
    <r>
      <rPr>
        <b/>
        <sz val="11"/>
        <color theme="1"/>
        <rFont val="等线"/>
        <family val="3"/>
        <charset val="134"/>
        <scheme val="minor"/>
      </rPr>
      <t xml:space="preserve">发射速度
</t>
    </r>
    <r>
      <rPr>
        <i/>
        <sz val="11"/>
        <color theme="1"/>
        <rFont val="等线"/>
        <family val="3"/>
        <charset val="134"/>
        <scheme val="minor"/>
      </rPr>
      <t>钩爪初始速度</t>
    </r>
  </si>
  <si>
    <r>
      <rPr>
        <b/>
        <sz val="11"/>
        <color theme="1"/>
        <rFont val="等线"/>
        <family val="3"/>
        <charset val="134"/>
        <scheme val="minor"/>
      </rPr>
      <t xml:space="preserve">回收速度
</t>
    </r>
    <r>
      <rPr>
        <i/>
        <sz val="11"/>
        <color theme="1"/>
        <rFont val="等线"/>
        <family val="3"/>
        <charset val="134"/>
        <scheme val="minor"/>
      </rPr>
      <t>钩住怪物时</t>
    </r>
  </si>
  <si>
    <r>
      <rPr>
        <b/>
        <sz val="11"/>
        <color theme="1"/>
        <rFont val="等线"/>
        <family val="3"/>
        <charset val="134"/>
        <scheme val="minor"/>
      </rPr>
      <t xml:space="preserve">回收速度
</t>
    </r>
    <r>
      <rPr>
        <i/>
        <sz val="11"/>
        <color theme="1"/>
        <rFont val="等线"/>
        <family val="3"/>
        <charset val="134"/>
        <scheme val="minor"/>
      </rPr>
      <t>空军时</t>
    </r>
  </si>
  <si>
    <t>弹性系数</t>
  </si>
  <si>
    <t>断裂长度（超长）</t>
  </si>
  <si>
    <t>命中初始伤害</t>
  </si>
  <si>
    <t>持续伤害</t>
  </si>
  <si>
    <r>
      <rPr>
        <b/>
        <sz val="11"/>
        <color theme="1"/>
        <rFont val="等线"/>
        <family val="3"/>
        <charset val="134"/>
        <scheme val="minor"/>
      </rPr>
      <t xml:space="preserve">持续伤害间隔
</t>
    </r>
    <r>
      <rPr>
        <i/>
        <sz val="11"/>
        <color theme="1"/>
        <rFont val="等线"/>
        <family val="3"/>
        <charset val="134"/>
        <scheme val="minor"/>
      </rPr>
      <t>(帧)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</si>
  <si>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hooking DPS</t>
    </r>
  </si>
  <si>
    <t>拖曳钩索</t>
  </si>
  <si>
    <t>BasicHook</t>
  </si>
  <si>
    <t>货运吊臂</t>
  </si>
  <si>
    <t>商队塔吊</t>
  </si>
  <si>
    <t>捕奴肉钩</t>
  </si>
  <si>
    <t>执刑人挂钩</t>
  </si>
  <si>
    <t>def_range</t>
  </si>
  <si>
    <t>energy_max</t>
  </si>
  <si>
    <t>energy_freezetick</t>
  </si>
  <si>
    <t>盾牌逻辑id</t>
  </si>
  <si>
    <r>
      <rPr>
        <b/>
        <sz val="11"/>
        <color theme="1"/>
        <rFont val="等线"/>
        <family val="3"/>
        <charset val="134"/>
        <scheme val="minor"/>
      </rPr>
      <t xml:space="preserve">防御距离
</t>
    </r>
    <r>
      <rPr>
        <i/>
        <sz val="11"/>
        <color theme="1"/>
        <rFont val="等线"/>
        <family val="3"/>
        <charset val="134"/>
        <scheme val="minor"/>
      </rPr>
      <t>防御时向前移动的距离</t>
    </r>
  </si>
  <si>
    <t>小圆盾</t>
  </si>
  <si>
    <t>BasicShield</t>
  </si>
  <si>
    <t>SE_hit_enemy</t>
  </si>
  <si>
    <t>damage_v_coef</t>
  </si>
  <si>
    <t>ft</t>
  </si>
  <si>
    <t>ft_v_coef</t>
  </si>
  <si>
    <t>collision_rotate_coef</t>
  </si>
  <si>
    <t>撞角逻辑id</t>
  </si>
  <si>
    <t>音效-撞到敌人</t>
  </si>
  <si>
    <t>伤害
基础伤害</t>
  </si>
  <si>
    <t>伤害
速度加成</t>
  </si>
  <si>
    <t>击退
基础击退</t>
  </si>
  <si>
    <t>击退
速度加成</t>
  </si>
  <si>
    <t>碰撞旋转系数</t>
  </si>
  <si>
    <t>配置辅助</t>
  </si>
  <si>
    <t>刺矛撞角</t>
  </si>
  <si>
    <t>BasicRam</t>
  </si>
  <si>
    <t>金属铲斗</t>
  </si>
  <si>
    <t>蘑菇挡板</t>
  </si>
  <si>
    <t>se_1</t>
  </si>
  <si>
    <t>animevent_prct_1</t>
  </si>
  <si>
    <t>其他逻辑id</t>
  </si>
  <si>
    <t>音效1</t>
  </si>
  <si>
    <t>音效1
说明</t>
  </si>
  <si>
    <t>动画1
时间点</t>
  </si>
  <si>
    <t>动画1
事件帧</t>
  </si>
  <si>
    <t>动画1
总帧数</t>
  </si>
  <si>
    <t>动画1
说明</t>
  </si>
  <si>
    <t>慑敌战鼓</t>
  </si>
  <si>
    <t>War_Drum</t>
  </si>
  <si>
    <t>se_ag_beat_drum</t>
  </si>
  <si>
    <t>鼓槌敲鼓声</t>
  </si>
  <si>
    <t>敲鼓时间点</t>
  </si>
  <si>
    <t>se_ag_ram_hit_bouncing</t>
    <phoneticPr fontId="19" type="noConversion"/>
  </si>
  <si>
    <t>se_ag_ram_hit_piercing</t>
    <phoneticPr fontId="19" type="noConversion"/>
  </si>
  <si>
    <t>ui_rotate_coef</t>
    <phoneticPr fontId="19" type="noConversion"/>
  </si>
  <si>
    <r>
      <t xml:space="preserve">UI旋转系数
</t>
    </r>
    <r>
      <rPr>
        <i/>
        <sz val="10"/>
        <color theme="1"/>
        <rFont val="等线"/>
        <family val="3"/>
        <charset val="134"/>
        <scheme val="minor"/>
      </rPr>
      <t>玩家手动旋转时的效率</t>
    </r>
    <phoneticPr fontId="19" type="noConversion"/>
  </si>
  <si>
    <t>木盾</t>
  </si>
  <si>
    <t>长阔盾</t>
  </si>
  <si>
    <t>硬皮盾</t>
  </si>
  <si>
    <t>金属板</t>
  </si>
  <si>
    <t>尖刺格斗盾</t>
  </si>
  <si>
    <t>藤牌</t>
  </si>
  <si>
    <t>格斗短剑</t>
  </si>
  <si>
    <t>能量 最大值</t>
    <phoneticPr fontId="19" type="noConversion"/>
  </si>
  <si>
    <t>能量 恢复冷却帧</t>
    <phoneticPr fontId="19" type="noConversion"/>
  </si>
  <si>
    <t>energy_reduce_by_block</t>
    <phoneticPr fontId="19" type="noConversion"/>
  </si>
  <si>
    <t>energy_recover</t>
    <phoneticPr fontId="19" type="noConversion"/>
  </si>
  <si>
    <t>(float,float)</t>
    <phoneticPr fontId="19" type="noConversion"/>
  </si>
  <si>
    <r>
      <t xml:space="preserve">能量 回复速度
</t>
    </r>
    <r>
      <rPr>
        <i/>
        <sz val="9"/>
        <color theme="1"/>
        <rFont val="等线"/>
        <family val="3"/>
        <charset val="134"/>
        <scheme val="minor"/>
      </rPr>
      <t>item1: idle，
item2: blocking</t>
    </r>
    <phoneticPr fontId="19" type="noConversion"/>
  </si>
  <si>
    <t>辅助列1</t>
    <phoneticPr fontId="19" type="noConversion"/>
  </si>
  <si>
    <t>辅助列2</t>
    <phoneticPr fontId="19" type="noConversion"/>
  </si>
  <si>
    <t>能量扣除 每防御</t>
    <phoneticPr fontId="19" type="noConversion"/>
  </si>
  <si>
    <t>音效-摇动旋转</t>
    <phoneticPr fontId="19" type="noConversion"/>
  </si>
  <si>
    <t>SE_rotate</t>
    <phoneticPr fontId="19" type="noConversion"/>
  </si>
  <si>
    <t>se_ram_rotate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</si>
</sst>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0"/>
      <name val="等线"/>
      <family val="3"/>
      <charset val="134"/>
      <scheme val="minor"/>
    </font>
    <font>
      <i/>
      <sz val="11"/>
      <color theme="5"/>
      <name val="等线"/>
      <family val="3"/>
      <charset val="134"/>
      <scheme val="minor"/>
    </font>
    <font>
      <i/>
      <sz val="11"/>
      <color theme="9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i/>
      <sz val="10"/>
      <color theme="0"/>
      <name val="等线"/>
      <family val="3"/>
      <charset val="134"/>
      <scheme val="minor"/>
    </font>
    <font>
      <i/>
      <sz val="10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theme="1" tint="0.499984740745262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  <font>
      <i/>
      <sz val="11"/>
      <color rgb="FFC00000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i/>
      <sz val="9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2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5" fillId="3" borderId="0" xfId="2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2 2" xfId="2" xr:uid="{00000000-0005-0000-0000-000032000000}"/>
  </cellStyles>
  <dxfs count="2">
    <dxf>
      <font>
        <color rgb="FFC00000"/>
      </font>
      <fill>
        <patternFill patternType="solid">
          <bgColor rgb="FFFCAC88"/>
        </patternFill>
      </fill>
    </dxf>
    <dxf>
      <font>
        <color rgb="FFC00000"/>
      </font>
      <fill>
        <patternFill patternType="solid">
          <bgColor rgb="FFFCAC8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workbookViewId="0">
      <pane xSplit="3" ySplit="3" topLeftCell="D4" activePane="bottomRight" state="frozen"/>
      <selection pane="topRight"/>
      <selection pane="bottomLeft"/>
      <selection pane="bottomRight" activeCell="J17" sqref="J17"/>
    </sheetView>
  </sheetViews>
  <sheetFormatPr defaultColWidth="9.125" defaultRowHeight="14.25" x14ac:dyDescent="0.2"/>
  <cols>
    <col min="1" max="1" width="12.5" style="4" customWidth="1"/>
    <col min="2" max="2" width="11.5" style="5" customWidth="1"/>
    <col min="3" max="3" width="13.625" style="5" customWidth="1"/>
    <col min="4" max="4" width="11.375" style="4" customWidth="1"/>
    <col min="5" max="5" width="9.25" style="5" customWidth="1"/>
    <col min="6" max="6" width="14.625" style="4" customWidth="1"/>
    <col min="7" max="8" width="13.625" style="4" customWidth="1"/>
    <col min="9" max="9" width="14.625" style="4" customWidth="1"/>
    <col min="10" max="10" width="14.625" style="16" customWidth="1"/>
    <col min="11" max="11" width="17.625" style="4" customWidth="1"/>
    <col min="12" max="12" width="20.75" style="4" customWidth="1"/>
    <col min="13" max="15" width="10.875" style="6" customWidth="1"/>
    <col min="16" max="16" width="20.75" style="4" customWidth="1"/>
    <col min="17" max="19" width="10.875" style="6" customWidth="1"/>
    <col min="20" max="20" width="16" style="4" customWidth="1"/>
    <col min="21" max="21" width="14.25" style="4" customWidth="1"/>
    <col min="22" max="22" width="9.125" style="4"/>
    <col min="23" max="23" width="18.375" style="5" customWidth="1"/>
    <col min="24" max="24" width="17.75" style="5" customWidth="1"/>
    <col min="25" max="26" width="12.75" style="5" customWidth="1"/>
    <col min="27" max="27" width="12.25" style="4" customWidth="1"/>
    <col min="28" max="16384" width="9.125" style="4"/>
  </cols>
  <sheetData>
    <row r="1" spans="1:27" s="1" customFormat="1" x14ac:dyDescent="0.2">
      <c r="A1" s="1" t="s">
        <v>0</v>
      </c>
      <c r="B1" s="7"/>
      <c r="C1" s="7"/>
      <c r="D1" s="1" t="s">
        <v>1</v>
      </c>
      <c r="E1" s="7"/>
      <c r="F1" s="1" t="s">
        <v>2</v>
      </c>
      <c r="G1" s="1" t="s">
        <v>3</v>
      </c>
      <c r="H1" s="1" t="s">
        <v>4</v>
      </c>
      <c r="I1" s="1" t="s">
        <v>5</v>
      </c>
      <c r="J1" s="21"/>
      <c r="K1" s="1" t="s">
        <v>6</v>
      </c>
      <c r="L1" s="1" t="s">
        <v>7</v>
      </c>
      <c r="M1" s="11"/>
      <c r="N1" s="11"/>
      <c r="O1" s="11"/>
      <c r="P1" s="1" t="s">
        <v>8</v>
      </c>
      <c r="Q1" s="11"/>
      <c r="R1" s="11"/>
      <c r="S1" s="11"/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7"/>
      <c r="Z1" s="7"/>
      <c r="AA1" s="1" t="s">
        <v>14</v>
      </c>
    </row>
    <row r="2" spans="1:27" s="2" customFormat="1" x14ac:dyDescent="0.2">
      <c r="A2" s="2" t="s">
        <v>15</v>
      </c>
      <c r="B2" s="7"/>
      <c r="C2" s="7"/>
      <c r="D2" s="2" t="s">
        <v>16</v>
      </c>
      <c r="E2" s="7"/>
      <c r="F2" s="2" t="s">
        <v>17</v>
      </c>
      <c r="G2" s="2" t="s">
        <v>18</v>
      </c>
      <c r="H2" s="2" t="s">
        <v>18</v>
      </c>
      <c r="I2" s="2" t="s">
        <v>18</v>
      </c>
      <c r="J2" s="21"/>
      <c r="K2" s="2" t="s">
        <v>19</v>
      </c>
      <c r="L2" s="2" t="s">
        <v>20</v>
      </c>
      <c r="M2" s="12"/>
      <c r="N2" s="12"/>
      <c r="O2" s="12"/>
      <c r="P2" s="2" t="s">
        <v>21</v>
      </c>
      <c r="Q2" s="12"/>
      <c r="R2" s="12"/>
      <c r="S2" s="12"/>
      <c r="T2" s="2" t="s">
        <v>18</v>
      </c>
      <c r="U2" s="2" t="s">
        <v>18</v>
      </c>
      <c r="V2" s="2" t="s">
        <v>16</v>
      </c>
      <c r="W2" s="2" t="s">
        <v>16</v>
      </c>
      <c r="X2" s="2" t="s">
        <v>16</v>
      </c>
      <c r="Y2" s="7"/>
      <c r="Z2" s="7"/>
      <c r="AA2" s="2" t="s">
        <v>18</v>
      </c>
    </row>
    <row r="3" spans="1:27" s="3" customFormat="1" ht="66.75" x14ac:dyDescent="0.2">
      <c r="A3" s="8" t="s">
        <v>22</v>
      </c>
      <c r="B3" s="9" t="s">
        <v>23</v>
      </c>
      <c r="C3" s="9" t="s">
        <v>24</v>
      </c>
      <c r="D3" s="10" t="s">
        <v>25</v>
      </c>
      <c r="E3" s="9" t="s">
        <v>26</v>
      </c>
      <c r="F3" s="10" t="s">
        <v>27</v>
      </c>
      <c r="G3" s="10" t="s">
        <v>28</v>
      </c>
      <c r="H3" s="10" t="s">
        <v>29</v>
      </c>
      <c r="I3" s="10" t="s">
        <v>30</v>
      </c>
      <c r="J3" s="22" t="s">
        <v>31</v>
      </c>
      <c r="K3" s="14" t="s">
        <v>32</v>
      </c>
      <c r="L3" s="10" t="s">
        <v>33</v>
      </c>
      <c r="M3" s="13" t="s">
        <v>34</v>
      </c>
      <c r="N3" s="13" t="s">
        <v>35</v>
      </c>
      <c r="O3" s="13" t="s">
        <v>36</v>
      </c>
      <c r="P3" s="10" t="s">
        <v>37</v>
      </c>
      <c r="Q3" s="13" t="s">
        <v>38</v>
      </c>
      <c r="R3" s="13" t="s">
        <v>39</v>
      </c>
      <c r="S3" s="13" t="s">
        <v>40</v>
      </c>
      <c r="T3" s="10" t="s">
        <v>41</v>
      </c>
      <c r="U3" s="10" t="s">
        <v>42</v>
      </c>
      <c r="V3" s="8" t="s">
        <v>43</v>
      </c>
      <c r="W3" s="14" t="s">
        <v>44</v>
      </c>
      <c r="X3" s="14" t="s">
        <v>45</v>
      </c>
      <c r="Y3" s="9" t="s">
        <v>46</v>
      </c>
      <c r="Z3" s="9" t="s">
        <v>47</v>
      </c>
      <c r="AA3" s="8" t="s">
        <v>48</v>
      </c>
    </row>
    <row r="4" spans="1:27" x14ac:dyDescent="0.2">
      <c r="A4" s="4">
        <v>1310101</v>
      </c>
      <c r="B4" s="5" t="s">
        <v>49</v>
      </c>
      <c r="C4" s="5" t="s">
        <v>50</v>
      </c>
      <c r="D4" s="4">
        <v>24</v>
      </c>
      <c r="E4" s="5" t="str">
        <f>TEXT(D4/120,"0.00")&amp;" s"</f>
        <v>0.20 s</v>
      </c>
      <c r="F4" s="4" t="b">
        <v>1</v>
      </c>
      <c r="G4" s="4">
        <v>20</v>
      </c>
      <c r="H4" s="4">
        <v>1</v>
      </c>
      <c r="I4" s="4">
        <f>J4/120</f>
        <v>0.11111111111111112</v>
      </c>
      <c r="J4" s="16">
        <f>40/3</f>
        <v>13.333333333333334</v>
      </c>
      <c r="K4" s="4" t="s">
        <v>51</v>
      </c>
      <c r="L4" s="4" t="str" cm="1">
        <f t="array" ref="L4">_xlfn.TEXTJOIN("~",1,M4:N4/O4)</f>
        <v>0.25~0.45</v>
      </c>
      <c r="M4" s="6">
        <v>5</v>
      </c>
      <c r="N4" s="6">
        <v>9</v>
      </c>
      <c r="O4" s="6">
        <v>20</v>
      </c>
      <c r="P4" s="4" t="str" cm="1">
        <f t="array" ref="P4">_xlfn.TEXTJOIN("~",1,Q4:R4/S4)</f>
        <v>0.5~0.8</v>
      </c>
      <c r="Q4" s="6">
        <v>10</v>
      </c>
      <c r="R4" s="6">
        <v>16</v>
      </c>
      <c r="S4" s="6">
        <v>20</v>
      </c>
      <c r="T4" s="4">
        <v>0.71887000000000001</v>
      </c>
      <c r="U4" s="4">
        <v>12</v>
      </c>
      <c r="V4" s="4">
        <v>7</v>
      </c>
      <c r="W4" s="4">
        <v>200</v>
      </c>
      <c r="X4" s="4">
        <v>2000</v>
      </c>
      <c r="Y4" s="5">
        <f>$V4*30/$O4</f>
        <v>10.5</v>
      </c>
      <c r="Z4" s="5">
        <f>$V4*120/($D4+4*$O4)</f>
        <v>8.0769230769230766</v>
      </c>
      <c r="AA4" s="4">
        <v>1</v>
      </c>
    </row>
    <row r="5" spans="1:27" x14ac:dyDescent="0.2">
      <c r="A5" s="4">
        <v>1310102</v>
      </c>
      <c r="B5" s="5" t="s">
        <v>52</v>
      </c>
      <c r="C5" s="5" t="s">
        <v>50</v>
      </c>
      <c r="D5" s="4">
        <v>72</v>
      </c>
      <c r="E5" s="5" t="str">
        <f>TEXT(D5/120,"0.00")&amp;" s"</f>
        <v>0.60 s</v>
      </c>
      <c r="F5" s="4" t="b">
        <v>1</v>
      </c>
      <c r="G5" s="4">
        <v>30</v>
      </c>
      <c r="H5" s="4">
        <v>1</v>
      </c>
      <c r="I5" s="4">
        <f t="shared" ref="I5:I9" si="0">J5/120</f>
        <v>8.3333333333333329E-2</v>
      </c>
      <c r="J5" s="16">
        <v>10</v>
      </c>
      <c r="K5" s="4" t="s">
        <v>51</v>
      </c>
      <c r="L5" s="4" t="str" cm="1">
        <f t="array" ref="L5">_xlfn.TEXTJOIN("~",1,M5:N5/O5)</f>
        <v>0.32~0.48</v>
      </c>
      <c r="M5" s="6">
        <v>8</v>
      </c>
      <c r="N5" s="6">
        <v>12</v>
      </c>
      <c r="O5" s="6">
        <v>25</v>
      </c>
      <c r="P5" s="18"/>
      <c r="Q5" s="20"/>
      <c r="R5" s="20"/>
      <c r="S5" s="20"/>
      <c r="T5" s="4">
        <v>1.2643</v>
      </c>
      <c r="U5" s="4">
        <v>8</v>
      </c>
      <c r="V5" s="4">
        <v>13</v>
      </c>
      <c r="W5" s="4">
        <v>200</v>
      </c>
      <c r="X5" s="4">
        <v>2000</v>
      </c>
      <c r="Y5" s="5">
        <f t="shared" ref="Y5:Y9" si="1">$V5*30/$O5</f>
        <v>15.6</v>
      </c>
      <c r="Z5" s="5">
        <f t="shared" ref="Z5:Z9" si="2">$V5*120/($D5+4*$O5)</f>
        <v>9.0697674418604652</v>
      </c>
      <c r="AA5" s="4">
        <v>4</v>
      </c>
    </row>
    <row r="6" spans="1:27" x14ac:dyDescent="0.2">
      <c r="A6" s="4">
        <v>1310103</v>
      </c>
      <c r="B6" s="5" t="s">
        <v>53</v>
      </c>
      <c r="C6" s="5" t="s">
        <v>50</v>
      </c>
      <c r="D6" s="4">
        <v>108</v>
      </c>
      <c r="E6" s="5" t="str">
        <f>TEXT(D6/120,"0.00")&amp;" s"</f>
        <v>0.90 s</v>
      </c>
      <c r="F6" s="4" t="b">
        <v>0</v>
      </c>
      <c r="G6" s="4">
        <v>30</v>
      </c>
      <c r="H6" s="4">
        <v>0.9</v>
      </c>
      <c r="I6" s="4">
        <f t="shared" si="0"/>
        <v>5.5555555555555559E-2</v>
      </c>
      <c r="J6" s="16">
        <f>20/3</f>
        <v>6.666666666666667</v>
      </c>
      <c r="K6" s="4" t="s">
        <v>51</v>
      </c>
      <c r="L6" s="4" t="str" cm="1">
        <f t="array" ref="L6">_xlfn.TEXTJOIN("~",1,M6:N6/O6)</f>
        <v>0.466666666666667~0.6</v>
      </c>
      <c r="M6" s="6">
        <v>14</v>
      </c>
      <c r="N6" s="6">
        <v>18</v>
      </c>
      <c r="O6" s="6">
        <v>30</v>
      </c>
      <c r="P6" s="18"/>
      <c r="Q6" s="20"/>
      <c r="R6" s="20"/>
      <c r="S6" s="20"/>
      <c r="T6" s="4">
        <v>1.7058</v>
      </c>
      <c r="U6" s="4">
        <v>5</v>
      </c>
      <c r="V6" s="4">
        <v>24</v>
      </c>
      <c r="W6" s="4">
        <v>200</v>
      </c>
      <c r="X6" s="4">
        <v>2000</v>
      </c>
      <c r="Y6" s="5">
        <f t="shared" si="1"/>
        <v>24</v>
      </c>
      <c r="Z6" s="5">
        <f t="shared" si="2"/>
        <v>12.631578947368421</v>
      </c>
      <c r="AA6" s="4">
        <v>8</v>
      </c>
    </row>
    <row r="7" spans="1:27" x14ac:dyDescent="0.2">
      <c r="A7" s="4">
        <v>1310104</v>
      </c>
      <c r="B7" s="5" t="s">
        <v>54</v>
      </c>
      <c r="C7" s="5" t="s">
        <v>50</v>
      </c>
      <c r="D7" s="4">
        <v>90</v>
      </c>
      <c r="E7" s="5" t="str">
        <f>TEXT(D7/120,"0.00")&amp;" s"</f>
        <v>0.75 s</v>
      </c>
      <c r="F7" s="4" t="b">
        <v>0</v>
      </c>
      <c r="G7" s="4">
        <v>35</v>
      </c>
      <c r="H7" s="4">
        <v>0.7</v>
      </c>
      <c r="I7" s="4">
        <f t="shared" si="0"/>
        <v>2.777777777777778E-2</v>
      </c>
      <c r="J7" s="16">
        <f>10/3</f>
        <v>3.3333333333333335</v>
      </c>
      <c r="K7" s="4" t="s">
        <v>51</v>
      </c>
      <c r="L7" s="4" t="str" cm="1">
        <f t="array" ref="L7">_xlfn.TEXTJOIN("~",1,M7:N7/O7)</f>
        <v>0.333333333333333~0.433333333333333</v>
      </c>
      <c r="M7" s="6">
        <v>10</v>
      </c>
      <c r="N7" s="6">
        <v>13</v>
      </c>
      <c r="O7" s="6">
        <v>30</v>
      </c>
      <c r="P7" s="4" t="str" cm="1">
        <f t="array" ref="P7">_xlfn.TEXTJOIN("~",1,Q7:R7/S7)</f>
        <v>0.5~0.666666666666667</v>
      </c>
      <c r="Q7" s="6">
        <v>15</v>
      </c>
      <c r="R7" s="6">
        <v>20</v>
      </c>
      <c r="S7" s="6">
        <v>30</v>
      </c>
      <c r="T7" s="4">
        <v>2.097</v>
      </c>
      <c r="U7" s="4">
        <v>6</v>
      </c>
      <c r="V7" s="4">
        <v>16</v>
      </c>
      <c r="W7" s="4">
        <v>200</v>
      </c>
      <c r="X7" s="4">
        <v>2000</v>
      </c>
      <c r="Y7" s="5">
        <f t="shared" si="1"/>
        <v>16</v>
      </c>
      <c r="Z7" s="5">
        <f t="shared" si="2"/>
        <v>9.1428571428571423</v>
      </c>
      <c r="AA7" s="4">
        <v>5</v>
      </c>
    </row>
    <row r="8" spans="1:27" x14ac:dyDescent="0.2">
      <c r="A8" s="4">
        <v>1311101</v>
      </c>
      <c r="B8" s="5" t="s">
        <v>55</v>
      </c>
      <c r="C8" s="5" t="s">
        <v>50</v>
      </c>
      <c r="D8" s="4">
        <v>90</v>
      </c>
      <c r="E8" s="5" t="str">
        <f>TEXT(D8/120,"0.00")&amp;" s"</f>
        <v>0.75 s</v>
      </c>
      <c r="F8" s="4" t="b">
        <v>1</v>
      </c>
      <c r="G8" s="4">
        <v>95</v>
      </c>
      <c r="H8" s="4">
        <v>0.05</v>
      </c>
      <c r="I8" s="4">
        <f t="shared" si="0"/>
        <v>1.6666666666666666E-2</v>
      </c>
      <c r="J8" s="16">
        <v>2</v>
      </c>
      <c r="K8" s="4" t="s">
        <v>51</v>
      </c>
      <c r="L8" s="4" t="str" cm="1">
        <f t="array" ref="L8">_xlfn.TEXTJOIN("~",1,M8:N8/O8)</f>
        <v>0.25~0.4</v>
      </c>
      <c r="M8" s="6">
        <v>5</v>
      </c>
      <c r="N8" s="6">
        <v>8</v>
      </c>
      <c r="O8" s="6">
        <v>20</v>
      </c>
      <c r="P8" s="18"/>
      <c r="Q8" s="20"/>
      <c r="R8" s="20"/>
      <c r="S8" s="20"/>
      <c r="T8" s="4">
        <v>1.67</v>
      </c>
      <c r="U8" s="4">
        <v>8</v>
      </c>
      <c r="V8" s="4">
        <v>12</v>
      </c>
      <c r="W8" s="4">
        <v>200</v>
      </c>
      <c r="X8" s="4">
        <v>2000</v>
      </c>
      <c r="Y8" s="5">
        <f t="shared" si="1"/>
        <v>18</v>
      </c>
      <c r="Z8" s="5">
        <f t="shared" si="2"/>
        <v>8.4705882352941178</v>
      </c>
      <c r="AA8" s="4">
        <v>12</v>
      </c>
    </row>
    <row r="9" spans="1:27" x14ac:dyDescent="0.2">
      <c r="A9" s="4">
        <v>1311102</v>
      </c>
      <c r="B9" s="5" t="s">
        <v>56</v>
      </c>
      <c r="C9" s="5" t="s">
        <v>50</v>
      </c>
      <c r="D9" s="4">
        <v>160</v>
      </c>
      <c r="E9" s="5" t="str">
        <f t="shared" ref="E9" si="3">TEXT(D9/120,"0.00")&amp;" s"</f>
        <v>1.33 s</v>
      </c>
      <c r="F9" s="4" t="b">
        <v>0</v>
      </c>
      <c r="G9" s="4">
        <v>60</v>
      </c>
      <c r="H9" s="4">
        <v>0.4</v>
      </c>
      <c r="I9" s="4">
        <f t="shared" si="0"/>
        <v>1.6666666666666666E-2</v>
      </c>
      <c r="J9" s="16">
        <v>2</v>
      </c>
      <c r="K9" s="4" t="s">
        <v>51</v>
      </c>
      <c r="L9" s="4" t="str" cm="1">
        <f t="array" ref="L9">_xlfn.TEXTJOIN("~",1,M9:N9/O9)</f>
        <v>0.485714285714286~0.571428571428571</v>
      </c>
      <c r="M9" s="6">
        <v>17</v>
      </c>
      <c r="N9" s="6">
        <v>20</v>
      </c>
      <c r="O9" s="6">
        <v>35</v>
      </c>
      <c r="P9" s="18"/>
      <c r="Q9" s="20"/>
      <c r="R9" s="20"/>
      <c r="S9" s="20"/>
      <c r="T9" s="4">
        <v>1.75</v>
      </c>
      <c r="U9" s="4">
        <v>2.5</v>
      </c>
      <c r="V9" s="4">
        <v>30</v>
      </c>
      <c r="W9" s="4">
        <v>200</v>
      </c>
      <c r="X9" s="4">
        <v>2000</v>
      </c>
      <c r="Y9" s="5">
        <f t="shared" si="1"/>
        <v>25.714285714285715</v>
      </c>
      <c r="Z9" s="5">
        <f t="shared" si="2"/>
        <v>12</v>
      </c>
      <c r="AA9" s="4">
        <v>15</v>
      </c>
    </row>
  </sheetData>
  <phoneticPr fontId="19" type="noConversion"/>
  <conditionalFormatting sqref="X3">
    <cfRule type="expression" dxfId="1" priority="1">
      <formula>AND(X3&lt;&gt;"",X3&lt;=1000)</formula>
    </cfRule>
  </conditionalFormatting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5"/>
  <sheetViews>
    <sheetView workbookViewId="0">
      <pane xSplit="4" ySplit="3" topLeftCell="E4" activePane="bottomRight" state="frozen"/>
      <selection pane="topRight"/>
      <selection pane="bottomLeft"/>
      <selection pane="bottomRight" activeCell="E1" sqref="E1:E1048576"/>
    </sheetView>
  </sheetViews>
  <sheetFormatPr defaultColWidth="9.125" defaultRowHeight="14.25" x14ac:dyDescent="0.2"/>
  <cols>
    <col min="1" max="1" width="12.5" style="4" customWidth="1"/>
    <col min="2" max="2" width="13.625" style="5" customWidth="1"/>
    <col min="3" max="3" width="6.75" style="5" customWidth="1"/>
    <col min="4" max="4" width="27.75" style="5" customWidth="1"/>
    <col min="5" max="5" width="23.625" style="4" customWidth="1"/>
    <col min="6" max="6" width="19" style="4" customWidth="1"/>
    <col min="7" max="7" width="11.375" style="4" customWidth="1"/>
    <col min="8" max="8" width="9.75" style="4" customWidth="1"/>
    <col min="9" max="10" width="7.25" style="6" customWidth="1"/>
    <col min="11" max="11" width="12.75" style="4" customWidth="1"/>
    <col min="12" max="12" width="16.25" style="4" customWidth="1"/>
    <col min="13" max="13" width="16.75" style="4" customWidth="1"/>
    <col min="14" max="15" width="8.125" style="6" customWidth="1"/>
    <col min="16" max="16" width="3.5" style="4" customWidth="1"/>
    <col min="17" max="17" width="8.625" style="4" customWidth="1"/>
    <col min="18" max="18" width="9" style="4" customWidth="1"/>
    <col min="19" max="19" width="11.375" style="4" customWidth="1"/>
    <col min="20" max="20" width="9.25" style="4" customWidth="1"/>
    <col min="21" max="21" width="13" style="4" customWidth="1"/>
    <col min="22" max="22" width="11.5" style="4" customWidth="1"/>
    <col min="23" max="23" width="9.25" style="16" customWidth="1"/>
    <col min="24" max="24" width="9.25" style="5" customWidth="1"/>
    <col min="25" max="26" width="16.125" style="4" customWidth="1"/>
    <col min="27" max="28" width="7.75" style="16" customWidth="1"/>
    <col min="29" max="29" width="14.625" style="4" customWidth="1"/>
    <col min="30" max="30" width="13.875" style="4" customWidth="1"/>
    <col min="31" max="31" width="16.125" style="4" customWidth="1"/>
    <col min="32" max="34" width="8" style="6" customWidth="1"/>
    <col min="35" max="35" width="4.25" style="17" customWidth="1"/>
    <col min="36" max="36" width="9" style="4" customWidth="1"/>
    <col min="37" max="37" width="9.25" style="5" customWidth="1"/>
    <col min="38" max="38" width="9.125" style="4"/>
    <col min="39" max="50" width="9.125" style="5"/>
    <col min="51" max="51" width="5.25" style="4" customWidth="1"/>
    <col min="52" max="16384" width="9.125" style="4"/>
  </cols>
  <sheetData>
    <row r="1" spans="1:51" s="1" customFormat="1" x14ac:dyDescent="0.2">
      <c r="A1" s="1" t="s">
        <v>0</v>
      </c>
      <c r="B1" s="7"/>
      <c r="C1" s="7"/>
      <c r="D1" s="7"/>
      <c r="E1" s="1" t="s">
        <v>57</v>
      </c>
      <c r="F1" s="1" t="s">
        <v>58</v>
      </c>
      <c r="G1" s="1" t="s">
        <v>59</v>
      </c>
      <c r="H1" s="1" t="s">
        <v>60</v>
      </c>
      <c r="I1" s="11"/>
      <c r="J1" s="11"/>
      <c r="K1" s="1" t="s">
        <v>12</v>
      </c>
      <c r="L1" s="1" t="s">
        <v>13</v>
      </c>
      <c r="M1" s="1" t="s">
        <v>61</v>
      </c>
      <c r="N1" s="11"/>
      <c r="O1" s="11"/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21"/>
      <c r="X1" s="7"/>
      <c r="Y1" s="1" t="s">
        <v>68</v>
      </c>
      <c r="Z1" s="1" t="s">
        <v>69</v>
      </c>
      <c r="AA1" s="21"/>
      <c r="AB1" s="21"/>
      <c r="AC1" s="1" t="s">
        <v>2</v>
      </c>
      <c r="AD1" s="1" t="s">
        <v>70</v>
      </c>
      <c r="AE1" s="1" t="s">
        <v>71</v>
      </c>
      <c r="AF1" s="11"/>
      <c r="AG1" s="11"/>
      <c r="AH1" s="11"/>
      <c r="AI1" s="25"/>
      <c r="AJ1" s="1" t="s">
        <v>1</v>
      </c>
      <c r="AK1" s="7"/>
      <c r="AL1" s="1" t="s">
        <v>11</v>
      </c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1" t="s">
        <v>72</v>
      </c>
    </row>
    <row r="2" spans="1:51" s="2" customFormat="1" x14ac:dyDescent="0.2">
      <c r="A2" s="2" t="s">
        <v>15</v>
      </c>
      <c r="B2" s="7"/>
      <c r="C2" s="7"/>
      <c r="D2" s="7"/>
      <c r="E2" s="2" t="s">
        <v>19</v>
      </c>
      <c r="F2" s="2" t="s">
        <v>19</v>
      </c>
      <c r="G2" s="2" t="s">
        <v>73</v>
      </c>
      <c r="H2" s="2" t="s">
        <v>20</v>
      </c>
      <c r="I2" s="12"/>
      <c r="J2" s="12"/>
      <c r="K2" s="2" t="s">
        <v>16</v>
      </c>
      <c r="L2" s="2" t="s">
        <v>16</v>
      </c>
      <c r="M2" s="2" t="s">
        <v>74</v>
      </c>
      <c r="N2" s="12"/>
      <c r="O2" s="12"/>
      <c r="Q2" s="2" t="s">
        <v>73</v>
      </c>
      <c r="R2" s="2" t="s">
        <v>18</v>
      </c>
      <c r="S2" s="2" t="s">
        <v>19</v>
      </c>
      <c r="T2" s="2" t="s">
        <v>73</v>
      </c>
      <c r="U2" s="2" t="s">
        <v>16</v>
      </c>
      <c r="V2" s="2" t="s">
        <v>18</v>
      </c>
      <c r="W2" s="21"/>
      <c r="X2" s="7"/>
      <c r="Y2" s="2" t="s">
        <v>18</v>
      </c>
      <c r="Z2" s="2" t="s">
        <v>20</v>
      </c>
      <c r="AA2" s="21"/>
      <c r="AB2" s="21"/>
      <c r="AC2" s="2" t="s">
        <v>17</v>
      </c>
      <c r="AD2" s="2" t="s">
        <v>18</v>
      </c>
      <c r="AE2" s="2" t="s">
        <v>18</v>
      </c>
      <c r="AF2" s="12"/>
      <c r="AG2" s="12"/>
      <c r="AH2" s="12"/>
      <c r="AI2" s="26"/>
      <c r="AJ2" s="2" t="s">
        <v>16</v>
      </c>
      <c r="AK2" s="7"/>
      <c r="AL2" s="2" t="s">
        <v>16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" t="s">
        <v>18</v>
      </c>
    </row>
    <row r="3" spans="1:51" s="3" customFormat="1" ht="66.75" x14ac:dyDescent="0.2">
      <c r="A3" s="8" t="s">
        <v>75</v>
      </c>
      <c r="B3" s="9" t="s">
        <v>76</v>
      </c>
      <c r="C3" s="9" t="s">
        <v>77</v>
      </c>
      <c r="D3" s="9" t="s">
        <v>78</v>
      </c>
      <c r="E3" s="14" t="s">
        <v>79</v>
      </c>
      <c r="F3" s="14" t="s">
        <v>80</v>
      </c>
      <c r="G3" s="3" t="s">
        <v>81</v>
      </c>
      <c r="H3" s="10" t="s">
        <v>82</v>
      </c>
      <c r="I3" s="13" t="s">
        <v>83</v>
      </c>
      <c r="J3" s="13" t="s">
        <v>84</v>
      </c>
      <c r="K3" s="14" t="s">
        <v>44</v>
      </c>
      <c r="L3" s="14" t="s">
        <v>45</v>
      </c>
      <c r="M3" s="8" t="s">
        <v>85</v>
      </c>
      <c r="N3" s="13" t="s">
        <v>86</v>
      </c>
      <c r="O3" s="13" t="s">
        <v>87</v>
      </c>
      <c r="Q3" s="10" t="s">
        <v>88</v>
      </c>
      <c r="R3" s="8" t="s">
        <v>89</v>
      </c>
      <c r="S3" s="8" t="s">
        <v>90</v>
      </c>
      <c r="T3" s="10" t="s">
        <v>91</v>
      </c>
      <c r="U3" s="10" t="s">
        <v>92</v>
      </c>
      <c r="V3" s="10" t="s">
        <v>93</v>
      </c>
      <c r="W3" s="22" t="s">
        <v>94</v>
      </c>
      <c r="X3" s="9" t="s">
        <v>95</v>
      </c>
      <c r="Y3" s="10" t="s">
        <v>96</v>
      </c>
      <c r="Z3" s="10" t="s">
        <v>97</v>
      </c>
      <c r="AA3" s="22" t="s">
        <v>98</v>
      </c>
      <c r="AB3" s="22" t="s">
        <v>99</v>
      </c>
      <c r="AC3" s="10" t="s">
        <v>100</v>
      </c>
      <c r="AD3" s="10" t="s">
        <v>101</v>
      </c>
      <c r="AE3" s="10" t="s">
        <v>102</v>
      </c>
      <c r="AF3" s="24" t="s">
        <v>103</v>
      </c>
      <c r="AG3" s="24" t="s">
        <v>104</v>
      </c>
      <c r="AH3" s="24" t="s">
        <v>105</v>
      </c>
      <c r="AI3" s="27" t="s">
        <v>106</v>
      </c>
      <c r="AJ3" s="10" t="s">
        <v>107</v>
      </c>
      <c r="AK3" s="9" t="s">
        <v>26</v>
      </c>
      <c r="AL3" s="3" t="s">
        <v>43</v>
      </c>
      <c r="AM3" s="9" t="s">
        <v>108</v>
      </c>
      <c r="AN3" s="9" t="s">
        <v>109</v>
      </c>
      <c r="AO3" s="9" t="s">
        <v>110</v>
      </c>
      <c r="AP3" s="9" t="s">
        <v>111</v>
      </c>
      <c r="AQ3" s="9" t="s">
        <v>46</v>
      </c>
      <c r="AR3" s="9" t="s">
        <v>112</v>
      </c>
      <c r="AS3" s="9" t="s">
        <v>113</v>
      </c>
      <c r="AT3" s="9" t="s">
        <v>114</v>
      </c>
      <c r="AU3" s="9" t="s">
        <v>115</v>
      </c>
      <c r="AV3" s="9" t="s">
        <v>116</v>
      </c>
      <c r="AW3" s="9" t="s">
        <v>117</v>
      </c>
      <c r="AX3" s="9" t="s">
        <v>118</v>
      </c>
      <c r="AY3" s="8" t="s">
        <v>119</v>
      </c>
    </row>
    <row r="4" spans="1:51" x14ac:dyDescent="0.2">
      <c r="A4" s="4">
        <v>1320101</v>
      </c>
      <c r="B4" s="5" t="s">
        <v>120</v>
      </c>
      <c r="C4" s="5" t="s">
        <v>121</v>
      </c>
      <c r="D4" s="5" t="s">
        <v>122</v>
      </c>
      <c r="E4" s="4" t="s">
        <v>123</v>
      </c>
      <c r="F4" s="4" t="s">
        <v>124</v>
      </c>
      <c r="G4" s="4">
        <v>1101</v>
      </c>
      <c r="H4" s="4" t="str">
        <f>_xlfn.TEXTJOIN("~",1,I4:J4)</f>
        <v>25~0</v>
      </c>
      <c r="I4" s="6">
        <v>25</v>
      </c>
      <c r="J4" s="6">
        <v>0</v>
      </c>
      <c r="K4" s="4">
        <v>200</v>
      </c>
      <c r="L4" s="4">
        <v>3000</v>
      </c>
      <c r="M4" s="4" t="str">
        <f>_xlfn.TEXTJOIN("~",1,N4:O4)</f>
        <v>2400~0</v>
      </c>
      <c r="N4" s="6">
        <v>2400</v>
      </c>
      <c r="O4" s="6">
        <v>0</v>
      </c>
      <c r="Q4" s="4">
        <v>1</v>
      </c>
      <c r="R4" s="4">
        <v>3</v>
      </c>
      <c r="S4" s="4" t="s">
        <v>125</v>
      </c>
      <c r="T4" s="4">
        <v>22</v>
      </c>
      <c r="U4" s="4">
        <v>1</v>
      </c>
      <c r="V4" s="4">
        <f t="shared" ref="V4:V14" si="0">1/W4</f>
        <v>8.3333333333333332E-3</v>
      </c>
      <c r="W4" s="16">
        <v>120</v>
      </c>
      <c r="X4" s="5" t="str">
        <f t="shared" ref="X4:X14" si="1">TEXT(W4/120,"0.00")&amp;" s"</f>
        <v>1.00 s</v>
      </c>
      <c r="Y4" s="4">
        <f t="shared" ref="Y4:Y14" si="2">(W4-AA4)/3/W4</f>
        <v>0.22222222222222224</v>
      </c>
      <c r="Z4" s="4" t="str" cm="1">
        <f t="array" ref="Z4">_xlfn.TEXTJOIN("~",1,AA4:AB4/W4)</f>
        <v>0.333333333333333~-0.333333333333333</v>
      </c>
      <c r="AA4" s="16">
        <f t="shared" ref="AA4:AA14" si="3">IF($W4&lt;10*4/3,0,$W4/4+10)</f>
        <v>40</v>
      </c>
      <c r="AB4" s="16">
        <f t="shared" ref="AB4:AB14" si="4">IF($W4&lt;30*12/11,0,-($W4/12+30))</f>
        <v>-40</v>
      </c>
      <c r="AD4" s="4">
        <f t="shared" ref="AD4:AD8" si="5">AF4/AH4</f>
        <v>0.88</v>
      </c>
      <c r="AE4" s="4">
        <f>AG4/AH4</f>
        <v>0.98</v>
      </c>
      <c r="AF4" s="6">
        <v>22</v>
      </c>
      <c r="AG4" s="6">
        <v>24.5</v>
      </c>
      <c r="AH4" s="6">
        <v>25</v>
      </c>
      <c r="AI4" s="17">
        <f>($AG4-$AF4)*120/30</f>
        <v>10</v>
      </c>
      <c r="AJ4" s="4">
        <v>60</v>
      </c>
      <c r="AK4" s="5" t="str">
        <f>TEXT(AJ4/120,"0.00")&amp;" s"</f>
        <v>0.50 s</v>
      </c>
      <c r="AL4" s="4">
        <v>25</v>
      </c>
      <c r="AM4" s="5">
        <f t="shared" ref="AM4:AM14" si="6">$AL4*$AN4*$Q4*$T4</f>
        <v>770</v>
      </c>
      <c r="AN4" s="5">
        <f>_xlfn.LET(_xlpm.p,($K4/1000),_xlpm.p*$L4/1000+(1-_xlpm.p))</f>
        <v>1.4</v>
      </c>
      <c r="AO4" s="5">
        <f t="shared" ref="AO4:AO14" si="7">(($T4-1)*$AG4+$AH4)/30</f>
        <v>17.983333333333334</v>
      </c>
      <c r="AP4" s="5">
        <f>(($T4-1)*($AG4+$AJ4/4)+$AH4)/30</f>
        <v>28.483333333333334</v>
      </c>
      <c r="AQ4" s="5">
        <f t="shared" ref="AQ4:AQ14" si="8">$AM4/$AP4</f>
        <v>27.033352837916908</v>
      </c>
      <c r="AR4" s="5">
        <f t="shared" ref="AR4:AR14" si="9">$W4*IF($U4&lt;=0,$T4,$U4)/120</f>
        <v>1</v>
      </c>
      <c r="AS4" s="5">
        <f t="shared" ref="AS4:AS14" si="10">($W4-$AA4*1)*IF($U4&lt;=0,$T4,$U4)/120</f>
        <v>0.66666666666666663</v>
      </c>
      <c r="AT4" s="5">
        <f t="shared" ref="AT4:AT14" si="11">($W4-$AA4*2)*IF($U4&lt;=0,$T4,$U4)/120</f>
        <v>0.33333333333333331</v>
      </c>
      <c r="AU4" s="5">
        <f t="shared" ref="AU4:AU14" si="12">$AM4/($AR4+$AP4)</f>
        <v>26.116449971735442</v>
      </c>
      <c r="AV4" s="5">
        <f t="shared" ref="AV4:AV14" si="13">$AM4/($AS4+$AP4)</f>
        <v>26.415094339622641</v>
      </c>
      <c r="AW4" s="5">
        <f t="shared" ref="AW4:AW14" si="14">$AM4/($AT4+$AP4)</f>
        <v>26.720647773279353</v>
      </c>
      <c r="AX4" s="5">
        <f t="shared" ref="AX4:AX14" si="15">($AV4+$AW4)*0.5</f>
        <v>26.567871056450997</v>
      </c>
      <c r="AY4" s="20">
        <v>0</v>
      </c>
    </row>
    <row r="5" spans="1:51" x14ac:dyDescent="0.2">
      <c r="A5" s="4">
        <v>1320102</v>
      </c>
      <c r="B5" s="5" t="s">
        <v>126</v>
      </c>
      <c r="C5" s="5" t="s">
        <v>121</v>
      </c>
      <c r="D5" s="5" t="s">
        <v>122</v>
      </c>
      <c r="E5" s="4" t="s">
        <v>127</v>
      </c>
      <c r="F5" s="4" t="s">
        <v>124</v>
      </c>
      <c r="G5" s="4">
        <v>1201</v>
      </c>
      <c r="H5" s="4" t="str">
        <f>_xlfn.TEXTJOIN("~",1,I5:J5)</f>
        <v>85~0</v>
      </c>
      <c r="I5" s="6">
        <v>85</v>
      </c>
      <c r="J5" s="6">
        <v>0</v>
      </c>
      <c r="K5" s="4">
        <v>20</v>
      </c>
      <c r="L5" s="4">
        <v>1500</v>
      </c>
      <c r="M5" s="4" t="str">
        <f t="shared" ref="M5:M6" si="16">_xlfn.TEXTJOIN("~",1,N5:O5)</f>
        <v>360~0</v>
      </c>
      <c r="N5" s="6">
        <v>360</v>
      </c>
      <c r="O5" s="6">
        <v>0</v>
      </c>
      <c r="Q5" s="4">
        <v>1</v>
      </c>
      <c r="R5" s="4">
        <v>4</v>
      </c>
      <c r="S5" s="4" t="s">
        <v>125</v>
      </c>
      <c r="T5" s="4">
        <v>12</v>
      </c>
      <c r="U5" s="4">
        <v>1</v>
      </c>
      <c r="V5" s="4">
        <f t="shared" si="0"/>
        <v>7.4074074074074077E-3</v>
      </c>
      <c r="W5" s="16">
        <v>135</v>
      </c>
      <c r="X5" s="5" t="str">
        <f t="shared" si="1"/>
        <v>1.13 s</v>
      </c>
      <c r="Y5" s="4">
        <f t="shared" si="2"/>
        <v>0.22530864197530864</v>
      </c>
      <c r="Z5" s="4" t="str" cm="1">
        <f t="array" ref="Z5">_xlfn.TEXTJOIN("~",1,AA5:AB5/W5)</f>
        <v>0.324074074074074~-0.305555555555556</v>
      </c>
      <c r="AA5" s="16">
        <f t="shared" si="3"/>
        <v>43.75</v>
      </c>
      <c r="AB5" s="16">
        <f t="shared" si="4"/>
        <v>-41.25</v>
      </c>
      <c r="AC5" s="4" t="b">
        <v>1</v>
      </c>
      <c r="AD5" s="4">
        <f t="shared" si="5"/>
        <v>0.6</v>
      </c>
      <c r="AE5" s="4">
        <f t="shared" ref="AE5:AE6" si="17">AG5/AH5</f>
        <v>0.9</v>
      </c>
      <c r="AF5" s="6">
        <v>6</v>
      </c>
      <c r="AG5" s="6">
        <v>9</v>
      </c>
      <c r="AH5" s="6">
        <v>10</v>
      </c>
      <c r="AI5" s="17">
        <f t="shared" ref="AI5:AI17" si="18">($AG5-$AF5)*120/30</f>
        <v>12</v>
      </c>
      <c r="AJ5" s="4">
        <v>40</v>
      </c>
      <c r="AK5" s="5" t="str">
        <f t="shared" ref="AK5:AK6" si="19">TEXT(AJ5/120,"0.00")&amp;" s"</f>
        <v>0.33 s</v>
      </c>
      <c r="AL5" s="4">
        <v>10</v>
      </c>
      <c r="AM5" s="5">
        <f t="shared" si="6"/>
        <v>121.19999999999999</v>
      </c>
      <c r="AN5" s="5">
        <f>_xlfn.LET(_xlpm.p,($K5/1000),_xlpm.p*$L5/1000+(1-_xlpm.p))</f>
        <v>1.01</v>
      </c>
      <c r="AO5" s="5">
        <f t="shared" si="7"/>
        <v>3.6333333333333333</v>
      </c>
      <c r="AP5" s="5">
        <f t="shared" ref="AP5:AP25" si="20">(($T5-1)*($AG5+$AJ5/4)+$AH5)/30</f>
        <v>7.3</v>
      </c>
      <c r="AQ5" s="5">
        <f t="shared" si="8"/>
        <v>16.602739726027394</v>
      </c>
      <c r="AR5" s="5">
        <f t="shared" si="9"/>
        <v>1.125</v>
      </c>
      <c r="AS5" s="5">
        <f t="shared" si="10"/>
        <v>0.76041666666666663</v>
      </c>
      <c r="AT5" s="5">
        <f t="shared" si="11"/>
        <v>0.39583333333333331</v>
      </c>
      <c r="AU5" s="5">
        <f t="shared" si="12"/>
        <v>14.385756676557861</v>
      </c>
      <c r="AV5" s="5">
        <f t="shared" si="13"/>
        <v>15.036443525458774</v>
      </c>
      <c r="AW5" s="5">
        <f t="shared" si="14"/>
        <v>15.748781808337844</v>
      </c>
      <c r="AX5" s="5">
        <f t="shared" si="15"/>
        <v>15.392612666898309</v>
      </c>
      <c r="AY5" s="20">
        <v>0</v>
      </c>
    </row>
    <row r="6" spans="1:51" x14ac:dyDescent="0.2">
      <c r="A6" s="4">
        <v>1320103</v>
      </c>
      <c r="B6" s="5" t="s">
        <v>128</v>
      </c>
      <c r="C6" s="5" t="s">
        <v>121</v>
      </c>
      <c r="D6" s="5" t="s">
        <v>122</v>
      </c>
      <c r="E6" s="4" t="s">
        <v>127</v>
      </c>
      <c r="F6" s="4" t="s">
        <v>124</v>
      </c>
      <c r="G6" s="4">
        <v>1202</v>
      </c>
      <c r="H6" s="4" t="str">
        <f t="shared" ref="H6:H9" si="21">_xlfn.TEXTJOIN("~",1,I6:J6)</f>
        <v>50~110</v>
      </c>
      <c r="I6" s="6">
        <v>50</v>
      </c>
      <c r="J6" s="6">
        <v>110</v>
      </c>
      <c r="K6" s="4">
        <v>20</v>
      </c>
      <c r="L6" s="4">
        <v>1500</v>
      </c>
      <c r="M6" s="4" t="str">
        <f t="shared" si="16"/>
        <v>4~22</v>
      </c>
      <c r="N6" s="6">
        <v>4</v>
      </c>
      <c r="O6" s="6">
        <v>22</v>
      </c>
      <c r="Q6" s="4">
        <v>20</v>
      </c>
      <c r="R6" s="4">
        <v>24</v>
      </c>
      <c r="S6" s="4" t="s">
        <v>125</v>
      </c>
      <c r="T6" s="4">
        <v>1</v>
      </c>
      <c r="U6" s="4">
        <v>0</v>
      </c>
      <c r="V6" s="4">
        <f t="shared" si="0"/>
        <v>2.0833333333333333E-3</v>
      </c>
      <c r="W6" s="16">
        <v>480</v>
      </c>
      <c r="X6" s="5" t="str">
        <f t="shared" ref="X6" si="22">TEXT(W6/120,"0.00")&amp;" s"</f>
        <v>4.00 s</v>
      </c>
      <c r="Y6" s="4">
        <f t="shared" si="2"/>
        <v>0.24305555555555555</v>
      </c>
      <c r="Z6" s="4" t="str" cm="1">
        <f t="array" ref="Z6">_xlfn.TEXTJOIN("~",1,AA6:AB6/W6)</f>
        <v>0.270833333333333~-0.145833333333333</v>
      </c>
      <c r="AA6" s="16">
        <f t="shared" si="3"/>
        <v>130</v>
      </c>
      <c r="AB6" s="16">
        <f t="shared" si="4"/>
        <v>-70</v>
      </c>
      <c r="AC6" s="4" t="b">
        <v>0</v>
      </c>
      <c r="AD6" s="4">
        <f t="shared" si="5"/>
        <v>0.7</v>
      </c>
      <c r="AE6" s="4">
        <f t="shared" si="17"/>
        <v>0.95</v>
      </c>
      <c r="AF6" s="6">
        <v>7</v>
      </c>
      <c r="AG6" s="6">
        <v>9.5</v>
      </c>
      <c r="AH6" s="6">
        <v>10</v>
      </c>
      <c r="AI6" s="17">
        <f t="shared" si="18"/>
        <v>10</v>
      </c>
      <c r="AJ6" s="28">
        <f t="shared" ref="AJ6:AJ13" si="23">AI6</f>
        <v>10</v>
      </c>
      <c r="AK6" s="5" t="str">
        <f t="shared" si="19"/>
        <v>0.08 s</v>
      </c>
      <c r="AL6" s="4">
        <v>5</v>
      </c>
      <c r="AM6" s="5">
        <f t="shared" si="6"/>
        <v>101</v>
      </c>
      <c r="AN6" s="5">
        <f t="shared" ref="AN6:AN25" si="24">_xlfn.LET(_xlpm.p,($K6/1000),_xlpm.p*$L6/1000+(1-_xlpm.p))</f>
        <v>1.01</v>
      </c>
      <c r="AO6" s="5">
        <f t="shared" si="7"/>
        <v>0.33333333333333331</v>
      </c>
      <c r="AP6" s="5">
        <f t="shared" si="20"/>
        <v>0.33333333333333331</v>
      </c>
      <c r="AQ6" s="5">
        <f t="shared" si="8"/>
        <v>303</v>
      </c>
      <c r="AR6" s="5">
        <f t="shared" si="9"/>
        <v>4</v>
      </c>
      <c r="AS6" s="5">
        <f t="shared" si="10"/>
        <v>2.9166666666666665</v>
      </c>
      <c r="AT6" s="5">
        <f t="shared" si="11"/>
        <v>1.8333333333333333</v>
      </c>
      <c r="AU6" s="5">
        <f t="shared" si="12"/>
        <v>23.30769230769231</v>
      </c>
      <c r="AV6" s="5">
        <f t="shared" si="13"/>
        <v>31.076923076923077</v>
      </c>
      <c r="AW6" s="5">
        <f t="shared" si="14"/>
        <v>46.61538461538462</v>
      </c>
      <c r="AX6" s="5">
        <f t="shared" si="15"/>
        <v>38.846153846153847</v>
      </c>
      <c r="AY6" s="20">
        <v>0</v>
      </c>
    </row>
    <row r="7" spans="1:51" x14ac:dyDescent="0.2">
      <c r="A7" s="4">
        <v>1320104</v>
      </c>
      <c r="B7" s="5" t="s">
        <v>129</v>
      </c>
      <c r="C7" s="5" t="s">
        <v>121</v>
      </c>
      <c r="D7" s="5" t="s">
        <v>122</v>
      </c>
      <c r="E7" s="4" t="s">
        <v>130</v>
      </c>
      <c r="F7" s="4" t="s">
        <v>124</v>
      </c>
      <c r="G7" s="4">
        <v>1204</v>
      </c>
      <c r="H7" s="4" t="str">
        <f t="shared" si="21"/>
        <v>120~0</v>
      </c>
      <c r="I7" s="6">
        <v>120</v>
      </c>
      <c r="J7" s="6">
        <v>0</v>
      </c>
      <c r="K7" s="4">
        <v>20</v>
      </c>
      <c r="L7" s="4">
        <v>1500</v>
      </c>
      <c r="M7" s="4" t="str">
        <f t="shared" ref="M7:M8" si="25">_xlfn.TEXTJOIN("~",1,N7:O7)</f>
        <v>360~0</v>
      </c>
      <c r="N7" s="6">
        <v>360</v>
      </c>
      <c r="O7" s="6">
        <v>0</v>
      </c>
      <c r="Q7" s="4">
        <v>1</v>
      </c>
      <c r="R7" s="4">
        <v>7.5</v>
      </c>
      <c r="S7" s="4" t="s">
        <v>125</v>
      </c>
      <c r="T7" s="4">
        <v>99</v>
      </c>
      <c r="U7" s="4">
        <v>4</v>
      </c>
      <c r="V7" s="4">
        <f t="shared" si="0"/>
        <v>1.2820512820512821E-3</v>
      </c>
      <c r="W7" s="16">
        <v>780</v>
      </c>
      <c r="X7" s="5" t="str">
        <f t="shared" si="1"/>
        <v>6.50 s</v>
      </c>
      <c r="Y7" s="4">
        <f t="shared" si="2"/>
        <v>0.24572649572649571</v>
      </c>
      <c r="Z7" s="4" t="str" cm="1">
        <f t="array" ref="Z7">_xlfn.TEXTJOIN("~",1,AA7:AB7/W7)</f>
        <v>0.262820512820513~-0.121794871794872</v>
      </c>
      <c r="AA7" s="16">
        <f t="shared" si="3"/>
        <v>205</v>
      </c>
      <c r="AB7" s="16">
        <f t="shared" si="4"/>
        <v>-95</v>
      </c>
      <c r="AC7" s="4" t="b">
        <v>1</v>
      </c>
      <c r="AD7" s="4">
        <f t="shared" si="5"/>
        <v>0.33333333333333331</v>
      </c>
      <c r="AE7" s="4">
        <f t="shared" ref="AE7:AE8" si="26">AG7/AH7</f>
        <v>0.375</v>
      </c>
      <c r="AF7" s="6">
        <v>2</v>
      </c>
      <c r="AG7" s="6">
        <v>2.25</v>
      </c>
      <c r="AH7" s="6">
        <v>6</v>
      </c>
      <c r="AI7" s="17">
        <f t="shared" si="18"/>
        <v>1</v>
      </c>
      <c r="AJ7" s="28">
        <f t="shared" si="23"/>
        <v>1</v>
      </c>
      <c r="AK7" s="5" t="str">
        <f t="shared" ref="AK7:AK8" si="27">TEXT(AJ7/120,"0.00")&amp;" s"</f>
        <v>0.01 s</v>
      </c>
      <c r="AL7" s="4">
        <v>20</v>
      </c>
      <c r="AM7" s="5">
        <f t="shared" si="6"/>
        <v>1999.8</v>
      </c>
      <c r="AN7" s="5">
        <f t="shared" si="24"/>
        <v>1.01</v>
      </c>
      <c r="AO7" s="5">
        <f t="shared" si="7"/>
        <v>7.55</v>
      </c>
      <c r="AP7" s="5">
        <f t="shared" si="20"/>
        <v>8.3666666666666671</v>
      </c>
      <c r="AQ7" s="5">
        <f t="shared" si="8"/>
        <v>239.01992031872507</v>
      </c>
      <c r="AR7" s="5">
        <f t="shared" si="9"/>
        <v>26</v>
      </c>
      <c r="AS7" s="5">
        <f t="shared" si="10"/>
        <v>19.166666666666668</v>
      </c>
      <c r="AT7" s="5">
        <f t="shared" si="11"/>
        <v>12.333333333333334</v>
      </c>
      <c r="AU7" s="5">
        <f t="shared" si="12"/>
        <v>58.190106692531522</v>
      </c>
      <c r="AV7" s="5">
        <f t="shared" si="13"/>
        <v>72.631961259079901</v>
      </c>
      <c r="AW7" s="5">
        <f t="shared" si="14"/>
        <v>96.608695652173893</v>
      </c>
      <c r="AX7" s="5">
        <f t="shared" si="15"/>
        <v>84.62032845562689</v>
      </c>
      <c r="AY7" s="20">
        <v>0</v>
      </c>
    </row>
    <row r="8" spans="1:51" x14ac:dyDescent="0.2">
      <c r="A8" s="4">
        <v>1320105</v>
      </c>
      <c r="B8" s="5" t="s">
        <v>131</v>
      </c>
      <c r="C8" s="5" t="s">
        <v>121</v>
      </c>
      <c r="D8" s="5" t="s">
        <v>122</v>
      </c>
      <c r="E8" s="4" t="s">
        <v>123</v>
      </c>
      <c r="F8" s="4" t="s">
        <v>124</v>
      </c>
      <c r="G8" s="4">
        <v>1101</v>
      </c>
      <c r="H8" s="4" t="str">
        <f t="shared" si="21"/>
        <v>20~25</v>
      </c>
      <c r="I8" s="6">
        <v>20</v>
      </c>
      <c r="J8" s="6">
        <v>25</v>
      </c>
      <c r="K8" s="4">
        <v>200</v>
      </c>
      <c r="L8" s="4">
        <v>3000</v>
      </c>
      <c r="M8" s="4" t="str">
        <f t="shared" si="25"/>
        <v>2400~0</v>
      </c>
      <c r="N8" s="6">
        <v>2400</v>
      </c>
      <c r="O8" s="6">
        <v>0</v>
      </c>
      <c r="Q8" s="4">
        <v>1</v>
      </c>
      <c r="R8" s="4">
        <v>6</v>
      </c>
      <c r="S8" s="4" t="s">
        <v>125</v>
      </c>
      <c r="T8" s="4">
        <v>4</v>
      </c>
      <c r="U8" s="4">
        <v>1</v>
      </c>
      <c r="V8" s="4">
        <f t="shared" si="0"/>
        <v>4.3859649122807015E-3</v>
      </c>
      <c r="W8" s="16">
        <v>228</v>
      </c>
      <c r="X8" s="5" t="str">
        <f t="shared" si="1"/>
        <v>1.90 s</v>
      </c>
      <c r="Y8" s="4">
        <f t="shared" si="2"/>
        <v>0.23538011695906433</v>
      </c>
      <c r="Z8" s="4" t="str" cm="1">
        <f t="array" ref="Z8">_xlfn.TEXTJOIN("~",1,AA8:AB8/W8)</f>
        <v>0.293859649122807~-0.214912280701754</v>
      </c>
      <c r="AA8" s="16">
        <f t="shared" si="3"/>
        <v>67</v>
      </c>
      <c r="AB8" s="16">
        <f t="shared" si="4"/>
        <v>-49</v>
      </c>
      <c r="AC8" s="4" t="b">
        <v>1</v>
      </c>
      <c r="AD8" s="4">
        <f t="shared" si="5"/>
        <v>0.66666666666666663</v>
      </c>
      <c r="AE8" s="4">
        <f t="shared" si="26"/>
        <v>0.83333333333333337</v>
      </c>
      <c r="AF8" s="6">
        <v>8</v>
      </c>
      <c r="AG8" s="6">
        <v>10</v>
      </c>
      <c r="AH8" s="6">
        <v>12</v>
      </c>
      <c r="AI8" s="17">
        <f t="shared" si="18"/>
        <v>8</v>
      </c>
      <c r="AJ8" s="28">
        <f t="shared" si="23"/>
        <v>8</v>
      </c>
      <c r="AK8" s="5" t="str">
        <f t="shared" si="27"/>
        <v>0.07 s</v>
      </c>
      <c r="AL8" s="4">
        <v>18</v>
      </c>
      <c r="AM8" s="5">
        <f t="shared" si="6"/>
        <v>100.8</v>
      </c>
      <c r="AN8" s="5">
        <f t="shared" si="24"/>
        <v>1.4</v>
      </c>
      <c r="AO8" s="5">
        <f t="shared" si="7"/>
        <v>1.4</v>
      </c>
      <c r="AP8" s="5">
        <f t="shared" si="20"/>
        <v>1.6</v>
      </c>
      <c r="AQ8" s="5">
        <f t="shared" si="8"/>
        <v>62.999999999999993</v>
      </c>
      <c r="AR8" s="5">
        <f t="shared" si="9"/>
        <v>1.9</v>
      </c>
      <c r="AS8" s="5">
        <f t="shared" si="10"/>
        <v>1.3416666666666666</v>
      </c>
      <c r="AT8" s="5">
        <f t="shared" si="11"/>
        <v>0.78333333333333333</v>
      </c>
      <c r="AU8" s="5">
        <f t="shared" si="12"/>
        <v>28.8</v>
      </c>
      <c r="AV8" s="5">
        <f t="shared" si="13"/>
        <v>34.266288951841361</v>
      </c>
      <c r="AW8" s="5">
        <f t="shared" si="14"/>
        <v>42.293706293706293</v>
      </c>
      <c r="AX8" s="5">
        <f t="shared" si="15"/>
        <v>38.279997622773827</v>
      </c>
      <c r="AY8" s="20">
        <v>0</v>
      </c>
    </row>
    <row r="9" spans="1:51" x14ac:dyDescent="0.2">
      <c r="A9" s="4">
        <v>1320106</v>
      </c>
      <c r="B9" s="5" t="s">
        <v>132</v>
      </c>
      <c r="C9" s="5" t="s">
        <v>121</v>
      </c>
      <c r="D9" s="5" t="s">
        <v>122</v>
      </c>
      <c r="E9" s="4" t="s">
        <v>133</v>
      </c>
      <c r="F9" s="4" t="s">
        <v>124</v>
      </c>
      <c r="G9" s="4">
        <v>1205</v>
      </c>
      <c r="H9" s="18" t="str">
        <f t="shared" si="21"/>
        <v/>
      </c>
      <c r="I9" s="20"/>
      <c r="J9" s="20"/>
      <c r="K9" s="4">
        <v>0</v>
      </c>
      <c r="L9" s="4">
        <v>1100</v>
      </c>
      <c r="M9" s="4" t="str">
        <f t="shared" ref="M9" si="28">_xlfn.TEXTJOIN("~",1,N9:O9)</f>
        <v>105~0</v>
      </c>
      <c r="N9" s="6">
        <v>105</v>
      </c>
      <c r="O9" s="6">
        <v>0</v>
      </c>
      <c r="Q9" s="4">
        <v>1</v>
      </c>
      <c r="R9" s="4">
        <v>3</v>
      </c>
      <c r="S9" s="4" t="s">
        <v>125</v>
      </c>
      <c r="T9" s="4">
        <v>1</v>
      </c>
      <c r="U9" s="4">
        <v>3</v>
      </c>
      <c r="V9" s="4">
        <f t="shared" si="0"/>
        <v>1.6666666666666666E-2</v>
      </c>
      <c r="W9" s="16">
        <v>60</v>
      </c>
      <c r="X9" s="5" t="str">
        <f t="shared" si="1"/>
        <v>0.50 s</v>
      </c>
      <c r="Y9" s="4">
        <f t="shared" si="2"/>
        <v>0.19444444444444445</v>
      </c>
      <c r="Z9" s="4" t="str" cm="1">
        <f t="array" ref="Z9">_xlfn.TEXTJOIN("~",1,AA9:AB9/W9)</f>
        <v>0.416666666666667~-0.583333333333333</v>
      </c>
      <c r="AA9" s="16">
        <f t="shared" si="3"/>
        <v>25</v>
      </c>
      <c r="AB9" s="16">
        <f t="shared" si="4"/>
        <v>-35</v>
      </c>
      <c r="AC9" s="4" t="b">
        <v>1</v>
      </c>
      <c r="AD9" s="4">
        <f t="shared" ref="AD9" si="29">AF9/AH9</f>
        <v>0.19230769230769232</v>
      </c>
      <c r="AE9" s="4">
        <f t="shared" ref="AE9" si="30">AG9/AH9</f>
        <v>0.96153846153846156</v>
      </c>
      <c r="AF9" s="6">
        <v>5</v>
      </c>
      <c r="AG9" s="6">
        <v>25</v>
      </c>
      <c r="AH9" s="6">
        <v>26</v>
      </c>
      <c r="AI9" s="17">
        <f t="shared" si="18"/>
        <v>80</v>
      </c>
      <c r="AJ9" s="4">
        <v>120</v>
      </c>
      <c r="AK9" s="5" t="str">
        <f t="shared" ref="AK9" si="31">TEXT(AJ9/120,"0.00")&amp;" s"</f>
        <v>1.00 s</v>
      </c>
      <c r="AL9" s="4">
        <v>1</v>
      </c>
      <c r="AM9" s="5">
        <f t="shared" si="6"/>
        <v>1</v>
      </c>
      <c r="AN9" s="5">
        <f t="shared" si="24"/>
        <v>1</v>
      </c>
      <c r="AO9" s="5">
        <f t="shared" si="7"/>
        <v>0.8666666666666667</v>
      </c>
      <c r="AP9" s="5">
        <f t="shared" si="20"/>
        <v>0.8666666666666667</v>
      </c>
      <c r="AQ9" s="5">
        <f t="shared" si="8"/>
        <v>1.1538461538461537</v>
      </c>
      <c r="AR9" s="5">
        <f t="shared" si="9"/>
        <v>1.5</v>
      </c>
      <c r="AS9" s="5">
        <f t="shared" si="10"/>
        <v>0.875</v>
      </c>
      <c r="AT9" s="5">
        <f t="shared" si="11"/>
        <v>0.25</v>
      </c>
      <c r="AU9" s="5">
        <f t="shared" si="12"/>
        <v>0.42253521126760563</v>
      </c>
      <c r="AV9" s="5">
        <f t="shared" si="13"/>
        <v>0.57416267942583732</v>
      </c>
      <c r="AW9" s="5">
        <f t="shared" si="14"/>
        <v>0.89552238805970152</v>
      </c>
      <c r="AX9" s="5">
        <f t="shared" si="15"/>
        <v>0.73484253374276942</v>
      </c>
      <c r="AY9" s="20">
        <v>0</v>
      </c>
    </row>
    <row r="10" spans="1:51" x14ac:dyDescent="0.2">
      <c r="A10" s="4">
        <v>1320107</v>
      </c>
      <c r="B10" s="5" t="s">
        <v>134</v>
      </c>
      <c r="C10" s="5" t="s">
        <v>121</v>
      </c>
      <c r="D10" s="5" t="s">
        <v>122</v>
      </c>
      <c r="E10" s="4" t="s">
        <v>133</v>
      </c>
      <c r="F10" s="4" t="s">
        <v>124</v>
      </c>
      <c r="G10" s="4">
        <v>1206</v>
      </c>
      <c r="H10" s="18" t="str">
        <f t="shared" ref="H10:H13" si="32">_xlfn.TEXTJOIN("~",1,I10:J10)</f>
        <v/>
      </c>
      <c r="I10" s="20"/>
      <c r="J10" s="20"/>
      <c r="K10" s="4">
        <v>0</v>
      </c>
      <c r="L10" s="4">
        <v>1100</v>
      </c>
      <c r="M10" s="4" t="str">
        <f t="shared" ref="M10:M14" si="33">_xlfn.TEXTJOIN("~",1,N10:O10)</f>
        <v>95~480</v>
      </c>
      <c r="N10" s="6">
        <v>95</v>
      </c>
      <c r="O10" s="6">
        <v>480</v>
      </c>
      <c r="Q10" s="4">
        <v>1</v>
      </c>
      <c r="R10" s="4">
        <v>5</v>
      </c>
      <c r="S10" s="4" t="s">
        <v>125</v>
      </c>
      <c r="T10" s="4">
        <v>1</v>
      </c>
      <c r="U10" s="4">
        <v>1</v>
      </c>
      <c r="V10" s="4">
        <f t="shared" si="0"/>
        <v>6.6666666666666671E-3</v>
      </c>
      <c r="W10" s="16">
        <v>150</v>
      </c>
      <c r="X10" s="5" t="str">
        <f t="shared" si="1"/>
        <v>1.25 s</v>
      </c>
      <c r="Y10" s="4">
        <f t="shared" si="2"/>
        <v>0.22777777777777777</v>
      </c>
      <c r="Z10" s="4" t="str" cm="1">
        <f t="array" ref="Z10">_xlfn.TEXTJOIN("~",1,AA10:AB10/W10)</f>
        <v>0.316666666666667~-0.283333333333333</v>
      </c>
      <c r="AA10" s="16">
        <f t="shared" si="3"/>
        <v>47.5</v>
      </c>
      <c r="AB10" s="16">
        <f t="shared" si="4"/>
        <v>-42.5</v>
      </c>
      <c r="AC10" s="4" t="b">
        <v>1</v>
      </c>
      <c r="AD10" s="4">
        <f t="shared" ref="AD10:AD14" si="34">AF10/AH10</f>
        <v>0.19230769230769232</v>
      </c>
      <c r="AE10" s="4">
        <f t="shared" ref="AE10:AE14" si="35">AG10/AH10</f>
        <v>0.96153846153846156</v>
      </c>
      <c r="AF10" s="6">
        <v>5</v>
      </c>
      <c r="AG10" s="6">
        <v>25</v>
      </c>
      <c r="AH10" s="6">
        <v>26</v>
      </c>
      <c r="AI10" s="17">
        <f t="shared" si="18"/>
        <v>80</v>
      </c>
      <c r="AJ10" s="4">
        <v>120</v>
      </c>
      <c r="AK10" s="5" t="str">
        <f t="shared" ref="AK10:AK14" si="36">TEXT(AJ10/120,"0.00")&amp;" s"</f>
        <v>1.00 s</v>
      </c>
      <c r="AL10" s="4">
        <v>1</v>
      </c>
      <c r="AM10" s="5">
        <f t="shared" si="6"/>
        <v>1</v>
      </c>
      <c r="AN10" s="5">
        <f t="shared" si="24"/>
        <v>1</v>
      </c>
      <c r="AO10" s="5">
        <f t="shared" si="7"/>
        <v>0.8666666666666667</v>
      </c>
      <c r="AP10" s="5">
        <f t="shared" si="20"/>
        <v>0.8666666666666667</v>
      </c>
      <c r="AQ10" s="5">
        <f t="shared" si="8"/>
        <v>1.1538461538461537</v>
      </c>
      <c r="AR10" s="5">
        <f t="shared" si="9"/>
        <v>1.25</v>
      </c>
      <c r="AS10" s="5">
        <f t="shared" si="10"/>
        <v>0.85416666666666663</v>
      </c>
      <c r="AT10" s="5">
        <f t="shared" si="11"/>
        <v>0.45833333333333331</v>
      </c>
      <c r="AU10" s="5">
        <f t="shared" si="12"/>
        <v>0.47244094488188976</v>
      </c>
      <c r="AV10" s="5">
        <f t="shared" si="13"/>
        <v>0.58111380145278457</v>
      </c>
      <c r="AW10" s="5">
        <f t="shared" si="14"/>
        <v>0.75471698113207553</v>
      </c>
      <c r="AX10" s="5">
        <f t="shared" si="15"/>
        <v>0.66791539129243005</v>
      </c>
      <c r="AY10" s="20">
        <v>0</v>
      </c>
    </row>
    <row r="11" spans="1:51" x14ac:dyDescent="0.2">
      <c r="A11" s="4">
        <v>1320108</v>
      </c>
      <c r="B11" s="5" t="s">
        <v>135</v>
      </c>
      <c r="C11" s="5" t="s">
        <v>121</v>
      </c>
      <c r="D11" s="5" t="s">
        <v>122</v>
      </c>
      <c r="E11" s="4" t="s">
        <v>136</v>
      </c>
      <c r="F11" s="4" t="s">
        <v>124</v>
      </c>
      <c r="G11" s="4">
        <v>1201</v>
      </c>
      <c r="H11" s="4" t="str">
        <f t="shared" si="32"/>
        <v>160~0</v>
      </c>
      <c r="I11" s="6">
        <v>160</v>
      </c>
      <c r="J11" s="6">
        <v>0</v>
      </c>
      <c r="K11" s="4">
        <v>20</v>
      </c>
      <c r="L11" s="4">
        <v>1500</v>
      </c>
      <c r="M11" s="4" t="str">
        <f t="shared" si="33"/>
        <v>360~0</v>
      </c>
      <c r="N11" s="6">
        <v>360</v>
      </c>
      <c r="O11" s="6">
        <v>0</v>
      </c>
      <c r="Q11" s="4">
        <v>1</v>
      </c>
      <c r="R11" s="4">
        <v>2</v>
      </c>
      <c r="S11" s="4" t="s">
        <v>125</v>
      </c>
      <c r="T11" s="4">
        <v>5</v>
      </c>
      <c r="U11" s="4">
        <v>1</v>
      </c>
      <c r="V11" s="4">
        <f t="shared" ref="V11:V12" si="37">1/W11</f>
        <v>3.7037037037037038E-3</v>
      </c>
      <c r="W11" s="16">
        <v>270</v>
      </c>
      <c r="X11" s="5" t="str">
        <f t="shared" ref="X11:X12" si="38">TEXT(W11/120,"0.00")&amp;" s"</f>
        <v>2.25 s</v>
      </c>
      <c r="Y11" s="4">
        <f t="shared" ref="Y11:Y12" si="39">(W11-AA11)/3/W11</f>
        <v>0.23765432098765435</v>
      </c>
      <c r="Z11" s="4" t="str" cm="1">
        <f t="array" ref="Z11">_xlfn.TEXTJOIN("~",1,AA11:AB11/W11)</f>
        <v>0.287037037037037~-0.194444444444444</v>
      </c>
      <c r="AA11" s="16">
        <f t="shared" si="3"/>
        <v>77.5</v>
      </c>
      <c r="AB11" s="16">
        <f t="shared" si="4"/>
        <v>-52.5</v>
      </c>
      <c r="AC11" s="4" t="b">
        <v>0</v>
      </c>
      <c r="AD11" s="4">
        <f t="shared" si="34"/>
        <v>0.6</v>
      </c>
      <c r="AE11" s="4">
        <f t="shared" si="35"/>
        <v>0.95</v>
      </c>
      <c r="AF11" s="6">
        <v>6</v>
      </c>
      <c r="AG11" s="6">
        <v>9.5</v>
      </c>
      <c r="AH11" s="6">
        <v>10</v>
      </c>
      <c r="AI11" s="17">
        <f t="shared" si="18"/>
        <v>14</v>
      </c>
      <c r="AJ11" s="4">
        <v>180</v>
      </c>
      <c r="AK11" s="5" t="str">
        <f t="shared" si="36"/>
        <v>1.50 s</v>
      </c>
      <c r="AL11" s="4">
        <v>48</v>
      </c>
      <c r="AM11" s="5">
        <f t="shared" si="6"/>
        <v>242.40000000000003</v>
      </c>
      <c r="AN11" s="5">
        <f t="shared" si="24"/>
        <v>1.01</v>
      </c>
      <c r="AO11" s="5">
        <f t="shared" si="7"/>
        <v>1.6</v>
      </c>
      <c r="AP11" s="5">
        <f t="shared" si="20"/>
        <v>7.6</v>
      </c>
      <c r="AQ11" s="5">
        <f t="shared" si="8"/>
        <v>31.894736842105271</v>
      </c>
      <c r="AR11" s="5">
        <f t="shared" si="9"/>
        <v>2.25</v>
      </c>
      <c r="AS11" s="5">
        <f t="shared" si="10"/>
        <v>1.6041666666666667</v>
      </c>
      <c r="AT11" s="5">
        <f t="shared" si="11"/>
        <v>0.95833333333333337</v>
      </c>
      <c r="AU11" s="5">
        <f t="shared" si="12"/>
        <v>24.609137055837568</v>
      </c>
      <c r="AV11" s="5">
        <f t="shared" si="13"/>
        <v>26.335898596650075</v>
      </c>
      <c r="AW11" s="5">
        <f t="shared" si="14"/>
        <v>28.323271665043819</v>
      </c>
      <c r="AX11" s="5">
        <f t="shared" si="15"/>
        <v>27.329585130846947</v>
      </c>
      <c r="AY11" s="20">
        <v>0</v>
      </c>
    </row>
    <row r="12" spans="1:51" x14ac:dyDescent="0.2">
      <c r="A12" s="4">
        <v>1320109</v>
      </c>
      <c r="B12" s="5" t="s">
        <v>137</v>
      </c>
      <c r="C12" s="5" t="s">
        <v>121</v>
      </c>
      <c r="D12" s="5" t="s">
        <v>122</v>
      </c>
      <c r="E12" s="4" t="s">
        <v>127</v>
      </c>
      <c r="F12" s="4" t="s">
        <v>124</v>
      </c>
      <c r="G12" s="4">
        <v>1201</v>
      </c>
      <c r="H12" s="4" t="str">
        <f t="shared" si="32"/>
        <v>85~0</v>
      </c>
      <c r="I12" s="6">
        <v>85</v>
      </c>
      <c r="J12" s="6">
        <v>0</v>
      </c>
      <c r="K12" s="4">
        <v>500</v>
      </c>
      <c r="L12" s="4">
        <v>5000</v>
      </c>
      <c r="M12" s="4" t="str">
        <f t="shared" si="33"/>
        <v>360~0</v>
      </c>
      <c r="N12" s="6">
        <v>360</v>
      </c>
      <c r="O12" s="6">
        <v>0</v>
      </c>
      <c r="Q12" s="4">
        <v>1</v>
      </c>
      <c r="R12" s="4">
        <v>4</v>
      </c>
      <c r="S12" s="4" t="s">
        <v>125</v>
      </c>
      <c r="T12" s="4">
        <v>7</v>
      </c>
      <c r="U12" s="4">
        <v>1</v>
      </c>
      <c r="V12" s="4">
        <f t="shared" si="37"/>
        <v>7.4074074074074077E-3</v>
      </c>
      <c r="W12" s="16">
        <v>135</v>
      </c>
      <c r="X12" s="5" t="str">
        <f t="shared" si="38"/>
        <v>1.13 s</v>
      </c>
      <c r="Y12" s="4">
        <f t="shared" si="39"/>
        <v>0.22530864197530864</v>
      </c>
      <c r="Z12" s="4" t="str" cm="1">
        <f t="array" ref="Z12">_xlfn.TEXTJOIN("~",1,AA12:AB12/W12)</f>
        <v>0.324074074074074~-0.305555555555556</v>
      </c>
      <c r="AA12" s="16">
        <f t="shared" si="3"/>
        <v>43.75</v>
      </c>
      <c r="AB12" s="16">
        <f t="shared" si="4"/>
        <v>-41.25</v>
      </c>
      <c r="AC12" s="4" t="b">
        <v>1</v>
      </c>
      <c r="AD12" s="4">
        <f t="shared" si="34"/>
        <v>0.6</v>
      </c>
      <c r="AE12" s="4">
        <f t="shared" si="35"/>
        <v>0.9</v>
      </c>
      <c r="AF12" s="6">
        <v>6</v>
      </c>
      <c r="AG12" s="6">
        <v>9</v>
      </c>
      <c r="AH12" s="6">
        <v>10</v>
      </c>
      <c r="AI12" s="17">
        <f t="shared" si="18"/>
        <v>12</v>
      </c>
      <c r="AJ12" s="4">
        <v>40</v>
      </c>
      <c r="AK12" s="5" t="str">
        <f t="shared" si="36"/>
        <v>0.33 s</v>
      </c>
      <c r="AL12" s="4">
        <v>7</v>
      </c>
      <c r="AM12" s="5">
        <f t="shared" si="6"/>
        <v>147</v>
      </c>
      <c r="AN12" s="5">
        <f t="shared" si="24"/>
        <v>3</v>
      </c>
      <c r="AO12" s="5">
        <f t="shared" si="7"/>
        <v>2.1333333333333333</v>
      </c>
      <c r="AP12" s="5">
        <f t="shared" si="20"/>
        <v>4.1333333333333337</v>
      </c>
      <c r="AQ12" s="5">
        <f t="shared" si="8"/>
        <v>35.564516129032256</v>
      </c>
      <c r="AR12" s="5">
        <f t="shared" si="9"/>
        <v>1.125</v>
      </c>
      <c r="AS12" s="5">
        <f t="shared" si="10"/>
        <v>0.76041666666666663</v>
      </c>
      <c r="AT12" s="5">
        <f t="shared" si="11"/>
        <v>0.39583333333333331</v>
      </c>
      <c r="AU12" s="5">
        <f t="shared" si="12"/>
        <v>27.955625990491281</v>
      </c>
      <c r="AV12" s="5">
        <f t="shared" si="13"/>
        <v>30.038314176245205</v>
      </c>
      <c r="AW12" s="5">
        <f t="shared" si="14"/>
        <v>32.456301747930084</v>
      </c>
      <c r="AX12" s="5">
        <f t="shared" si="15"/>
        <v>31.247307962087646</v>
      </c>
      <c r="AY12" s="20">
        <v>0</v>
      </c>
    </row>
    <row r="13" spans="1:51" x14ac:dyDescent="0.2">
      <c r="A13" s="4">
        <v>1321101</v>
      </c>
      <c r="B13" s="5" t="s">
        <v>138</v>
      </c>
      <c r="C13" s="5" t="s">
        <v>121</v>
      </c>
      <c r="D13" s="5" t="s">
        <v>122</v>
      </c>
      <c r="E13" s="4" t="s">
        <v>127</v>
      </c>
      <c r="F13" s="4" t="s">
        <v>124</v>
      </c>
      <c r="G13" s="4">
        <v>1201</v>
      </c>
      <c r="H13" s="4" t="str">
        <f t="shared" si="32"/>
        <v>99~0</v>
      </c>
      <c r="I13" s="6">
        <v>99</v>
      </c>
      <c r="J13" s="6">
        <v>0</v>
      </c>
      <c r="K13" s="4">
        <v>20</v>
      </c>
      <c r="L13" s="4">
        <v>1500</v>
      </c>
      <c r="M13" s="4" t="str">
        <f t="shared" si="33"/>
        <v>180~0</v>
      </c>
      <c r="N13" s="6">
        <v>180</v>
      </c>
      <c r="O13" s="6">
        <v>0</v>
      </c>
      <c r="Q13" s="4">
        <v>1</v>
      </c>
      <c r="R13" s="4">
        <v>6</v>
      </c>
      <c r="S13" s="4" t="s">
        <v>125</v>
      </c>
      <c r="T13" s="4">
        <v>6</v>
      </c>
      <c r="U13" s="4">
        <v>0</v>
      </c>
      <c r="V13" s="4">
        <f t="shared" si="0"/>
        <v>8.3333333333333332E-3</v>
      </c>
      <c r="W13" s="16">
        <v>120</v>
      </c>
      <c r="X13" s="5" t="str">
        <f t="shared" si="1"/>
        <v>1.00 s</v>
      </c>
      <c r="Y13" s="4">
        <f t="shared" si="2"/>
        <v>0.22222222222222224</v>
      </c>
      <c r="Z13" s="4" t="str" cm="1">
        <f t="array" ref="Z13">_xlfn.TEXTJOIN("~",1,AA13:AB13/W13)</f>
        <v>0.333333333333333~-0.333333333333333</v>
      </c>
      <c r="AA13" s="16">
        <f t="shared" si="3"/>
        <v>40</v>
      </c>
      <c r="AB13" s="16">
        <f t="shared" si="4"/>
        <v>-40</v>
      </c>
      <c r="AC13" s="4" t="b">
        <v>0</v>
      </c>
      <c r="AD13" s="4">
        <f t="shared" si="34"/>
        <v>0.25</v>
      </c>
      <c r="AE13" s="4">
        <f t="shared" si="35"/>
        <v>0.375</v>
      </c>
      <c r="AF13" s="6">
        <v>3</v>
      </c>
      <c r="AG13" s="6">
        <v>4.5</v>
      </c>
      <c r="AH13" s="6">
        <v>12</v>
      </c>
      <c r="AI13" s="17">
        <f t="shared" si="18"/>
        <v>6</v>
      </c>
      <c r="AJ13" s="28">
        <f t="shared" si="23"/>
        <v>6</v>
      </c>
      <c r="AK13" s="5" t="str">
        <f t="shared" si="36"/>
        <v>0.05 s</v>
      </c>
      <c r="AL13" s="4">
        <v>19</v>
      </c>
      <c r="AM13" s="5">
        <f t="shared" si="6"/>
        <v>115.14000000000001</v>
      </c>
      <c r="AN13" s="5">
        <f t="shared" si="24"/>
        <v>1.01</v>
      </c>
      <c r="AO13" s="5">
        <f t="shared" si="7"/>
        <v>1.1499999999999999</v>
      </c>
      <c r="AP13" s="5">
        <f t="shared" si="20"/>
        <v>1.4</v>
      </c>
      <c r="AQ13" s="5">
        <f t="shared" si="8"/>
        <v>82.242857142857162</v>
      </c>
      <c r="AR13" s="5">
        <f t="shared" si="9"/>
        <v>6</v>
      </c>
      <c r="AS13" s="5">
        <f t="shared" si="10"/>
        <v>4</v>
      </c>
      <c r="AT13" s="5">
        <f t="shared" si="11"/>
        <v>2</v>
      </c>
      <c r="AU13" s="5">
        <f t="shared" si="12"/>
        <v>15.559459459459461</v>
      </c>
      <c r="AV13" s="5">
        <f t="shared" si="13"/>
        <v>21.322222222222223</v>
      </c>
      <c r="AW13" s="5">
        <f t="shared" si="14"/>
        <v>33.864705882352943</v>
      </c>
      <c r="AX13" s="5">
        <f t="shared" si="15"/>
        <v>27.593464052287583</v>
      </c>
      <c r="AY13" s="20">
        <v>0</v>
      </c>
    </row>
    <row r="14" spans="1:51" x14ac:dyDescent="0.2">
      <c r="A14" s="4">
        <v>1321102</v>
      </c>
      <c r="B14" s="5" t="s">
        <v>139</v>
      </c>
      <c r="C14" s="5" t="s">
        <v>121</v>
      </c>
      <c r="D14" s="5" t="s">
        <v>122</v>
      </c>
      <c r="E14" s="4" t="s">
        <v>140</v>
      </c>
      <c r="F14" s="4" t="s">
        <v>124</v>
      </c>
      <c r="G14" s="4">
        <v>1202</v>
      </c>
      <c r="H14" s="4" t="str">
        <f t="shared" ref="H14" si="40">_xlfn.TEXTJOIN("~",1,I14:J14)</f>
        <v>60~100</v>
      </c>
      <c r="I14" s="6">
        <v>60</v>
      </c>
      <c r="J14" s="6">
        <v>100</v>
      </c>
      <c r="K14" s="4">
        <v>20</v>
      </c>
      <c r="L14" s="4">
        <v>1500</v>
      </c>
      <c r="M14" s="4" t="str">
        <f t="shared" si="33"/>
        <v>12~24</v>
      </c>
      <c r="N14" s="6">
        <v>12</v>
      </c>
      <c r="O14" s="6">
        <v>24</v>
      </c>
      <c r="Q14" s="4">
        <v>12</v>
      </c>
      <c r="R14" s="4">
        <v>12.5</v>
      </c>
      <c r="S14" s="4" t="s">
        <v>125</v>
      </c>
      <c r="T14" s="4">
        <v>4</v>
      </c>
      <c r="U14" s="4">
        <v>0</v>
      </c>
      <c r="V14" s="4">
        <f t="shared" si="0"/>
        <v>1.3333333333333334E-2</v>
      </c>
      <c r="W14" s="16">
        <v>75</v>
      </c>
      <c r="X14" s="5" t="str">
        <f t="shared" si="1"/>
        <v>0.63 s</v>
      </c>
      <c r="Y14" s="4">
        <f t="shared" si="2"/>
        <v>0.20555555555555555</v>
      </c>
      <c r="Z14" s="4" t="str" cm="1">
        <f t="array" ref="Z14">_xlfn.TEXTJOIN("~",1,AA14:AB14/W14)</f>
        <v>0.383333333333333~-0.483333333333333</v>
      </c>
      <c r="AA14" s="16">
        <f t="shared" si="3"/>
        <v>28.75</v>
      </c>
      <c r="AB14" s="16">
        <f t="shared" si="4"/>
        <v>-36.25</v>
      </c>
      <c r="AC14" s="4" t="b">
        <v>0</v>
      </c>
      <c r="AD14" s="4">
        <f t="shared" si="34"/>
        <v>0.2</v>
      </c>
      <c r="AE14" s="4">
        <f t="shared" si="35"/>
        <v>0.3</v>
      </c>
      <c r="AF14" s="6">
        <v>4</v>
      </c>
      <c r="AG14" s="6">
        <v>6</v>
      </c>
      <c r="AH14" s="6">
        <v>20</v>
      </c>
      <c r="AI14" s="17">
        <f t="shared" si="18"/>
        <v>8</v>
      </c>
      <c r="AJ14" s="4">
        <v>132</v>
      </c>
      <c r="AK14" s="5" t="str">
        <f t="shared" si="36"/>
        <v>1.10 s</v>
      </c>
      <c r="AL14" s="4">
        <v>7</v>
      </c>
      <c r="AM14" s="5">
        <f t="shared" si="6"/>
        <v>339.36</v>
      </c>
      <c r="AN14" s="5">
        <f t="shared" si="24"/>
        <v>1.01</v>
      </c>
      <c r="AO14" s="5">
        <f t="shared" si="7"/>
        <v>1.2666666666666666</v>
      </c>
      <c r="AP14" s="5">
        <f t="shared" si="20"/>
        <v>4.5666666666666664</v>
      </c>
      <c r="AQ14" s="5">
        <f t="shared" si="8"/>
        <v>74.312408759124096</v>
      </c>
      <c r="AR14" s="5">
        <f t="shared" si="9"/>
        <v>2.5</v>
      </c>
      <c r="AS14" s="5">
        <f t="shared" si="10"/>
        <v>1.5416666666666667</v>
      </c>
      <c r="AT14" s="5">
        <f t="shared" si="11"/>
        <v>0.58333333333333337</v>
      </c>
      <c r="AU14" s="5">
        <f t="shared" si="12"/>
        <v>48.022641509433967</v>
      </c>
      <c r="AV14" s="5">
        <f t="shared" si="13"/>
        <v>55.556889495225107</v>
      </c>
      <c r="AW14" s="5">
        <f t="shared" si="14"/>
        <v>65.895145631067976</v>
      </c>
      <c r="AX14" s="5">
        <f t="shared" si="15"/>
        <v>60.726017563146542</v>
      </c>
      <c r="AY14" s="20">
        <v>0</v>
      </c>
    </row>
    <row r="15" spans="1:51" x14ac:dyDescent="0.2">
      <c r="A15" s="19"/>
    </row>
    <row r="16" spans="1:51" x14ac:dyDescent="0.2">
      <c r="A16" s="19">
        <v>1330101</v>
      </c>
      <c r="B16" s="5" t="s">
        <v>141</v>
      </c>
      <c r="C16" s="5" t="s">
        <v>121</v>
      </c>
      <c r="D16" s="5" t="s">
        <v>142</v>
      </c>
      <c r="E16" s="4" t="s">
        <v>143</v>
      </c>
      <c r="F16" s="4" t="s">
        <v>124</v>
      </c>
      <c r="G16" s="4">
        <v>1203</v>
      </c>
      <c r="H16" s="4" t="str">
        <f>_xlfn.TEXTJOIN("~",1,I16:J16)</f>
        <v>8~10</v>
      </c>
      <c r="I16" s="6">
        <v>8</v>
      </c>
      <c r="J16" s="6">
        <v>10</v>
      </c>
      <c r="K16" s="4">
        <v>10</v>
      </c>
      <c r="L16" s="4">
        <v>1100</v>
      </c>
      <c r="M16" s="4" t="str">
        <f>_xlfn.TEXTJOIN("~",1,N16:O16)</f>
        <v>2000~0</v>
      </c>
      <c r="N16" s="6">
        <v>2000</v>
      </c>
      <c r="O16" s="6">
        <v>0</v>
      </c>
      <c r="Q16" s="4">
        <v>1</v>
      </c>
      <c r="R16" s="4">
        <v>8</v>
      </c>
      <c r="S16" s="4" t="s">
        <v>125</v>
      </c>
      <c r="T16" s="4">
        <v>1</v>
      </c>
      <c r="U16" s="4">
        <v>5</v>
      </c>
      <c r="V16" s="4">
        <f>1/W16</f>
        <v>7.575757575757576E-3</v>
      </c>
      <c r="W16" s="16">
        <v>132</v>
      </c>
      <c r="X16" s="5" t="str">
        <f>TEXT(W16/120,"0.00")&amp;" s"</f>
        <v>1.10 s</v>
      </c>
      <c r="Y16" s="4">
        <f>(W16-AA16)/3/W16</f>
        <v>0.22474747474747475</v>
      </c>
      <c r="Z16" s="4" t="str" cm="1">
        <f t="array" ref="Z16">_xlfn.TEXTJOIN("~",1,AA16:AB16/W16)</f>
        <v>0.325757575757576~-0.310606060606061</v>
      </c>
      <c r="AA16" s="16">
        <f>IF($W16&lt;10*4/3,0,$W16/4+10)</f>
        <v>43</v>
      </c>
      <c r="AB16" s="16">
        <f>IF($W16&lt;30*12/11,0,-($W16/12+30))</f>
        <v>-41</v>
      </c>
      <c r="AC16" s="4" t="b">
        <v>0</v>
      </c>
      <c r="AD16" s="4">
        <f>AF16/AH16</f>
        <v>0.53125</v>
      </c>
      <c r="AE16" s="4">
        <f>AG16/AH16</f>
        <v>0.875</v>
      </c>
      <c r="AF16" s="6">
        <v>17</v>
      </c>
      <c r="AG16" s="6">
        <v>28</v>
      </c>
      <c r="AH16" s="6">
        <v>32</v>
      </c>
      <c r="AI16" s="17">
        <f t="shared" si="18"/>
        <v>44</v>
      </c>
      <c r="AJ16" s="4">
        <v>180</v>
      </c>
      <c r="AK16" s="5" t="str">
        <f>TEXT(AJ16/120,"0.00")&amp;" s"</f>
        <v>1.50 s</v>
      </c>
      <c r="AL16" s="4">
        <v>199</v>
      </c>
      <c r="AM16" s="5">
        <f>$AL16*$AN16*$Q16*$T16</f>
        <v>199.19899999999998</v>
      </c>
      <c r="AN16" s="5">
        <f t="shared" si="24"/>
        <v>1.0009999999999999</v>
      </c>
      <c r="AO16" s="5">
        <f>(($T16-1)*$AG16+$AH16)/30</f>
        <v>1.0666666666666667</v>
      </c>
      <c r="AP16" s="5">
        <f t="shared" si="20"/>
        <v>1.0666666666666667</v>
      </c>
      <c r="AQ16" s="5">
        <f>$AM16/$AP16</f>
        <v>186.74906249999998</v>
      </c>
      <c r="AR16" s="5">
        <f>$W16*IF($U16&lt;=0,$T16,$U16)/120</f>
        <v>5.5</v>
      </c>
      <c r="AS16" s="5">
        <f>($W16-$AA16*1)*IF($U16&lt;=0,$T16,$U16)/120</f>
        <v>3.7083333333333335</v>
      </c>
      <c r="AT16" s="5">
        <f>($W16-$AA16*2)*IF($U16&lt;=0,$T16,$U16)/120</f>
        <v>1.9166666666666667</v>
      </c>
      <c r="AU16" s="5">
        <f>$AM16/($AR16+$AP16)</f>
        <v>30.334873096446699</v>
      </c>
      <c r="AV16" s="5">
        <f>$AM16/($AS16+$AP16)</f>
        <v>41.717068062827217</v>
      </c>
      <c r="AW16" s="5">
        <f>$AM16/($AT16+$AP16)</f>
        <v>66.770614525139663</v>
      </c>
      <c r="AX16" s="5">
        <f>($AV16+$AW16)*0.5</f>
        <v>54.243841293983436</v>
      </c>
      <c r="AY16" s="20">
        <v>0</v>
      </c>
    </row>
    <row r="17" spans="1:51" x14ac:dyDescent="0.2">
      <c r="A17" s="19">
        <v>1330104</v>
      </c>
      <c r="B17" s="5" t="s">
        <v>144</v>
      </c>
      <c r="C17" s="5" t="s">
        <v>121</v>
      </c>
      <c r="D17" s="5" t="s">
        <v>145</v>
      </c>
      <c r="E17" s="4" t="s">
        <v>146</v>
      </c>
      <c r="F17" s="4" t="s">
        <v>124</v>
      </c>
      <c r="G17" s="4">
        <v>1007</v>
      </c>
      <c r="H17" s="4" t="str">
        <f>_xlfn.TEXTJOIN("~",1,I17:J17)</f>
        <v>3~5</v>
      </c>
      <c r="I17" s="6">
        <v>3</v>
      </c>
      <c r="J17" s="6">
        <v>5</v>
      </c>
      <c r="K17" s="4">
        <v>20</v>
      </c>
      <c r="L17" s="4">
        <v>1500</v>
      </c>
      <c r="M17" s="4" t="str">
        <f>_xlfn.TEXTJOIN("~",1,N17:O17)</f>
        <v>2000~0</v>
      </c>
      <c r="N17" s="6">
        <v>2000</v>
      </c>
      <c r="O17" s="6">
        <v>0</v>
      </c>
      <c r="Q17" s="4">
        <v>1</v>
      </c>
      <c r="R17" s="4">
        <v>30</v>
      </c>
      <c r="S17" s="4" t="s">
        <v>125</v>
      </c>
      <c r="T17" s="4">
        <v>360</v>
      </c>
      <c r="U17" s="4">
        <v>6</v>
      </c>
      <c r="V17" s="4">
        <f>1/W17</f>
        <v>1.0416666666666666E-2</v>
      </c>
      <c r="W17" s="16">
        <v>96</v>
      </c>
      <c r="X17" s="5" t="str">
        <f>TEXT(W17/120,"0.00")&amp;" s"</f>
        <v>0.80 s</v>
      </c>
      <c r="Y17" s="4">
        <f>(W17-AA17)/3/W17</f>
        <v>0.21527777777777779</v>
      </c>
      <c r="Z17" s="4" t="str" cm="1">
        <f t="array" ref="Z17">_xlfn.TEXTJOIN("~",1,AA17:AB17/W17)</f>
        <v>0.354166666666667~-0.395833333333333</v>
      </c>
      <c r="AA17" s="16">
        <f>IF($W17&lt;10*4/3,0,$W17/4+10)</f>
        <v>34</v>
      </c>
      <c r="AB17" s="16">
        <f>IF($W17&lt;30*12/11,0,-($W17/12+30))</f>
        <v>-38</v>
      </c>
      <c r="AC17" s="4" t="b">
        <v>0</v>
      </c>
      <c r="AD17" s="4">
        <f>AF17/AH17</f>
        <v>0.66666666666666663</v>
      </c>
      <c r="AE17" s="4">
        <f>AG17/AH17</f>
        <v>0.83333333333333337</v>
      </c>
      <c r="AF17" s="6">
        <v>8</v>
      </c>
      <c r="AG17" s="6">
        <v>10</v>
      </c>
      <c r="AH17" s="6">
        <v>12</v>
      </c>
      <c r="AI17" s="17">
        <f t="shared" si="18"/>
        <v>8</v>
      </c>
      <c r="AJ17" s="4">
        <v>108</v>
      </c>
      <c r="AK17" s="5" t="str">
        <f>TEXT(AJ17/120,"0.00")&amp;" s"</f>
        <v>0.90 s</v>
      </c>
      <c r="AL17" s="4">
        <v>5</v>
      </c>
      <c r="AM17" s="5">
        <f>$AL17*$AN17*$Q17*$T17</f>
        <v>1818</v>
      </c>
      <c r="AN17" s="5">
        <f t="shared" si="24"/>
        <v>1.01</v>
      </c>
      <c r="AO17" s="5">
        <f>(($T17-1)*$AG17+$AH17)/30</f>
        <v>120.06666666666666</v>
      </c>
      <c r="AP17" s="5">
        <f t="shared" si="20"/>
        <v>443.16666666666669</v>
      </c>
      <c r="AQ17" s="5">
        <f>$AM17/$AP17</f>
        <v>4.1022940955246332</v>
      </c>
      <c r="AR17" s="5">
        <f>$W17*IF($U17&lt;=0,$T17,$U17)/120</f>
        <v>4.8</v>
      </c>
      <c r="AS17" s="5">
        <f>($W17-$AA17*1)*IF($U17&lt;=0,$T17,$U17)/120</f>
        <v>3.1</v>
      </c>
      <c r="AT17" s="5">
        <f>($W17-$AA17*2)*IF($U17&lt;=0,$T17,$U17)/120</f>
        <v>1.4</v>
      </c>
      <c r="AU17" s="5">
        <f>$AM17/($AR17+$AP17)</f>
        <v>4.058337673934072</v>
      </c>
      <c r="AV17" s="5">
        <f>$AM17/($AS17+$AP17)</f>
        <v>4.0737974305348068</v>
      </c>
      <c r="AW17" s="5">
        <f>$AM17/($AT17+$AP17)</f>
        <v>4.0893754217590166</v>
      </c>
      <c r="AX17" s="5">
        <f>($AV17+$AW17)*0.5</f>
        <v>4.0815864261469113</v>
      </c>
      <c r="AY17" s="20">
        <v>0</v>
      </c>
    </row>
    <row r="19" spans="1:51" x14ac:dyDescent="0.2">
      <c r="A19" s="19"/>
    </row>
    <row r="20" spans="1:51" x14ac:dyDescent="0.2">
      <c r="A20" s="4">
        <v>201104</v>
      </c>
      <c r="B20" s="5" t="s">
        <v>147</v>
      </c>
      <c r="C20" s="5" t="s">
        <v>148</v>
      </c>
      <c r="D20" s="5" t="s">
        <v>149</v>
      </c>
      <c r="E20" s="20"/>
      <c r="F20" s="20"/>
      <c r="G20" s="4">
        <v>2101</v>
      </c>
      <c r="H20" s="4" t="str">
        <f t="shared" ref="H20:H25" si="41">_xlfn.TEXTJOIN("~",1,I20:J20)</f>
        <v>5~12</v>
      </c>
      <c r="I20" s="6">
        <v>5</v>
      </c>
      <c r="J20" s="6">
        <v>12</v>
      </c>
      <c r="K20" s="20"/>
      <c r="L20" s="20"/>
      <c r="M20" s="4" t="str">
        <f t="shared" ref="M20" si="42">_xlfn.TEXTJOIN("~",1,N20:O20)</f>
        <v>1500~0</v>
      </c>
      <c r="N20" s="6">
        <v>1500</v>
      </c>
      <c r="O20" s="6">
        <v>0</v>
      </c>
      <c r="Q20" s="4">
        <v>1</v>
      </c>
      <c r="R20" s="4">
        <v>2</v>
      </c>
      <c r="S20" s="4" t="s">
        <v>125</v>
      </c>
      <c r="T20" s="23">
        <v>1</v>
      </c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>
        <v>30</v>
      </c>
      <c r="AJ20" s="4">
        <v>360</v>
      </c>
      <c r="AK20" s="5" t="str">
        <f t="shared" ref="AK20" si="43">TEXT(AJ20/120,"0.00")&amp;" s"</f>
        <v>3.00 s</v>
      </c>
      <c r="AL20" s="4">
        <v>5</v>
      </c>
      <c r="AM20" s="5">
        <f t="shared" ref="AM20:AM25" si="44">$AL20*$AN20*$Q20*$T20</f>
        <v>5</v>
      </c>
      <c r="AN20" s="5">
        <f t="shared" si="24"/>
        <v>1</v>
      </c>
      <c r="AO20" s="5">
        <f t="shared" ref="AO20:AO25" si="45">(($T20-1)*$AG20+$AH20)/30</f>
        <v>1</v>
      </c>
      <c r="AP20" s="5">
        <f t="shared" si="20"/>
        <v>1</v>
      </c>
      <c r="AQ20" s="5">
        <f t="shared" ref="AQ20:AQ25" si="46">$AL20*$T20/$AP20</f>
        <v>5</v>
      </c>
      <c r="AY20" s="20">
        <v>0</v>
      </c>
    </row>
    <row r="21" spans="1:51" x14ac:dyDescent="0.2">
      <c r="A21" s="4">
        <v>201105</v>
      </c>
      <c r="B21" s="5" t="s">
        <v>150</v>
      </c>
      <c r="C21" s="5" t="s">
        <v>148</v>
      </c>
      <c r="D21" s="5" t="s">
        <v>151</v>
      </c>
      <c r="E21" s="20"/>
      <c r="F21" s="20"/>
      <c r="G21" s="4">
        <v>2101</v>
      </c>
      <c r="H21" s="4" t="str">
        <f t="shared" si="41"/>
        <v>4.5~11.5</v>
      </c>
      <c r="I21" s="6">
        <v>4.5</v>
      </c>
      <c r="J21" s="6">
        <v>11.5</v>
      </c>
      <c r="K21" s="20"/>
      <c r="L21" s="20"/>
      <c r="M21" s="4" t="str">
        <f t="shared" ref="M21" si="47">_xlfn.TEXTJOIN("~",1,N21:O21)</f>
        <v>1500~0</v>
      </c>
      <c r="N21" s="6">
        <v>1500</v>
      </c>
      <c r="O21" s="6">
        <v>0</v>
      </c>
      <c r="Q21" s="4">
        <v>1</v>
      </c>
      <c r="R21" s="4">
        <v>2.5</v>
      </c>
      <c r="S21" s="4" t="s">
        <v>125</v>
      </c>
      <c r="T21" s="23">
        <v>1</v>
      </c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>
        <v>30</v>
      </c>
      <c r="AJ21" s="4">
        <v>240</v>
      </c>
      <c r="AK21" s="5" t="str">
        <f t="shared" ref="AK21" si="48">TEXT(AJ21/120,"0.00")&amp;" s"</f>
        <v>2.00 s</v>
      </c>
      <c r="AL21" s="4">
        <v>6</v>
      </c>
      <c r="AM21" s="5">
        <f t="shared" si="44"/>
        <v>6</v>
      </c>
      <c r="AN21" s="5">
        <f t="shared" si="24"/>
        <v>1</v>
      </c>
      <c r="AO21" s="5">
        <f t="shared" si="45"/>
        <v>1</v>
      </c>
      <c r="AP21" s="5">
        <f t="shared" si="20"/>
        <v>1</v>
      </c>
      <c r="AQ21" s="5">
        <f t="shared" si="46"/>
        <v>6</v>
      </c>
      <c r="AY21" s="20">
        <v>0</v>
      </c>
    </row>
    <row r="22" spans="1:51" x14ac:dyDescent="0.2">
      <c r="A22" s="4">
        <v>201106</v>
      </c>
      <c r="B22" s="5" t="s">
        <v>152</v>
      </c>
      <c r="C22" s="5" t="s">
        <v>148</v>
      </c>
      <c r="D22" s="5" t="s">
        <v>153</v>
      </c>
      <c r="E22" s="20"/>
      <c r="F22" s="20"/>
      <c r="G22" s="4">
        <v>2101</v>
      </c>
      <c r="H22" s="4" t="str">
        <f t="shared" si="41"/>
        <v>4.5~11</v>
      </c>
      <c r="I22" s="6">
        <v>4.5</v>
      </c>
      <c r="J22" s="6">
        <v>11</v>
      </c>
      <c r="K22" s="20"/>
      <c r="L22" s="20"/>
      <c r="M22" s="4" t="str">
        <f t="shared" ref="M22:M23" si="49">_xlfn.TEXTJOIN("~",1,N22:O22)</f>
        <v>1500~0</v>
      </c>
      <c r="N22" s="6">
        <v>1500</v>
      </c>
      <c r="O22" s="6">
        <v>0</v>
      </c>
      <c r="Q22" s="4">
        <v>1</v>
      </c>
      <c r="R22" s="4">
        <v>3</v>
      </c>
      <c r="S22" s="4" t="s">
        <v>125</v>
      </c>
      <c r="T22" s="23">
        <v>1</v>
      </c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>
        <v>35</v>
      </c>
      <c r="AJ22" s="4">
        <v>960</v>
      </c>
      <c r="AK22" s="5" t="str">
        <f t="shared" ref="AK22:AK23" si="50">TEXT(AJ22/120,"0.00")&amp;" s"</f>
        <v>8.00 s</v>
      </c>
      <c r="AL22" s="4">
        <v>6</v>
      </c>
      <c r="AM22" s="5">
        <f t="shared" si="44"/>
        <v>6</v>
      </c>
      <c r="AN22" s="5">
        <f t="shared" si="24"/>
        <v>1</v>
      </c>
      <c r="AO22" s="5">
        <f t="shared" si="45"/>
        <v>1.1666666666666667</v>
      </c>
      <c r="AP22" s="5">
        <f t="shared" si="20"/>
        <v>1.1666666666666667</v>
      </c>
      <c r="AQ22" s="5">
        <f t="shared" si="46"/>
        <v>5.1428571428571423</v>
      </c>
      <c r="AY22" s="20">
        <v>0</v>
      </c>
    </row>
    <row r="23" spans="1:51" x14ac:dyDescent="0.2">
      <c r="A23" s="4">
        <v>201107</v>
      </c>
      <c r="B23" s="5" t="s">
        <v>154</v>
      </c>
      <c r="C23" s="5" t="s">
        <v>148</v>
      </c>
      <c r="D23" s="5" t="s">
        <v>155</v>
      </c>
      <c r="E23" s="20"/>
      <c r="F23" s="20"/>
      <c r="G23" s="4">
        <v>2102</v>
      </c>
      <c r="H23" s="4" t="str">
        <f t="shared" si="41"/>
        <v>5.5~15</v>
      </c>
      <c r="I23" s="6">
        <v>5.5</v>
      </c>
      <c r="J23" s="6">
        <v>15</v>
      </c>
      <c r="K23" s="20"/>
      <c r="L23" s="20"/>
      <c r="M23" s="4" t="str">
        <f t="shared" si="49"/>
        <v>1500~0</v>
      </c>
      <c r="N23" s="6">
        <v>1500</v>
      </c>
      <c r="O23" s="6">
        <v>0</v>
      </c>
      <c r="Q23" s="4">
        <v>1</v>
      </c>
      <c r="R23" s="4">
        <v>2</v>
      </c>
      <c r="S23" s="4" t="s">
        <v>125</v>
      </c>
      <c r="T23" s="23">
        <v>1</v>
      </c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>
        <v>30</v>
      </c>
      <c r="AJ23" s="4">
        <v>180</v>
      </c>
      <c r="AK23" s="5" t="str">
        <f t="shared" si="50"/>
        <v>1.50 s</v>
      </c>
      <c r="AL23" s="4">
        <v>2</v>
      </c>
      <c r="AM23" s="5">
        <f t="shared" si="44"/>
        <v>2</v>
      </c>
      <c r="AN23" s="5">
        <f t="shared" si="24"/>
        <v>1</v>
      </c>
      <c r="AO23" s="5">
        <f t="shared" si="45"/>
        <v>1</v>
      </c>
      <c r="AP23" s="5">
        <f t="shared" si="20"/>
        <v>1</v>
      </c>
      <c r="AQ23" s="5">
        <f t="shared" si="46"/>
        <v>2</v>
      </c>
      <c r="AY23" s="20">
        <v>0</v>
      </c>
    </row>
    <row r="24" spans="1:51" x14ac:dyDescent="0.2">
      <c r="A24" s="4">
        <v>201108</v>
      </c>
      <c r="B24" s="5" t="s">
        <v>156</v>
      </c>
      <c r="C24" s="5" t="s">
        <v>148</v>
      </c>
      <c r="D24" s="5" t="s">
        <v>157</v>
      </c>
      <c r="E24" s="20"/>
      <c r="F24" s="20"/>
      <c r="G24" s="4">
        <v>2103</v>
      </c>
      <c r="H24" s="4" t="str">
        <f t="shared" si="41"/>
        <v>4~9</v>
      </c>
      <c r="I24" s="6">
        <v>4</v>
      </c>
      <c r="J24" s="6">
        <v>9</v>
      </c>
      <c r="K24" s="20"/>
      <c r="L24" s="20"/>
      <c r="M24" s="4" t="str">
        <f t="shared" ref="M24" si="51">_xlfn.TEXTJOIN("~",1,N24:O24)</f>
        <v>1500~0</v>
      </c>
      <c r="N24" s="6">
        <v>1500</v>
      </c>
      <c r="O24" s="6">
        <v>0</v>
      </c>
      <c r="Q24" s="4">
        <v>1</v>
      </c>
      <c r="R24" s="4">
        <v>2.5</v>
      </c>
      <c r="S24" s="4" t="s">
        <v>125</v>
      </c>
      <c r="T24" s="23">
        <v>1</v>
      </c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>
        <v>30</v>
      </c>
      <c r="AJ24" s="4">
        <v>720</v>
      </c>
      <c r="AK24" s="5" t="str">
        <f t="shared" ref="AK24" si="52">TEXT(AJ24/120,"0.00")&amp;" s"</f>
        <v>6.00 s</v>
      </c>
      <c r="AL24" s="4">
        <v>4</v>
      </c>
      <c r="AM24" s="5">
        <f t="shared" si="44"/>
        <v>4</v>
      </c>
      <c r="AN24" s="5">
        <f t="shared" si="24"/>
        <v>1</v>
      </c>
      <c r="AO24" s="5">
        <f t="shared" si="45"/>
        <v>1</v>
      </c>
      <c r="AP24" s="5">
        <f t="shared" si="20"/>
        <v>1</v>
      </c>
      <c r="AQ24" s="5">
        <f t="shared" si="46"/>
        <v>4</v>
      </c>
      <c r="AY24" s="20">
        <v>0</v>
      </c>
    </row>
    <row r="25" spans="1:51" x14ac:dyDescent="0.2">
      <c r="A25" s="4">
        <v>201109</v>
      </c>
      <c r="B25" s="5" t="s">
        <v>158</v>
      </c>
      <c r="C25" s="5" t="s">
        <v>148</v>
      </c>
      <c r="D25" s="5" t="s">
        <v>159</v>
      </c>
      <c r="E25" s="20"/>
      <c r="F25" s="20"/>
      <c r="G25" s="4">
        <v>2104</v>
      </c>
      <c r="H25" s="4" t="str">
        <f t="shared" si="41"/>
        <v>5~12</v>
      </c>
      <c r="I25" s="6">
        <v>5</v>
      </c>
      <c r="J25" s="6">
        <v>12</v>
      </c>
      <c r="K25" s="20"/>
      <c r="L25" s="20"/>
      <c r="M25" s="4" t="str">
        <f t="shared" ref="M25" si="53">_xlfn.TEXTJOIN("~",1,N25:O25)</f>
        <v>1500~0</v>
      </c>
      <c r="N25" s="6">
        <v>1500</v>
      </c>
      <c r="O25" s="6">
        <v>0</v>
      </c>
      <c r="Q25" s="4">
        <v>1</v>
      </c>
      <c r="R25" s="4">
        <v>2</v>
      </c>
      <c r="S25" s="4" t="s">
        <v>125</v>
      </c>
      <c r="T25" s="23">
        <v>1</v>
      </c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>
        <v>30</v>
      </c>
      <c r="AJ25" s="4">
        <v>540</v>
      </c>
      <c r="AK25" s="5" t="str">
        <f t="shared" ref="AK25" si="54">TEXT(AJ25/120,"0.00")&amp;" s"</f>
        <v>4.50 s</v>
      </c>
      <c r="AL25" s="4">
        <v>5</v>
      </c>
      <c r="AM25" s="5">
        <f t="shared" si="44"/>
        <v>5</v>
      </c>
      <c r="AN25" s="5">
        <f t="shared" si="24"/>
        <v>1</v>
      </c>
      <c r="AO25" s="5">
        <f t="shared" si="45"/>
        <v>1</v>
      </c>
      <c r="AP25" s="5">
        <f t="shared" si="20"/>
        <v>1</v>
      </c>
      <c r="AQ25" s="5">
        <f t="shared" si="46"/>
        <v>5</v>
      </c>
      <c r="AY25" s="4">
        <v>2</v>
      </c>
    </row>
  </sheetData>
  <phoneticPr fontId="19" type="noConversion"/>
  <conditionalFormatting sqref="L3">
    <cfRule type="expression" dxfId="0" priority="2">
      <formula>AND(L3&lt;&gt;"",L3&lt;=1000)</formula>
    </cfRule>
  </conditionalFormatting>
  <conditionalFormatting sqref="AI1:AI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:AM1048576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{57C7F5C8-EAF6-48C2-B3EF-034EC06E261B}</x14:id>
        </ext>
      </extLst>
    </cfRule>
  </conditionalFormatting>
  <conditionalFormatting sqref="AU1:AU1048576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{BE0CF04B-03FE-4D2D-9B73-E9A2CB639FCD}</x14:id>
        </ext>
      </extLst>
    </cfRule>
  </conditionalFormatting>
  <conditionalFormatting sqref="AV1:AV1048576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{DF8B15CD-104A-4590-894B-033F0204D23B}</x14:id>
        </ext>
      </extLst>
    </cfRule>
  </conditionalFormatting>
  <conditionalFormatting sqref="AW1:AW104857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{0483FEDF-711F-4DB1-98C9-1097ABCB3D69}</x14:id>
        </ext>
      </extLst>
    </cfRule>
  </conditionalFormatting>
  <conditionalFormatting sqref="AX1:AX1048576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{D396FE6A-3D56-44A1-A229-E90B09DC4511}</x14:id>
        </ext>
      </extLst>
    </cfRule>
  </conditionalFormatting>
  <pageMargins left="0.75" right="0.75" top="1" bottom="1" header="0.5" footer="0.5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C7F5C8-EAF6-48C2-B3EF-034EC06E26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BE0CF04B-03FE-4D2D-9B73-E9A2CB639F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AU1:AU1048576</xm:sqref>
        </x14:conditionalFormatting>
        <x14:conditionalFormatting xmlns:xm="http://schemas.microsoft.com/office/excel/2006/main">
          <x14:cfRule type="dataBar" id="{DF8B15CD-104A-4590-894B-033F0204D2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AV1:AV1048576</xm:sqref>
        </x14:conditionalFormatting>
        <x14:conditionalFormatting xmlns:xm="http://schemas.microsoft.com/office/excel/2006/main">
          <x14:cfRule type="dataBar" id="{0483FEDF-711F-4DB1-98C9-1097ABCB3D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AW1:AW1048576</xm:sqref>
        </x14:conditionalFormatting>
        <x14:conditionalFormatting xmlns:xm="http://schemas.microsoft.com/office/excel/2006/main">
          <x14:cfRule type="dataBar" id="{D396FE6A-3D56-44A1-A229-E90B09DC45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AX1:AX1048576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pane xSplit="3" ySplit="3" topLeftCell="D4" activePane="bottomRight" state="frozen"/>
      <selection pane="topRight"/>
      <selection pane="bottomLeft"/>
      <selection pane="bottomRight" activeCell="E27" sqref="E27"/>
    </sheetView>
  </sheetViews>
  <sheetFormatPr defaultColWidth="9.125" defaultRowHeight="14.25" x14ac:dyDescent="0.2"/>
  <cols>
    <col min="1" max="1" width="12.5" style="4" customWidth="1"/>
    <col min="2" max="2" width="11.5" style="5" customWidth="1"/>
    <col min="3" max="3" width="18.25" style="5" customWidth="1"/>
    <col min="4" max="4" width="11.375" style="4" customWidth="1"/>
    <col min="5" max="5" width="9.25" style="5" customWidth="1"/>
    <col min="6" max="9" width="14.875" style="4" customWidth="1"/>
    <col min="10" max="10" width="19" style="4" customWidth="1"/>
    <col min="11" max="13" width="17.875" style="4" customWidth="1"/>
    <col min="14" max="14" width="12.75" style="5" customWidth="1"/>
    <col min="15" max="16384" width="9.125" style="4"/>
  </cols>
  <sheetData>
    <row r="1" spans="1:14" s="1" customFormat="1" x14ac:dyDescent="0.2">
      <c r="A1" s="1" t="s">
        <v>0</v>
      </c>
      <c r="B1" s="7"/>
      <c r="C1" s="7"/>
      <c r="D1" s="1" t="s">
        <v>1</v>
      </c>
      <c r="E1" s="7"/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7"/>
    </row>
    <row r="2" spans="1:14" s="2" customFormat="1" x14ac:dyDescent="0.2">
      <c r="A2" s="2" t="s">
        <v>15</v>
      </c>
      <c r="B2" s="7"/>
      <c r="C2" s="7"/>
      <c r="D2" s="2" t="s">
        <v>16</v>
      </c>
      <c r="E2" s="7"/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16</v>
      </c>
      <c r="L2" s="2" t="s">
        <v>16</v>
      </c>
      <c r="M2" s="2" t="s">
        <v>16</v>
      </c>
      <c r="N2" s="7"/>
    </row>
    <row r="3" spans="1:14" s="3" customFormat="1" ht="28.5" x14ac:dyDescent="0.2">
      <c r="A3" s="8" t="s">
        <v>168</v>
      </c>
      <c r="B3" s="9" t="s">
        <v>23</v>
      </c>
      <c r="C3" s="9" t="s">
        <v>169</v>
      </c>
      <c r="D3" s="10" t="s">
        <v>25</v>
      </c>
      <c r="E3" s="9" t="s">
        <v>26</v>
      </c>
      <c r="F3" s="10" t="s">
        <v>170</v>
      </c>
      <c r="G3" s="10" t="s">
        <v>171</v>
      </c>
      <c r="H3" s="10" t="s">
        <v>172</v>
      </c>
      <c r="I3" s="10" t="s">
        <v>173</v>
      </c>
      <c r="J3" s="10" t="s">
        <v>174</v>
      </c>
      <c r="K3" s="8" t="s">
        <v>175</v>
      </c>
      <c r="L3" s="8" t="s">
        <v>176</v>
      </c>
      <c r="M3" s="10" t="s">
        <v>177</v>
      </c>
      <c r="N3" s="9" t="s">
        <v>178</v>
      </c>
    </row>
    <row r="4" spans="1:14" x14ac:dyDescent="0.2">
      <c r="A4" s="4">
        <v>1350101</v>
      </c>
      <c r="B4" s="5" t="s">
        <v>179</v>
      </c>
      <c r="C4" s="5" t="s">
        <v>180</v>
      </c>
      <c r="D4" s="4">
        <v>120</v>
      </c>
      <c r="E4" s="5" t="str">
        <f>TEXT(D4/120,"0.00")&amp;" s"</f>
        <v>1.00 s</v>
      </c>
      <c r="F4" s="4">
        <v>17.5</v>
      </c>
      <c r="G4" s="4">
        <v>6</v>
      </c>
      <c r="H4" s="4">
        <v>10</v>
      </c>
      <c r="I4" s="4">
        <v>200</v>
      </c>
      <c r="J4" s="4">
        <v>3</v>
      </c>
      <c r="K4" s="4">
        <v>2</v>
      </c>
      <c r="L4" s="4">
        <v>1</v>
      </c>
      <c r="M4" s="4">
        <v>60</v>
      </c>
      <c r="N4" s="5">
        <f>$L4*120/$M4</f>
        <v>2</v>
      </c>
    </row>
    <row r="5" spans="1:14" x14ac:dyDescent="0.2">
      <c r="A5" s="4">
        <v>1350102</v>
      </c>
      <c r="B5" s="5" t="s">
        <v>181</v>
      </c>
      <c r="C5" s="5" t="s">
        <v>180</v>
      </c>
      <c r="D5" s="4">
        <v>120</v>
      </c>
      <c r="E5" s="5" t="str">
        <f t="shared" ref="E5" si="0">TEXT(D5/120,"0.00")&amp;" s"</f>
        <v>1.00 s</v>
      </c>
      <c r="F5" s="4">
        <v>15</v>
      </c>
      <c r="G5" s="4">
        <v>3</v>
      </c>
      <c r="H5" s="4">
        <v>8</v>
      </c>
      <c r="I5" s="4">
        <v>200</v>
      </c>
      <c r="J5" s="4">
        <v>3</v>
      </c>
      <c r="K5" s="4">
        <v>1</v>
      </c>
      <c r="L5" s="4">
        <v>1</v>
      </c>
      <c r="M5" s="4">
        <v>60</v>
      </c>
      <c r="N5" s="5">
        <f t="shared" ref="N5:N8" si="1">$L5*120/$M5</f>
        <v>2</v>
      </c>
    </row>
    <row r="6" spans="1:14" x14ac:dyDescent="0.2">
      <c r="A6" s="4">
        <v>1350103</v>
      </c>
      <c r="B6" s="5" t="s">
        <v>182</v>
      </c>
      <c r="C6" s="5" t="s">
        <v>180</v>
      </c>
      <c r="D6" s="4">
        <v>120</v>
      </c>
      <c r="E6" s="5" t="str">
        <f t="shared" ref="E6:E7" si="2">TEXT(D6/120,"0.00")&amp;" s"</f>
        <v>1.00 s</v>
      </c>
      <c r="F6" s="4">
        <v>15</v>
      </c>
      <c r="G6" s="4">
        <v>3</v>
      </c>
      <c r="H6" s="4">
        <v>8</v>
      </c>
      <c r="I6" s="4">
        <v>200</v>
      </c>
      <c r="J6" s="4">
        <v>3</v>
      </c>
      <c r="K6" s="4">
        <v>1</v>
      </c>
      <c r="L6" s="4">
        <v>1</v>
      </c>
      <c r="M6" s="4">
        <v>60</v>
      </c>
      <c r="N6" s="5">
        <f t="shared" si="1"/>
        <v>2</v>
      </c>
    </row>
    <row r="7" spans="1:14" x14ac:dyDescent="0.2">
      <c r="A7" s="4">
        <v>1351101</v>
      </c>
      <c r="B7" s="5" t="s">
        <v>183</v>
      </c>
      <c r="C7" s="5" t="s">
        <v>180</v>
      </c>
      <c r="D7" s="4">
        <v>5</v>
      </c>
      <c r="E7" s="5" t="str">
        <f t="shared" si="2"/>
        <v>0.04 s</v>
      </c>
      <c r="F7" s="4">
        <v>20</v>
      </c>
      <c r="G7" s="4">
        <v>7</v>
      </c>
      <c r="H7" s="4">
        <v>8</v>
      </c>
      <c r="I7" s="4">
        <v>225</v>
      </c>
      <c r="J7" s="4">
        <v>3</v>
      </c>
      <c r="K7" s="4">
        <v>15</v>
      </c>
      <c r="L7" s="4">
        <v>1</v>
      </c>
      <c r="M7" s="4">
        <v>120</v>
      </c>
      <c r="N7" s="5">
        <f t="shared" si="1"/>
        <v>1</v>
      </c>
    </row>
    <row r="8" spans="1:14" x14ac:dyDescent="0.2">
      <c r="A8" s="4">
        <v>1351102</v>
      </c>
      <c r="B8" s="5" t="s">
        <v>184</v>
      </c>
      <c r="C8" s="5" t="s">
        <v>180</v>
      </c>
      <c r="D8" s="4">
        <v>60</v>
      </c>
      <c r="E8" s="5" t="str">
        <f t="shared" ref="E8" si="3">TEXT(D8/120,"0.00")&amp;" s"</f>
        <v>0.50 s</v>
      </c>
      <c r="F8" s="4">
        <v>12.5</v>
      </c>
      <c r="G8" s="4">
        <v>2.5</v>
      </c>
      <c r="H8" s="4">
        <v>4</v>
      </c>
      <c r="I8" s="4">
        <v>250</v>
      </c>
      <c r="J8" s="4">
        <v>3</v>
      </c>
      <c r="K8" s="4">
        <v>5</v>
      </c>
      <c r="L8" s="4">
        <v>4</v>
      </c>
      <c r="M8" s="4">
        <v>60</v>
      </c>
      <c r="N8" s="5">
        <f t="shared" si="1"/>
        <v>8</v>
      </c>
    </row>
  </sheetData>
  <phoneticPr fontId="19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F9" sqref="F9"/>
    </sheetView>
  </sheetViews>
  <sheetFormatPr defaultColWidth="9.125" defaultRowHeight="14.25" x14ac:dyDescent="0.2"/>
  <cols>
    <col min="1" max="1" width="12.5" style="4" customWidth="1"/>
    <col min="2" max="2" width="11.5" style="5" customWidth="1"/>
    <col min="3" max="3" width="13.625" style="5" customWidth="1"/>
    <col min="4" max="4" width="23.625" style="4" customWidth="1"/>
    <col min="5" max="5" width="14.125" style="4" bestFit="1" customWidth="1"/>
    <col min="6" max="6" width="9.125" style="4"/>
    <col min="7" max="7" width="14.75" style="4" customWidth="1"/>
    <col min="8" max="9" width="12.25" style="4" customWidth="1"/>
    <col min="10" max="10" width="18.75" style="4" customWidth="1"/>
    <col min="11" max="11" width="9.125" style="5"/>
    <col min="12" max="12" width="18.75" style="4" customWidth="1"/>
    <col min="13" max="13" width="9.125" style="5"/>
    <col min="14" max="16384" width="9.125" style="4"/>
  </cols>
  <sheetData>
    <row r="1" spans="1:13" s="1" customFormat="1" x14ac:dyDescent="0.2">
      <c r="A1" s="1" t="s">
        <v>0</v>
      </c>
      <c r="B1" s="7"/>
      <c r="C1" s="7"/>
      <c r="D1" s="1" t="s">
        <v>192</v>
      </c>
      <c r="E1" s="1" t="s">
        <v>244</v>
      </c>
      <c r="F1" s="1" t="s">
        <v>11</v>
      </c>
      <c r="G1" s="1" t="s">
        <v>193</v>
      </c>
      <c r="H1" s="1" t="s">
        <v>194</v>
      </c>
      <c r="I1" s="1" t="s">
        <v>195</v>
      </c>
      <c r="J1" s="1" t="s">
        <v>196</v>
      </c>
      <c r="K1" s="7"/>
      <c r="L1" s="30" t="s">
        <v>225</v>
      </c>
      <c r="M1" s="7"/>
    </row>
    <row r="2" spans="1:13" s="2" customFormat="1" x14ac:dyDescent="0.2">
      <c r="A2" s="2" t="s">
        <v>15</v>
      </c>
      <c r="B2" s="7"/>
      <c r="C2" s="7"/>
      <c r="D2" s="2" t="s">
        <v>19</v>
      </c>
      <c r="E2" s="2" t="s">
        <v>19</v>
      </c>
      <c r="F2" s="2" t="s">
        <v>16</v>
      </c>
      <c r="G2" s="2" t="s">
        <v>18</v>
      </c>
      <c r="H2" s="2" t="s">
        <v>18</v>
      </c>
      <c r="I2" s="2" t="s">
        <v>18</v>
      </c>
      <c r="J2" s="2" t="s">
        <v>18</v>
      </c>
      <c r="K2" s="7"/>
      <c r="L2" s="2" t="s">
        <v>18</v>
      </c>
      <c r="M2" s="7"/>
    </row>
    <row r="3" spans="1:13" s="3" customFormat="1" ht="28.5" x14ac:dyDescent="0.2">
      <c r="A3" s="8" t="s">
        <v>197</v>
      </c>
      <c r="B3" s="9" t="s">
        <v>23</v>
      </c>
      <c r="C3" s="9" t="s">
        <v>24</v>
      </c>
      <c r="D3" s="14" t="s">
        <v>198</v>
      </c>
      <c r="E3" s="14" t="s">
        <v>243</v>
      </c>
      <c r="F3" s="10" t="s">
        <v>199</v>
      </c>
      <c r="G3" s="10" t="s">
        <v>200</v>
      </c>
      <c r="H3" s="10" t="s">
        <v>201</v>
      </c>
      <c r="I3" s="10" t="s">
        <v>202</v>
      </c>
      <c r="J3" s="8" t="s">
        <v>203</v>
      </c>
      <c r="K3" s="15" t="s">
        <v>204</v>
      </c>
      <c r="L3" s="31" t="s">
        <v>226</v>
      </c>
      <c r="M3" s="15" t="s">
        <v>204</v>
      </c>
    </row>
    <row r="4" spans="1:13" x14ac:dyDescent="0.2">
      <c r="A4" s="4">
        <v>1360101</v>
      </c>
      <c r="B4" s="5" t="s">
        <v>205</v>
      </c>
      <c r="C4" s="5" t="s">
        <v>206</v>
      </c>
      <c r="D4" s="29" t="s">
        <v>224</v>
      </c>
      <c r="E4" s="34" t="s">
        <v>245</v>
      </c>
      <c r="F4" s="4">
        <v>8</v>
      </c>
      <c r="G4" s="4">
        <v>1</v>
      </c>
      <c r="H4" s="4">
        <v>3</v>
      </c>
      <c r="I4" s="4">
        <v>0.5</v>
      </c>
      <c r="J4" s="4">
        <f>K4/1000</f>
        <v>1.6E-2</v>
      </c>
      <c r="K4" s="5">
        <v>16</v>
      </c>
      <c r="L4" s="4">
        <f>M4/1000</f>
        <v>0.09</v>
      </c>
      <c r="M4" s="5">
        <v>90</v>
      </c>
    </row>
    <row r="5" spans="1:13" x14ac:dyDescent="0.2">
      <c r="A5" s="4">
        <v>1360102</v>
      </c>
      <c r="B5" s="5" t="s">
        <v>207</v>
      </c>
      <c r="C5" s="5" t="s">
        <v>206</v>
      </c>
      <c r="D5" s="29" t="s">
        <v>224</v>
      </c>
      <c r="E5" s="34" t="s">
        <v>245</v>
      </c>
      <c r="F5" s="4">
        <v>10</v>
      </c>
      <c r="G5" s="4">
        <v>0.5</v>
      </c>
      <c r="H5" s="4">
        <v>5</v>
      </c>
      <c r="I5" s="4">
        <v>1</v>
      </c>
      <c r="J5" s="4">
        <f t="shared" ref="J5:L6" si="0">K5/1000</f>
        <v>2E-3</v>
      </c>
      <c r="K5" s="5">
        <v>2</v>
      </c>
      <c r="L5" s="4">
        <f t="shared" si="0"/>
        <v>0.01</v>
      </c>
      <c r="M5" s="5">
        <v>10</v>
      </c>
    </row>
    <row r="6" spans="1:13" x14ac:dyDescent="0.2">
      <c r="A6" s="4">
        <v>1360103</v>
      </c>
      <c r="B6" s="5" t="s">
        <v>208</v>
      </c>
      <c r="C6" s="5" t="s">
        <v>206</v>
      </c>
      <c r="D6" s="29" t="s">
        <v>223</v>
      </c>
      <c r="E6" s="34" t="s">
        <v>245</v>
      </c>
      <c r="F6" s="4">
        <v>2</v>
      </c>
      <c r="G6" s="4">
        <v>0.1</v>
      </c>
      <c r="H6" s="4">
        <v>30</v>
      </c>
      <c r="I6" s="4">
        <v>2.5</v>
      </c>
      <c r="J6" s="4">
        <f t="shared" si="0"/>
        <v>5.0000000000000001E-3</v>
      </c>
      <c r="K6" s="5">
        <v>5</v>
      </c>
      <c r="L6" s="4">
        <f t="shared" si="0"/>
        <v>2.5000000000000001E-2</v>
      </c>
      <c r="M6" s="5">
        <v>25</v>
      </c>
    </row>
  </sheetData>
  <phoneticPr fontId="19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pane xSplit="3" ySplit="3" topLeftCell="D4" activePane="bottomRight" state="frozen"/>
      <selection pane="topRight"/>
      <selection pane="bottomLeft"/>
      <selection pane="bottomRight" activeCell="F11" sqref="F11"/>
    </sheetView>
  </sheetViews>
  <sheetFormatPr defaultColWidth="9.125" defaultRowHeight="14.25" x14ac:dyDescent="0.2"/>
  <cols>
    <col min="1" max="1" width="12.5" style="4" customWidth="1"/>
    <col min="2" max="2" width="11.5" style="5" customWidth="1"/>
    <col min="3" max="3" width="13.625" style="5" customWidth="1"/>
    <col min="4" max="4" width="9.125" style="4"/>
    <col min="5" max="5" width="12.25" style="4" customWidth="1"/>
    <col min="6" max="6" width="16.375" style="4" customWidth="1"/>
    <col min="7" max="7" width="12.75" style="5" customWidth="1"/>
    <col min="8" max="8" width="16.375" style="4" customWidth="1"/>
    <col min="9" max="10" width="7.875" style="6" customWidth="1"/>
    <col min="11" max="11" width="12.75" style="5" customWidth="1"/>
    <col min="12" max="16384" width="9.125" style="4"/>
  </cols>
  <sheetData>
    <row r="1" spans="1:11" s="1" customFormat="1" x14ac:dyDescent="0.2">
      <c r="A1" s="1" t="s">
        <v>0</v>
      </c>
      <c r="B1" s="7"/>
      <c r="C1" s="7"/>
      <c r="D1" s="1" t="s">
        <v>11</v>
      </c>
      <c r="E1" s="1" t="s">
        <v>14</v>
      </c>
      <c r="F1" s="1" t="s">
        <v>209</v>
      </c>
      <c r="G1" s="7"/>
      <c r="H1" s="1" t="s">
        <v>210</v>
      </c>
      <c r="I1" s="11"/>
      <c r="J1" s="11"/>
      <c r="K1" s="7"/>
    </row>
    <row r="2" spans="1:11" s="2" customFormat="1" x14ac:dyDescent="0.2">
      <c r="A2" s="2" t="s">
        <v>15</v>
      </c>
      <c r="B2" s="7"/>
      <c r="C2" s="7"/>
      <c r="D2" s="2" t="s">
        <v>16</v>
      </c>
      <c r="E2" s="2" t="s">
        <v>18</v>
      </c>
      <c r="F2" s="2" t="s">
        <v>19</v>
      </c>
      <c r="G2" s="7"/>
      <c r="H2" s="2" t="s">
        <v>18</v>
      </c>
      <c r="I2" s="12"/>
      <c r="J2" s="12"/>
      <c r="K2" s="7"/>
    </row>
    <row r="3" spans="1:11" s="3" customFormat="1" ht="28.5" x14ac:dyDescent="0.2">
      <c r="A3" s="8" t="s">
        <v>211</v>
      </c>
      <c r="B3" s="9" t="s">
        <v>23</v>
      </c>
      <c r="C3" s="9" t="s">
        <v>24</v>
      </c>
      <c r="D3" s="8" t="s">
        <v>43</v>
      </c>
      <c r="E3" s="8" t="s">
        <v>48</v>
      </c>
      <c r="F3" s="8" t="s">
        <v>212</v>
      </c>
      <c r="G3" s="9" t="s">
        <v>213</v>
      </c>
      <c r="H3" s="10" t="s">
        <v>214</v>
      </c>
      <c r="I3" s="13" t="s">
        <v>215</v>
      </c>
      <c r="J3" s="13" t="s">
        <v>216</v>
      </c>
      <c r="K3" s="9" t="s">
        <v>217</v>
      </c>
    </row>
    <row r="4" spans="1:11" x14ac:dyDescent="0.2">
      <c r="A4" s="4">
        <v>1330102</v>
      </c>
      <c r="B4" s="5" t="s">
        <v>218</v>
      </c>
      <c r="C4" s="5" t="s">
        <v>219</v>
      </c>
      <c r="D4" s="4">
        <v>9</v>
      </c>
      <c r="E4" s="4">
        <v>19</v>
      </c>
      <c r="F4" s="4" t="s">
        <v>220</v>
      </c>
      <c r="G4" s="5" t="s">
        <v>221</v>
      </c>
      <c r="H4" s="4">
        <f>I4/J4</f>
        <v>0.65</v>
      </c>
      <c r="I4" s="6">
        <v>13</v>
      </c>
      <c r="J4" s="6">
        <v>20</v>
      </c>
      <c r="K4" s="5" t="s">
        <v>222</v>
      </c>
    </row>
  </sheetData>
  <phoneticPr fontId="19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"/>
  <sheetViews>
    <sheetView zoomScaleNormal="100" workbookViewId="0">
      <pane xSplit="3" ySplit="3" topLeftCell="D4" activePane="bottomRight" state="frozen"/>
      <selection pane="topRight"/>
      <selection pane="bottomLeft"/>
      <selection pane="bottomRight" activeCell="E45" sqref="E45"/>
    </sheetView>
  </sheetViews>
  <sheetFormatPr defaultColWidth="9.125" defaultRowHeight="14.25" x14ac:dyDescent="0.2"/>
  <cols>
    <col min="1" max="1" width="12.5" style="4" customWidth="1"/>
    <col min="2" max="2" width="11.5" style="5" customWidth="1"/>
    <col min="3" max="3" width="13.625" style="5" customWidth="1"/>
    <col min="4" max="4" width="11.375" style="4" customWidth="1"/>
    <col min="5" max="5" width="9.25" style="5" customWidth="1"/>
    <col min="6" max="6" width="11.375" style="4" customWidth="1"/>
    <col min="7" max="7" width="14.25" style="4" customWidth="1"/>
    <col min="8" max="8" width="9.125" style="4"/>
    <col min="9" max="10" width="8.375" style="5" customWidth="1"/>
    <col min="11" max="11" width="12.25" style="4" customWidth="1"/>
    <col min="12" max="12" width="14.5" style="4" customWidth="1"/>
    <col min="13" max="13" width="13.5" style="4" customWidth="1"/>
    <col min="14" max="15" width="8.375" style="5" customWidth="1"/>
    <col min="16" max="16" width="16.875" style="4" customWidth="1"/>
    <col min="17" max="17" width="22.625" style="4" bestFit="1" customWidth="1"/>
    <col min="18" max="16384" width="9.125" style="4"/>
  </cols>
  <sheetData>
    <row r="1" spans="1:17" s="1" customFormat="1" x14ac:dyDescent="0.2">
      <c r="A1" s="1" t="s">
        <v>0</v>
      </c>
      <c r="B1" s="7"/>
      <c r="C1" s="7"/>
      <c r="D1" s="1" t="s">
        <v>1</v>
      </c>
      <c r="E1" s="7"/>
      <c r="F1" s="1" t="s">
        <v>185</v>
      </c>
      <c r="G1" s="1" t="s">
        <v>10</v>
      </c>
      <c r="H1" s="1" t="s">
        <v>11</v>
      </c>
      <c r="I1" s="7"/>
      <c r="J1" s="7"/>
      <c r="K1" s="1" t="s">
        <v>14</v>
      </c>
      <c r="L1" s="1" t="s">
        <v>186</v>
      </c>
      <c r="M1" s="1" t="s">
        <v>237</v>
      </c>
      <c r="N1" s="7"/>
      <c r="O1" s="7"/>
      <c r="P1" s="1" t="s">
        <v>187</v>
      </c>
      <c r="Q1" s="1" t="s">
        <v>236</v>
      </c>
    </row>
    <row r="2" spans="1:17" s="2" customFormat="1" x14ac:dyDescent="0.2">
      <c r="A2" s="2" t="s">
        <v>15</v>
      </c>
      <c r="B2" s="7"/>
      <c r="C2" s="7"/>
      <c r="D2" s="2" t="s">
        <v>16</v>
      </c>
      <c r="E2" s="7"/>
      <c r="F2" s="2" t="s">
        <v>18</v>
      </c>
      <c r="G2" s="2" t="s">
        <v>18</v>
      </c>
      <c r="H2" s="2" t="s">
        <v>16</v>
      </c>
      <c r="I2" s="7"/>
      <c r="J2" s="7"/>
      <c r="K2" s="2" t="s">
        <v>18</v>
      </c>
      <c r="L2" s="2" t="s">
        <v>18</v>
      </c>
      <c r="M2" s="2" t="s">
        <v>238</v>
      </c>
      <c r="N2" s="7"/>
      <c r="O2" s="7"/>
      <c r="P2" s="2" t="s">
        <v>16</v>
      </c>
      <c r="Q2" s="2" t="s">
        <v>18</v>
      </c>
    </row>
    <row r="3" spans="1:17" s="3" customFormat="1" ht="42.75" x14ac:dyDescent="0.2">
      <c r="A3" s="8" t="s">
        <v>188</v>
      </c>
      <c r="B3" s="9" t="s">
        <v>23</v>
      </c>
      <c r="C3" s="9" t="s">
        <v>24</v>
      </c>
      <c r="D3" s="10" t="s">
        <v>25</v>
      </c>
      <c r="E3" s="9" t="s">
        <v>26</v>
      </c>
      <c r="F3" s="10" t="s">
        <v>189</v>
      </c>
      <c r="G3" s="10" t="s">
        <v>42</v>
      </c>
      <c r="H3" s="8" t="s">
        <v>43</v>
      </c>
      <c r="I3" s="9" t="s">
        <v>46</v>
      </c>
      <c r="J3" s="9" t="s">
        <v>47</v>
      </c>
      <c r="K3" s="8" t="s">
        <v>48</v>
      </c>
      <c r="L3" s="8" t="s">
        <v>234</v>
      </c>
      <c r="M3" s="10" t="s">
        <v>239</v>
      </c>
      <c r="N3" s="9" t="s">
        <v>240</v>
      </c>
      <c r="O3" s="33" t="s">
        <v>241</v>
      </c>
      <c r="P3" s="8" t="s">
        <v>235</v>
      </c>
      <c r="Q3" s="8" t="s">
        <v>242</v>
      </c>
    </row>
    <row r="4" spans="1:17" x14ac:dyDescent="0.2">
      <c r="A4" s="4">
        <v>1340101</v>
      </c>
      <c r="B4" s="5" t="s">
        <v>190</v>
      </c>
      <c r="C4" s="5" t="s">
        <v>191</v>
      </c>
      <c r="D4" s="4">
        <v>200</v>
      </c>
      <c r="E4" s="5" t="str">
        <f t="shared" ref="E4:E11" si="0">TEXT(D4/120,"0.00")&amp;" s"</f>
        <v>1.67 s</v>
      </c>
      <c r="F4" s="4">
        <v>1.5</v>
      </c>
      <c r="G4" s="4">
        <v>25</v>
      </c>
      <c r="H4" s="4">
        <v>3</v>
      </c>
      <c r="I4" s="5" t="e">
        <f>$H4*30/#REF!</f>
        <v>#REF!</v>
      </c>
      <c r="J4" s="5" t="e">
        <f>$H4*120/($D4+4*#REF!)</f>
        <v>#REF!</v>
      </c>
      <c r="K4" s="4">
        <v>15</v>
      </c>
      <c r="L4" s="4">
        <v>100</v>
      </c>
      <c r="M4" s="4" t="str" cm="1">
        <f t="array" ref="M4">_xlfn.TEXTJOIN("~",1,N4:O4/120)</f>
        <v>0.166666666666667~0.0166666666666667</v>
      </c>
      <c r="N4" s="5">
        <v>20</v>
      </c>
      <c r="O4" s="5">
        <v>2</v>
      </c>
      <c r="P4" s="4">
        <v>240</v>
      </c>
      <c r="Q4" s="4">
        <v>15</v>
      </c>
    </row>
    <row r="5" spans="1:17" x14ac:dyDescent="0.2">
      <c r="A5" s="32">
        <v>1340102</v>
      </c>
      <c r="B5" s="5" t="s">
        <v>227</v>
      </c>
      <c r="C5" s="5" t="s">
        <v>191</v>
      </c>
      <c r="D5" s="4">
        <v>150</v>
      </c>
      <c r="E5" s="5" t="str">
        <f t="shared" si="0"/>
        <v>1.25 s</v>
      </c>
      <c r="F5" s="4">
        <v>2</v>
      </c>
      <c r="G5" s="4">
        <v>25</v>
      </c>
      <c r="H5" s="4">
        <v>3</v>
      </c>
      <c r="I5" s="5" t="e">
        <f>$H5*30/#REF!</f>
        <v>#REF!</v>
      </c>
      <c r="J5" s="5" t="e">
        <f>$H5*120/($D5+4*#REF!)</f>
        <v>#REF!</v>
      </c>
      <c r="K5" s="4">
        <v>15</v>
      </c>
      <c r="L5" s="4">
        <v>100</v>
      </c>
      <c r="M5" s="4" t="str" cm="1">
        <f t="array" ref="M5">_xlfn.TEXTJOIN("~",1,N5:O5/120)</f>
        <v>0~0</v>
      </c>
      <c r="P5" s="4">
        <v>240</v>
      </c>
      <c r="Q5" s="4">
        <v>5</v>
      </c>
    </row>
    <row r="6" spans="1:17" x14ac:dyDescent="0.2">
      <c r="A6" s="32">
        <v>1340103</v>
      </c>
      <c r="B6" s="5" t="s">
        <v>228</v>
      </c>
      <c r="C6" s="5" t="s">
        <v>191</v>
      </c>
      <c r="D6" s="4">
        <v>150</v>
      </c>
      <c r="E6" s="5" t="str">
        <f t="shared" si="0"/>
        <v>1.25 s</v>
      </c>
      <c r="F6" s="4">
        <v>2</v>
      </c>
      <c r="G6" s="4">
        <v>25</v>
      </c>
      <c r="H6" s="4">
        <v>3</v>
      </c>
      <c r="I6" s="5" t="e">
        <f>$H6*30/#REF!</f>
        <v>#REF!</v>
      </c>
      <c r="J6" s="5" t="e">
        <f>$H6*120/($D6+4*#REF!)</f>
        <v>#REF!</v>
      </c>
      <c r="K6" s="4">
        <v>15</v>
      </c>
      <c r="L6" s="4">
        <v>100</v>
      </c>
      <c r="M6" s="4" t="str" cm="1">
        <f t="array" ref="M6">_xlfn.TEXTJOIN("~",1,N6:O6/120)</f>
        <v>0~0</v>
      </c>
      <c r="P6" s="4">
        <v>240</v>
      </c>
      <c r="Q6" s="4">
        <v>5</v>
      </c>
    </row>
    <row r="7" spans="1:17" x14ac:dyDescent="0.2">
      <c r="A7" s="32">
        <v>1340104</v>
      </c>
      <c r="B7" s="5" t="s">
        <v>229</v>
      </c>
      <c r="C7" s="5" t="s">
        <v>191</v>
      </c>
      <c r="D7" s="4">
        <v>150</v>
      </c>
      <c r="E7" s="5" t="str">
        <f t="shared" si="0"/>
        <v>1.25 s</v>
      </c>
      <c r="F7" s="4">
        <v>2</v>
      </c>
      <c r="G7" s="4">
        <v>25</v>
      </c>
      <c r="H7" s="4">
        <v>3</v>
      </c>
      <c r="I7" s="5" t="e">
        <f>$H7*30/#REF!</f>
        <v>#REF!</v>
      </c>
      <c r="J7" s="5" t="e">
        <f>$H7*120/($D7+4*#REF!)</f>
        <v>#REF!</v>
      </c>
      <c r="K7" s="4">
        <v>15</v>
      </c>
      <c r="L7" s="4">
        <v>100</v>
      </c>
      <c r="M7" s="4" t="str" cm="1">
        <f t="array" ref="M7">_xlfn.TEXTJOIN("~",1,N7:O7/120)</f>
        <v>0~0</v>
      </c>
      <c r="P7" s="4">
        <v>240</v>
      </c>
      <c r="Q7" s="4">
        <v>5</v>
      </c>
    </row>
    <row r="8" spans="1:17" x14ac:dyDescent="0.2">
      <c r="A8" s="32">
        <v>1340105</v>
      </c>
      <c r="B8" s="5" t="s">
        <v>230</v>
      </c>
      <c r="C8" s="5" t="s">
        <v>191</v>
      </c>
      <c r="D8" s="4">
        <v>150</v>
      </c>
      <c r="E8" s="5" t="str">
        <f t="shared" si="0"/>
        <v>1.25 s</v>
      </c>
      <c r="F8" s="4">
        <v>2</v>
      </c>
      <c r="G8" s="4">
        <v>25</v>
      </c>
      <c r="H8" s="4">
        <v>3</v>
      </c>
      <c r="I8" s="5" t="e">
        <f>$H8*30/#REF!</f>
        <v>#REF!</v>
      </c>
      <c r="J8" s="5" t="e">
        <f>$H8*120/($D8+4*#REF!)</f>
        <v>#REF!</v>
      </c>
      <c r="K8" s="4">
        <v>15</v>
      </c>
      <c r="L8" s="4">
        <v>100</v>
      </c>
      <c r="M8" s="4" t="str" cm="1">
        <f t="array" ref="M8">_xlfn.TEXTJOIN("~",1,N8:O8/120)</f>
        <v>0~0</v>
      </c>
      <c r="P8" s="4">
        <v>240</v>
      </c>
      <c r="Q8" s="4">
        <v>5</v>
      </c>
    </row>
    <row r="9" spans="1:17" x14ac:dyDescent="0.2">
      <c r="A9" s="32">
        <v>1340106</v>
      </c>
      <c r="B9" s="5" t="s">
        <v>231</v>
      </c>
      <c r="C9" s="5" t="s">
        <v>191</v>
      </c>
      <c r="D9" s="4">
        <v>150</v>
      </c>
      <c r="E9" s="5" t="str">
        <f t="shared" si="0"/>
        <v>1.25 s</v>
      </c>
      <c r="F9" s="4">
        <v>2</v>
      </c>
      <c r="G9" s="4">
        <v>25</v>
      </c>
      <c r="H9" s="4">
        <v>3</v>
      </c>
      <c r="I9" s="5" t="e">
        <f>$H9*30/#REF!</f>
        <v>#REF!</v>
      </c>
      <c r="J9" s="5" t="e">
        <f>$H9*120/($D9+4*#REF!)</f>
        <v>#REF!</v>
      </c>
      <c r="K9" s="4">
        <v>15</v>
      </c>
      <c r="L9" s="4">
        <v>100</v>
      </c>
      <c r="M9" s="4" t="str" cm="1">
        <f t="array" ref="M9">_xlfn.TEXTJOIN("~",1,N9:O9/120)</f>
        <v>0~0</v>
      </c>
      <c r="P9" s="4">
        <v>240</v>
      </c>
      <c r="Q9" s="4">
        <v>5</v>
      </c>
    </row>
    <row r="10" spans="1:17" x14ac:dyDescent="0.2">
      <c r="A10" s="32">
        <v>1340107</v>
      </c>
      <c r="B10" s="5" t="s">
        <v>232</v>
      </c>
      <c r="C10" s="5" t="s">
        <v>191</v>
      </c>
      <c r="D10" s="4">
        <v>150</v>
      </c>
      <c r="E10" s="5" t="str">
        <f t="shared" si="0"/>
        <v>1.25 s</v>
      </c>
      <c r="F10" s="4">
        <v>2</v>
      </c>
      <c r="G10" s="4">
        <v>25</v>
      </c>
      <c r="H10" s="4">
        <v>3</v>
      </c>
      <c r="I10" s="5" t="e">
        <f>$H10*30/#REF!</f>
        <v>#REF!</v>
      </c>
      <c r="J10" s="5" t="e">
        <f>$H10*120/($D10+4*#REF!)</f>
        <v>#REF!</v>
      </c>
      <c r="K10" s="4">
        <v>15</v>
      </c>
      <c r="L10" s="4">
        <v>100</v>
      </c>
      <c r="M10" s="4" t="str" cm="1">
        <f t="array" ref="M10">_xlfn.TEXTJOIN("~",1,N10:O10/120)</f>
        <v>0~0</v>
      </c>
      <c r="P10" s="4">
        <v>240</v>
      </c>
      <c r="Q10" s="4">
        <v>5</v>
      </c>
    </row>
    <row r="11" spans="1:17" x14ac:dyDescent="0.2">
      <c r="A11" s="32">
        <v>1340108</v>
      </c>
      <c r="B11" s="5" t="s">
        <v>233</v>
      </c>
      <c r="C11" s="5" t="s">
        <v>191</v>
      </c>
      <c r="D11" s="4">
        <v>150</v>
      </c>
      <c r="E11" s="5" t="str">
        <f t="shared" si="0"/>
        <v>1.25 s</v>
      </c>
      <c r="F11" s="4">
        <v>2</v>
      </c>
      <c r="G11" s="4">
        <v>25</v>
      </c>
      <c r="H11" s="4">
        <v>3</v>
      </c>
      <c r="I11" s="5" t="e">
        <f>$H11*30/#REF!</f>
        <v>#REF!</v>
      </c>
      <c r="J11" s="5" t="e">
        <f>$H11*120/($D11+4*#REF!)</f>
        <v>#REF!</v>
      </c>
      <c r="K11" s="4">
        <v>15</v>
      </c>
      <c r="L11" s="4">
        <v>100</v>
      </c>
      <c r="M11" s="4" t="str" cm="1">
        <f t="array" ref="M11">_xlfn.TEXTJOIN("~",1,N11:O11/120)</f>
        <v>0~0</v>
      </c>
      <c r="P11" s="4">
        <v>240</v>
      </c>
      <c r="Q11" s="4">
        <v>5</v>
      </c>
    </row>
  </sheetData>
  <phoneticPr fontId="1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melee_logic</vt:lpstr>
      <vt:lpstr>fire_logic</vt:lpstr>
      <vt:lpstr>hook_logic</vt:lpstr>
      <vt:lpstr>ram_logic</vt:lpstr>
      <vt:lpstr>other_logic</vt:lpstr>
      <vt:lpstr>shield_logic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2025-05-13T09:12:34Z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2052-12.1.0.20784</vt:lpwstr>
  </property>
</Properties>
</file>