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DDDBBD8D-5900-40F3-9153-A9116E107CF1}" xr6:coauthVersionLast="47" xr6:coauthVersionMax="47" xr10:uidLastSave="{00000000-0000-0000-0000-000000000000}"/>
  <bookViews>
    <workbookView xWindow="-38520" yWindow="-120" windowWidth="38640" windowHeight="21240" activeTab="3" xr2:uid="{00000000-000D-0000-FFFF-FFFF00000000}"/>
  </bookViews>
  <sheets>
    <sheet name="monster" sheetId="3" r:id="rId1"/>
    <sheet name="-loot_list辅助配置表" sheetId="8" r:id="rId2"/>
    <sheet name="sub_monster_car" sheetId="7" r:id="rId3"/>
    <sheet name="monster_group" sheetId="4" r:id="rId4"/>
    <sheet name="-id 配置说明" sheetId="6" r:id="rId5"/>
  </sheets>
  <definedNames>
    <definedName name="ref_loot">'-id 配置说明'!$H$7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" l="1"/>
  <c r="K38" i="4"/>
  <c r="I38" i="4" a="1"/>
  <c r="I38" i="4" s="1"/>
  <c r="H38" i="4"/>
  <c r="B38" i="4" a="1"/>
  <c r="B38" i="4" s="1"/>
  <c r="O37" i="4"/>
  <c r="K37" i="4"/>
  <c r="I37" i="4" a="1"/>
  <c r="I37" i="4" s="1"/>
  <c r="H37" i="4"/>
  <c r="B37" i="4" a="1"/>
  <c r="B37" i="4" s="1"/>
  <c r="O36" i="4"/>
  <c r="K36" i="4"/>
  <c r="I36" i="4" a="1"/>
  <c r="I36" i="4" s="1"/>
  <c r="H36" i="4"/>
  <c r="B36" i="4" a="1"/>
  <c r="B36" i="4" s="1"/>
  <c r="O35" i="4"/>
  <c r="I35" i="4" a="1"/>
  <c r="I35" i="4" s="1"/>
  <c r="H35" i="4"/>
  <c r="O34" i="4"/>
  <c r="K34" i="4"/>
  <c r="I34" i="4" a="1"/>
  <c r="I34" i="4" s="1"/>
  <c r="H34" i="4"/>
  <c r="B34" i="4" a="1"/>
  <c r="B34" i="4" s="1"/>
  <c r="O33" i="4"/>
  <c r="K33" i="4"/>
  <c r="I33" i="4" a="1"/>
  <c r="I33" i="4" s="1"/>
  <c r="H33" i="4"/>
  <c r="B33" i="4" a="1"/>
  <c r="B33" i="4" s="1"/>
  <c r="O32" i="4"/>
  <c r="K32" i="4"/>
  <c r="I32" i="4" a="1"/>
  <c r="I32" i="4" s="1"/>
  <c r="H32" i="4"/>
  <c r="B32" i="4" a="1"/>
  <c r="B32" i="4" s="1"/>
  <c r="O31" i="4"/>
  <c r="I31" i="4" a="1"/>
  <c r="I31" i="4" s="1"/>
  <c r="H31" i="4"/>
  <c r="S10" i="8" a="1"/>
  <c r="S10" i="8" s="1"/>
  <c r="S9" i="8" a="1"/>
  <c r="S9" i="8" s="1"/>
  <c r="D10" i="8" a="1"/>
  <c r="D10" i="8" s="1"/>
  <c r="P12" i="3" s="1"/>
  <c r="D9" i="8" a="1"/>
  <c r="D9" i="8" s="1"/>
  <c r="P11" i="3" s="1"/>
  <c r="B10" i="8"/>
  <c r="B9" i="8"/>
  <c r="X12" i="3" a="1"/>
  <c r="X12" i="3" s="1"/>
  <c r="Q12" i="3"/>
  <c r="N12" i="3"/>
  <c r="K12" i="3"/>
  <c r="B12" i="3"/>
  <c r="X11" i="3" a="1"/>
  <c r="X11" i="3" s="1"/>
  <c r="Q11" i="3"/>
  <c r="N11" i="3"/>
  <c r="K11" i="3"/>
  <c r="B11" i="3"/>
  <c r="O30" i="4"/>
  <c r="K30" i="4"/>
  <c r="I30" i="4" a="1"/>
  <c r="I30" i="4" s="1"/>
  <c r="H30" i="4"/>
  <c r="B30" i="4" a="1"/>
  <c r="B30" i="4" s="1"/>
  <c r="O29" i="4"/>
  <c r="K29" i="4"/>
  <c r="I29" i="4" a="1"/>
  <c r="I29" i="4" s="1"/>
  <c r="H29" i="4"/>
  <c r="B29" i="4" a="1"/>
  <c r="B29" i="4" s="1"/>
  <c r="O28" i="4"/>
  <c r="K28" i="4"/>
  <c r="I28" i="4" a="1"/>
  <c r="I28" i="4" s="1"/>
  <c r="H28" i="4"/>
  <c r="B28" i="4" a="1"/>
  <c r="B28" i="4" s="1"/>
  <c r="O27" i="4"/>
  <c r="I27" i="4" a="1"/>
  <c r="I27" i="4" s="1"/>
  <c r="H27" i="4"/>
  <c r="H25" i="4"/>
  <c r="H26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4" i="4"/>
  <c r="O25" i="4"/>
  <c r="O26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S8" i="8" a="1"/>
  <c r="S8" i="8" s="1"/>
  <c r="D8" i="8" a="1"/>
  <c r="D8" i="8" s="1"/>
  <c r="P10" i="3" s="1"/>
  <c r="B3" i="8"/>
  <c r="B4" i="8"/>
  <c r="B5" i="8"/>
  <c r="B6" i="8"/>
  <c r="B7" i="8"/>
  <c r="B8" i="8"/>
  <c r="B13" i="8"/>
  <c r="B14" i="8"/>
  <c r="B2" i="8"/>
  <c r="X10" i="3" a="1"/>
  <c r="X10" i="3" s="1"/>
  <c r="Q10" i="3"/>
  <c r="N10" i="3"/>
  <c r="M10" i="3"/>
  <c r="K10" i="3"/>
  <c r="B10" i="3"/>
  <c r="S3" i="8" a="1"/>
  <c r="S3" i="8" s="1"/>
  <c r="S4" i="8" a="1"/>
  <c r="S4" i="8" s="1"/>
  <c r="S5" i="8" a="1"/>
  <c r="S5" i="8" s="1"/>
  <c r="S6" i="8" a="1"/>
  <c r="S6" i="8" s="1"/>
  <c r="S7" i="8" a="1"/>
  <c r="S7" i="8" s="1"/>
  <c r="S12" i="8" a="1"/>
  <c r="S12" i="8" s="1"/>
  <c r="S13" i="8" a="1"/>
  <c r="S13" i="8" s="1"/>
  <c r="S14" i="8" a="1"/>
  <c r="S14" i="8" s="1"/>
  <c r="S2" i="8" a="1"/>
  <c r="S2" i="8" s="1"/>
  <c r="D3" i="8" a="1"/>
  <c r="D3" i="8" s="1"/>
  <c r="D4" i="8" a="1"/>
  <c r="D4" i="8" s="1"/>
  <c r="D5" i="8" a="1"/>
  <c r="D5" i="8" s="1"/>
  <c r="D6" i="8" a="1"/>
  <c r="D6" i="8"/>
  <c r="D7" i="8" a="1"/>
  <c r="D7" i="8" s="1"/>
  <c r="D12" i="8" a="1"/>
  <c r="D12" i="8" s="1"/>
  <c r="D13" i="8" a="1"/>
  <c r="D13" i="8" s="1"/>
  <c r="D14" i="8" a="1"/>
  <c r="D14" i="8" s="1"/>
  <c r="D2" i="8" a="1"/>
  <c r="D2" i="8" s="1"/>
  <c r="P4" i="3" l="1"/>
  <c r="P5" i="3"/>
  <c r="P6" i="3"/>
  <c r="P7" i="3"/>
  <c r="P8" i="3"/>
  <c r="P9" i="3"/>
  <c r="P14" i="3"/>
  <c r="P15" i="3"/>
  <c r="K4" i="3"/>
  <c r="Q15" i="3" l="1"/>
  <c r="Q14" i="3"/>
  <c r="Q5" i="3"/>
  <c r="Q6" i="3"/>
  <c r="Q7" i="3"/>
  <c r="Q8" i="3"/>
  <c r="Q9" i="3"/>
  <c r="Q4" i="3"/>
  <c r="N4" i="7"/>
  <c r="K42" i="4"/>
  <c r="I42" i="4" a="1"/>
  <c r="I42" i="4" s="1"/>
  <c r="B42" i="4" a="1"/>
  <c r="B42" i="4" s="1"/>
  <c r="F15" i="3" l="1"/>
  <c r="B15" i="3"/>
  <c r="F14" i="3"/>
  <c r="B14" i="3"/>
  <c r="B5" i="3"/>
  <c r="B6" i="3"/>
  <c r="B7" i="3"/>
  <c r="B8" i="3"/>
  <c r="B9" i="3"/>
  <c r="B4" i="3"/>
  <c r="N11" i="7"/>
  <c r="N12" i="7"/>
  <c r="N13" i="7"/>
  <c r="N14" i="7"/>
  <c r="N15" i="7"/>
  <c r="N16" i="7"/>
  <c r="F5" i="7" a="1"/>
  <c r="F5" i="7" s="1"/>
  <c r="F6" i="7" a="1"/>
  <c r="F6" i="7" s="1"/>
  <c r="F7" i="7" a="1"/>
  <c r="F7" i="7" s="1"/>
  <c r="F8" i="7" a="1"/>
  <c r="F8" i="7" s="1"/>
  <c r="F9" i="7" a="1"/>
  <c r="F9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4" i="7" a="1"/>
  <c r="F4" i="7" s="1"/>
  <c r="X7" i="3" l="1" a="1"/>
  <c r="X7" i="3" s="1"/>
  <c r="X6" i="3" a="1"/>
  <c r="X6" i="3" s="1"/>
  <c r="X5" i="3" a="1"/>
  <c r="X5" i="3" s="1"/>
  <c r="X4" i="3" a="1"/>
  <c r="X4" i="3" s="1"/>
  <c r="X8" i="3" a="1"/>
  <c r="X8" i="3" s="1"/>
  <c r="X9" i="3" a="1"/>
  <c r="X9" i="3" s="1"/>
  <c r="K59" i="4" l="1"/>
  <c r="I59" i="4" a="1"/>
  <c r="I59" i="4" s="1"/>
  <c r="K58" i="4"/>
  <c r="I58" i="4" a="1"/>
  <c r="I58" i="4" s="1"/>
  <c r="N9" i="3"/>
  <c r="M9" i="3"/>
  <c r="K9" i="3"/>
  <c r="N8" i="3"/>
  <c r="N7" i="3"/>
  <c r="K56" i="4" l="1"/>
  <c r="I56" i="4" a="1"/>
  <c r="I56" i="4" s="1"/>
  <c r="K55" i="4"/>
  <c r="I55" i="4" a="1"/>
  <c r="I55" i="4" s="1"/>
  <c r="K52" i="4"/>
  <c r="K51" i="4"/>
  <c r="I52" i="4" a="1"/>
  <c r="I52" i="4" s="1"/>
  <c r="I51" i="4" a="1"/>
  <c r="I51" i="4" s="1"/>
  <c r="K47" i="4"/>
  <c r="I47" i="4" a="1"/>
  <c r="I47" i="4" s="1"/>
  <c r="K46" i="4"/>
  <c r="I46" i="4" a="1"/>
  <c r="I46" i="4" s="1"/>
  <c r="B24" i="4" a="1"/>
  <c r="B24" i="4" s="1"/>
  <c r="B25" i="4" a="1"/>
  <c r="B25" i="4" s="1"/>
  <c r="B26" i="4" a="1"/>
  <c r="B26" i="4" s="1"/>
  <c r="K25" i="4"/>
  <c r="K26" i="4"/>
  <c r="I26" i="4" a="1"/>
  <c r="I26" i="4" s="1"/>
  <c r="K24" i="4"/>
  <c r="I24" i="4" a="1"/>
  <c r="I24" i="4" s="1"/>
  <c r="I25" i="4" a="1"/>
  <c r="I25" i="4" s="1"/>
  <c r="I54" i="4" l="1" a="1"/>
  <c r="I54" i="4" s="1"/>
  <c r="I50" i="4" a="1"/>
  <c r="I50" i="4" s="1"/>
  <c r="I49" i="4" a="1"/>
  <c r="I49" i="4" s="1"/>
  <c r="I45" i="4" a="1"/>
  <c r="I45" i="4" s="1"/>
  <c r="I44" i="4" a="1"/>
  <c r="I44" i="4" s="1"/>
  <c r="K54" i="4"/>
  <c r="K50" i="4"/>
  <c r="K49" i="4"/>
  <c r="K45" i="4"/>
  <c r="K44" i="4"/>
  <c r="K5" i="3" l="1"/>
  <c r="M6" i="3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41" i="4" a="1"/>
  <c r="I41" i="4" s="1"/>
  <c r="I23" i="4" a="1"/>
  <c r="I23" i="4" s="1"/>
  <c r="I40" i="4" a="1"/>
  <c r="I40" i="4" s="1"/>
  <c r="I4" i="4" a="1"/>
  <c r="I4" i="4" s="1"/>
  <c r="K4" i="4"/>
  <c r="K9" i="4"/>
  <c r="K10" i="4"/>
  <c r="K11" i="4"/>
  <c r="K12" i="4"/>
  <c r="K14" i="4"/>
  <c r="K15" i="4"/>
  <c r="K16" i="4"/>
  <c r="K18" i="4"/>
  <c r="K19" i="4"/>
  <c r="K20" i="4"/>
  <c r="K21" i="4"/>
  <c r="K22" i="4"/>
  <c r="K40" i="4"/>
  <c r="K5" i="4"/>
  <c r="K6" i="4"/>
  <c r="K7" i="4"/>
  <c r="E40" i="4"/>
  <c r="B40" i="4" s="1" a="1"/>
  <c r="B40" i="4" s="1"/>
  <c r="E9" i="4"/>
  <c r="B9" i="4" s="1" a="1"/>
  <c r="B9" i="4" s="1"/>
  <c r="E10" i="4"/>
  <c r="B10" i="4" s="1" a="1"/>
  <c r="B10" i="4" s="1"/>
  <c r="E11" i="4"/>
  <c r="B11" i="4" s="1" a="1"/>
  <c r="B11" i="4" s="1"/>
  <c r="E12" i="4"/>
  <c r="B12" i="4" s="1" a="1"/>
  <c r="B12" i="4" s="1"/>
  <c r="E14" i="4"/>
  <c r="B14" i="4" s="1" a="1"/>
  <c r="B14" i="4" s="1"/>
  <c r="E15" i="4"/>
  <c r="B15" i="4" s="1" a="1"/>
  <c r="B15" i="4" s="1"/>
  <c r="E16" i="4"/>
  <c r="B16" i="4" s="1" a="1"/>
  <c r="B16" i="4" s="1"/>
  <c r="E18" i="4"/>
  <c r="B18" i="4" s="1" a="1"/>
  <c r="B18" i="4" s="1"/>
  <c r="E19" i="4"/>
  <c r="B19" i="4" s="1" a="1"/>
  <c r="B19" i="4" s="1"/>
  <c r="E20" i="4"/>
  <c r="B20" i="4" s="1" a="1"/>
  <c r="B20" i="4" s="1"/>
  <c r="E21" i="4"/>
  <c r="B21" i="4" s="1" a="1"/>
  <c r="B21" i="4" s="1"/>
  <c r="E22" i="4"/>
  <c r="B22" i="4" s="1" a="1"/>
  <c r="B22" i="4" s="1"/>
  <c r="E5" i="4"/>
  <c r="B5" i="4" s="1" a="1"/>
  <c r="B5" i="4" s="1"/>
  <c r="E6" i="4"/>
  <c r="B6" i="4" s="1" a="1"/>
  <c r="B6" i="4" s="1"/>
  <c r="E7" i="4"/>
  <c r="B7" i="4" s="1" a="1"/>
  <c r="B7" i="4" s="1"/>
  <c r="E4" i="4"/>
  <c r="B4" i="4" s="1" a="1"/>
  <c r="B4" i="4" s="1"/>
  <c r="M8" i="3"/>
  <c r="K8" i="3"/>
  <c r="M7" i="3"/>
  <c r="K7" i="3"/>
  <c r="K6" i="3"/>
  <c r="M5" i="3" l="1"/>
  <c r="M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<sst xmlns="http://schemas.openxmlformats.org/spreadsheetml/2006/main" count="347" uniqueCount="205">
  <si>
    <t>id</t>
  </si>
  <si>
    <t>name</t>
  </si>
  <si>
    <t>uint key</t>
  </si>
  <si>
    <t>string</t>
    <phoneticPr fontId="4" type="noConversion"/>
  </si>
  <si>
    <t>unity
resource
name</t>
    <phoneticPr fontId="4" type="noConversion"/>
  </si>
  <si>
    <t>怪物id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</si>
  <si>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怪物名称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</si>
  <si>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地宫蝙蝠</t>
    <phoneticPr fontId="5" type="noConversion"/>
  </si>
  <si>
    <t>备注</t>
    <phoneticPr fontId="4" type="noConversion"/>
  </si>
  <si>
    <t>monster_view</t>
    <phoneticPr fontId="4" type="noConversion"/>
  </si>
  <si>
    <t>dungeon_bat</t>
    <phoneticPr fontId="5" type="noConversion"/>
  </si>
  <si>
    <t>monster_behaviour_tree</t>
    <phoneticPr fontId="4" type="noConversion"/>
  </si>
  <si>
    <t>血量</t>
    <phoneticPr fontId="5" type="noConversion"/>
  </si>
  <si>
    <t>重量</t>
    <phoneticPr fontId="5" type="noConversion"/>
  </si>
  <si>
    <t>mass</t>
    <phoneticPr fontId="5" type="noConversion"/>
  </si>
  <si>
    <t>float</t>
    <phoneticPr fontId="5" type="noConversion"/>
  </si>
  <si>
    <t>int</t>
    <phoneticPr fontId="5" type="noConversion"/>
  </si>
  <si>
    <t>hp</t>
    <phoneticPr fontId="5" type="noConversion"/>
  </si>
  <si>
    <t>feedback</t>
    <phoneticPr fontId="5" type="noConversion"/>
  </si>
  <si>
    <t>阻力系数</t>
    <phoneticPr fontId="4" type="noConversion"/>
  </si>
  <si>
    <t>dungeon_beatle</t>
    <phoneticPr fontId="5" type="noConversion"/>
  </si>
  <si>
    <t>death_vfx</t>
    <phoneticPr fontId="5" type="noConversion"/>
  </si>
  <si>
    <t>string[]</t>
    <phoneticPr fontId="5" type="noConversion"/>
  </si>
  <si>
    <t>辅助列1</t>
    <phoneticPr fontId="5" type="noConversion"/>
  </si>
  <si>
    <t>辅助列2</t>
  </si>
  <si>
    <t>怪物组id</t>
    <phoneticPr fontId="4" type="noConversion"/>
  </si>
  <si>
    <t>组内子id</t>
    <phoneticPr fontId="4" type="noConversion"/>
  </si>
  <si>
    <t>出现位置</t>
    <phoneticPr fontId="4" type="noConversion"/>
  </si>
  <si>
    <t>最大数量</t>
    <phoneticPr fontId="4" type="noConversion"/>
  </si>
  <si>
    <t>击杀压力</t>
    <phoneticPr fontId="4" type="noConversion"/>
  </si>
  <si>
    <t>兽潮 k_time强化</t>
    <phoneticPr fontId="4" type="noConversion"/>
  </si>
  <si>
    <t>uint key</t>
    <phoneticPr fontId="12" type="noConversion"/>
  </si>
  <si>
    <t>uint</t>
    <phoneticPr fontId="12" type="noConversion"/>
  </si>
  <si>
    <t>int</t>
    <phoneticPr fontId="12" type="noConversion"/>
  </si>
  <si>
    <t>float</t>
    <phoneticPr fontId="12" type="noConversion"/>
  </si>
  <si>
    <t>sub_id</t>
    <phoneticPr fontId="12" type="noConversion"/>
  </si>
  <si>
    <t>monster_id</t>
    <phoneticPr fontId="12" type="noConversion"/>
  </si>
  <si>
    <t>pos</t>
    <phoneticPr fontId="12" type="noConversion"/>
  </si>
  <si>
    <t>count_max</t>
    <phoneticPr fontId="12" type="noConversion"/>
  </si>
  <si>
    <t>地区紧张度min</t>
    <phoneticPr fontId="4" type="noConversion"/>
  </si>
  <si>
    <t>地区紧张度max</t>
    <phoneticPr fontId="4" type="noConversion"/>
  </si>
  <si>
    <t>tension_min</t>
    <phoneticPr fontId="12" type="noConversion"/>
  </si>
  <si>
    <t>tension_max</t>
    <phoneticPr fontId="12" type="noConversion"/>
  </si>
  <si>
    <t>k_distance</t>
    <phoneticPr fontId="12" type="noConversion"/>
  </si>
  <si>
    <t>k_time</t>
    <phoneticPr fontId="12" type="noConversion"/>
  </si>
  <si>
    <t>kill_pressure</t>
    <phoneticPr fontId="12" type="noConversion"/>
  </si>
  <si>
    <t>兽潮 数量强化</t>
    <phoneticPr fontId="4" type="noConversion"/>
  </si>
  <si>
    <t>tide_count_addtion</t>
    <phoneticPr fontId="12" type="noConversion"/>
  </si>
  <si>
    <t>tide_time_addtion</t>
    <phoneticPr fontId="12" type="noConversion"/>
  </si>
  <si>
    <t>Vector2</t>
    <phoneticPr fontId="12" type="noConversion"/>
  </si>
  <si>
    <t>怪物生成速率
距离系数</t>
    <phoneticPr fontId="4" type="noConversion"/>
  </si>
  <si>
    <t>怪物生成速率
时间系数</t>
    <phoneticPr fontId="4" type="noConversion"/>
  </si>
  <si>
    <t>basic_atk</t>
    <phoneticPr fontId="5" type="noConversion"/>
  </si>
  <si>
    <t>init_state</t>
    <phoneticPr fontId="12" type="noConversion"/>
  </si>
  <si>
    <t>string</t>
    <phoneticPr fontId="12" type="noConversion"/>
  </si>
  <si>
    <t>初始状态</t>
    <phoneticPr fontId="4" type="noConversion"/>
  </si>
  <si>
    <t>Default</t>
    <phoneticPr fontId="12" type="noConversion"/>
  </si>
  <si>
    <t>Default_Awaken</t>
    <phoneticPr fontId="12" type="noConversion"/>
  </si>
  <si>
    <t>第1位</t>
  </si>
  <si>
    <t>第2位</t>
  </si>
  <si>
    <t>第4位</t>
  </si>
  <si>
    <t>第5位</t>
  </si>
  <si>
    <t>编号</t>
  </si>
  <si>
    <t>20 = monster</t>
    <phoneticPr fontId="4" type="noConversion"/>
  </si>
  <si>
    <t>第3位</t>
    <phoneticPr fontId="4" type="noConversion"/>
  </si>
  <si>
    <t>第6位</t>
  </si>
  <si>
    <t>11 = 地宫怪物</t>
    <phoneticPr fontId="4" type="noConversion"/>
  </si>
  <si>
    <t>12 ~19 = 其他关卡怪物</t>
    <phoneticPr fontId="4" type="noConversion"/>
  </si>
  <si>
    <t>地宫洞穴人</t>
    <phoneticPr fontId="5" type="noConversion"/>
  </si>
  <si>
    <t>dungeon_caveman</t>
    <phoneticPr fontId="5" type="noConversion"/>
  </si>
  <si>
    <t>dungeon_springtail_rider</t>
    <phoneticPr fontId="5" type="noConversion"/>
  </si>
  <si>
    <t>编号辅助
紧张度</t>
    <phoneticPr fontId="12" type="noConversion"/>
  </si>
  <si>
    <t>编号辅助
怪物#</t>
    <phoneticPr fontId="12" type="noConversion"/>
  </si>
  <si>
    <t>编号辅助
细分#</t>
    <phoneticPr fontId="12" type="noConversion"/>
  </si>
  <si>
    <t>dungeon_springtail</t>
    <phoneticPr fontId="5" type="noConversion"/>
  </si>
  <si>
    <t>pos.x</t>
    <phoneticPr fontId="12" type="noConversion"/>
  </si>
  <si>
    <t>pos.y</t>
    <phoneticPr fontId="12" type="noConversion"/>
  </si>
  <si>
    <t>备注
生成位置</t>
    <phoneticPr fontId="12" type="noConversion"/>
  </si>
  <si>
    <t>备注
生成内容</t>
    <phoneticPr fontId="12" type="noConversion"/>
  </si>
  <si>
    <t>component</t>
    <phoneticPr fontId="5" type="noConversion"/>
  </si>
  <si>
    <t>201103;201104</t>
    <phoneticPr fontId="5" type="noConversion"/>
  </si>
  <si>
    <t>uint[]</t>
    <phoneticPr fontId="5" type="noConversion"/>
  </si>
  <si>
    <t>辅助列3</t>
    <phoneticPr fontId="5" type="noConversion"/>
  </si>
  <si>
    <t>编号辅助
怪物小组#</t>
    <phoneticPr fontId="12" type="noConversion"/>
  </si>
  <si>
    <t>射击逻辑</t>
    <phoneticPr fontId="4" type="noConversion"/>
  </si>
  <si>
    <t>int</t>
    <phoneticPr fontId="4" type="noConversion"/>
  </si>
  <si>
    <t>fire_logic</t>
    <phoneticPr fontId="4" type="noConversion"/>
  </si>
  <si>
    <t>null</t>
    <phoneticPr fontId="5" type="noConversion"/>
  </si>
  <si>
    <t>组合</t>
    <phoneticPr fontId="5" type="noConversion"/>
  </si>
  <si>
    <t>dungeon_bat_rider</t>
    <phoneticPr fontId="5" type="noConversion"/>
  </si>
  <si>
    <t>201101;201104</t>
    <phoneticPr fontId="5" type="noConversion"/>
  </si>
  <si>
    <t>sub_monsters</t>
    <phoneticPr fontId="5" type="noConversion"/>
  </si>
  <si>
    <t>Mount</t>
    <phoneticPr fontId="5" type="noConversion"/>
  </si>
  <si>
    <t>Rider</t>
    <phoneticPr fontId="5" type="noConversion"/>
  </si>
  <si>
    <t>dict&lt;string,int&gt;</t>
    <phoneticPr fontId="5" type="noConversion"/>
  </si>
  <si>
    <t>uint</t>
    <phoneticPr fontId="5" type="noConversion"/>
  </si>
  <si>
    <t>车体id</t>
    <phoneticPr fontId="5" type="noConversion"/>
  </si>
  <si>
    <t>carbody</t>
    <phoneticPr fontId="5" type="noConversion"/>
  </si>
  <si>
    <t>车辆id</t>
    <phoneticPr fontId="4" type="noConversion"/>
  </si>
  <si>
    <t>变种id</t>
    <phoneticPr fontId="4" type="noConversion"/>
  </si>
  <si>
    <t>device</t>
    <phoneticPr fontId="20" type="noConversion"/>
  </si>
  <si>
    <t>各槽位设备</t>
    <phoneticPr fontId="5" type="noConversion"/>
  </si>
  <si>
    <t>地宫 轻</t>
    <phoneticPr fontId="5" type="noConversion"/>
  </si>
  <si>
    <t>地宫 重</t>
    <phoneticPr fontId="5" type="noConversion"/>
  </si>
  <si>
    <t>sub_id</t>
    <phoneticPr fontId="20" type="noConversion"/>
  </si>
  <si>
    <t>int</t>
    <phoneticPr fontId="20" type="noConversion"/>
  </si>
  <si>
    <t>随机权重</t>
    <phoneticPr fontId="20" type="noConversion"/>
  </si>
  <si>
    <t>odds</t>
    <phoneticPr fontId="20" type="noConversion"/>
  </si>
  <si>
    <t>ai</t>
    <phoneticPr fontId="4" type="noConversion"/>
  </si>
  <si>
    <t>dungeon_light</t>
    <phoneticPr fontId="5" type="noConversion"/>
  </si>
  <si>
    <t>dungeon_heavy</t>
    <phoneticPr fontId="5" type="noConversion"/>
  </si>
  <si>
    <t>sub_table_name</t>
    <phoneticPr fontId="5" type="noConversion"/>
  </si>
  <si>
    <t>sub_table_key</t>
    <phoneticPr fontId="5" type="noConversion"/>
  </si>
  <si>
    <t>string</t>
    <phoneticPr fontId="5" type="noConversion"/>
  </si>
  <si>
    <t>sub_monster_car</t>
    <phoneticPr fontId="5" type="noConversion"/>
  </si>
  <si>
    <t>device_slot_wheel</t>
    <phoneticPr fontId="20" type="noConversion"/>
  </si>
  <si>
    <t>slot_top</t>
    <phoneticPr fontId="20" type="noConversion"/>
  </si>
  <si>
    <t>slot_front</t>
    <phoneticPr fontId="20" type="noConversion"/>
  </si>
  <si>
    <t>slot_front_top</t>
    <phoneticPr fontId="20" type="noConversion"/>
  </si>
  <si>
    <t>slot_back</t>
    <phoneticPr fontId="20" type="noConversion"/>
  </si>
  <si>
    <t>slot_back_top</t>
    <phoneticPr fontId="20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</si>
  <si>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Scripts/World/Enemy_Cars/BT</t>
    </r>
    <phoneticPr fontId="4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</si>
  <si>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Scripts/World/Enemys/BT</t>
    </r>
    <phoneticPr fontId="4" type="noConversion"/>
  </si>
  <si>
    <t>21 = enemy_car</t>
    <phoneticPr fontId="4" type="noConversion"/>
  </si>
  <si>
    <t>地宫捕奴车</t>
    <phoneticPr fontId="5" type="noConversion"/>
  </si>
  <si>
    <t>地宫装甲车</t>
    <phoneticPr fontId="5" type="noConversion"/>
  </si>
  <si>
    <t>Idle</t>
    <phoneticPr fontId="12" type="noConversion"/>
  </si>
  <si>
    <t>Basic</t>
    <phoneticPr fontId="5" type="noConversion"/>
  </si>
  <si>
    <t>Car_AI_Basic</t>
  </si>
  <si>
    <r>
      <t xml:space="preserve">死亡特效
</t>
    </r>
    <r>
      <rPr>
        <i/>
        <sz val="11"/>
        <color theme="1"/>
        <rFont val="等线"/>
        <family val="3"/>
        <charset val="134"/>
        <scheme val="minor"/>
      </rPr>
      <t>null = 不播放任何特效</t>
    </r>
    <phoneticPr fontId="5" type="noConversion"/>
  </si>
  <si>
    <t>减伤</t>
    <phoneticPr fontId="5" type="noConversion"/>
  </si>
  <si>
    <t>def</t>
    <phoneticPr fontId="5" type="noConversion"/>
  </si>
  <si>
    <t>vfx_monster_die_1</t>
    <phoneticPr fontId="5" type="noConversion"/>
  </si>
  <si>
    <t>vfx_monster_die_2</t>
    <phoneticPr fontId="5" type="noConversion"/>
  </si>
  <si>
    <t>vfx_monster_die_3</t>
    <phoneticPr fontId="5" type="noConversion"/>
  </si>
  <si>
    <t>vfx_monster_die_4</t>
    <phoneticPr fontId="5" type="noConversion"/>
  </si>
  <si>
    <t>辅助列4</t>
    <phoneticPr fontId="5" type="noConversion"/>
  </si>
  <si>
    <t>辅助列5</t>
    <phoneticPr fontId="5" type="noConversion"/>
  </si>
  <si>
    <t>vfx_monster_die_explosion</t>
    <phoneticPr fontId="5" type="noConversion"/>
  </si>
  <si>
    <t>dict&lt;uint,float&gt;</t>
    <phoneticPr fontId="5" type="noConversion"/>
  </si>
  <si>
    <t>loot_list</t>
    <phoneticPr fontId="5" type="noConversion"/>
  </si>
  <si>
    <t>金币</t>
  </si>
  <si>
    <t>灵魂</t>
  </si>
  <si>
    <t>金属矿石</t>
  </si>
  <si>
    <t>武器部件</t>
  </si>
  <si>
    <t>name</t>
    <phoneticPr fontId="4" type="noConversion"/>
  </si>
  <si>
    <r>
      <t xml:space="preserve">预制体
</t>
    </r>
    <r>
      <rPr>
        <sz val="11"/>
        <color theme="1"/>
        <rFont val="等线"/>
        <family val="3"/>
        <charset val="134"/>
        <scheme val="minor"/>
      </rPr>
      <t>address</t>
    </r>
    <phoneticPr fontId="5" type="noConversion"/>
  </si>
  <si>
    <t>Monster</t>
    <phoneticPr fontId="4" type="noConversion"/>
  </si>
  <si>
    <t>List</t>
    <phoneticPr fontId="4" type="noConversion"/>
  </si>
  <si>
    <t>Loot 1</t>
    <phoneticPr fontId="4" type="noConversion"/>
  </si>
  <si>
    <t>Loot 2</t>
  </si>
  <si>
    <t>Loot 3</t>
  </si>
  <si>
    <t>Odds 1</t>
    <phoneticPr fontId="4" type="noConversion"/>
  </si>
  <si>
    <t>Odds 2</t>
  </si>
  <si>
    <t>Odds 3</t>
  </si>
  <si>
    <t>说明</t>
    <phoneticPr fontId="4" type="noConversion"/>
  </si>
  <si>
    <t>Loot 4</t>
    <phoneticPr fontId="4" type="noConversion"/>
  </si>
  <si>
    <t>Odds 4</t>
    <phoneticPr fontId="4" type="noConversion"/>
  </si>
  <si>
    <t>废弃金属</t>
  </si>
  <si>
    <r>
      <t>掉落物列表</t>
    </r>
    <r>
      <rPr>
        <i/>
        <sz val="11"/>
        <color theme="1"/>
        <rFont val="等线"/>
        <family val="3"/>
        <charset val="134"/>
        <scheme val="minor"/>
      </rPr>
      <t xml:space="preserve">
dict&lt;loot表id, 概率&gt;
概率配置值1 = 100%</t>
    </r>
    <phoneticPr fontId="4" type="noConversion"/>
  </si>
  <si>
    <t>生肉</t>
  </si>
  <si>
    <t>柔软皮毛</t>
  </si>
  <si>
    <t>植物果实</t>
  </si>
  <si>
    <t>天然木材</t>
  </si>
  <si>
    <t>天然石材</t>
  </si>
  <si>
    <t>易燃粉末</t>
  </si>
  <si>
    <t>废弃木材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</si>
  <si>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</si>
  <si>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</si>
  <si>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</si>
  <si>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</si>
  <si>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</si>
  <si>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</si>
  <si>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</si>
  <si>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</si>
  <si>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优质磨刀石</t>
  </si>
  <si>
    <t>烈性炸药</t>
  </si>
  <si>
    <t>纤维</t>
  </si>
  <si>
    <t>胶</t>
  </si>
  <si>
    <t>绑线</t>
  </si>
  <si>
    <t>Loot 5</t>
  </si>
  <si>
    <t>Loot 6</t>
  </si>
  <si>
    <t>Odds 5</t>
  </si>
  <si>
    <t>Odds 6</t>
  </si>
  <si>
    <t>generate_count_area</t>
    <phoneticPr fontId="12" type="noConversion"/>
  </si>
  <si>
    <t>Vector2?</t>
    <phoneticPr fontId="12" type="noConversion"/>
  </si>
  <si>
    <t>洞穴人流浪者</t>
    <phoneticPr fontId="5" type="noConversion"/>
  </si>
  <si>
    <t>备注1
地区</t>
    <phoneticPr fontId="4" type="noConversion"/>
  </si>
  <si>
    <t>地宫</t>
    <phoneticPr fontId="5" type="noConversion"/>
  </si>
  <si>
    <t>备注2
名称</t>
    <phoneticPr fontId="4" type="noConversion"/>
  </si>
  <si>
    <t>跳虫骑手</t>
    <phoneticPr fontId="5" type="noConversion"/>
  </si>
  <si>
    <t>蝙蝠骑手</t>
    <phoneticPr fontId="5" type="noConversion"/>
  </si>
  <si>
    <t>自爆甲虫</t>
    <phoneticPr fontId="5" type="noConversion"/>
  </si>
  <si>
    <t>跳虫</t>
    <phoneticPr fontId="5" type="noConversion"/>
  </si>
  <si>
    <t>dungeon_caveman_wanderer</t>
    <phoneticPr fontId="5" type="noConversion"/>
  </si>
  <si>
    <t>每次生成数
min~max</t>
    <phoneticPr fontId="4" type="noConversion"/>
  </si>
  <si>
    <t>rnd
min</t>
    <phoneticPr fontId="12" type="noConversion"/>
  </si>
  <si>
    <t>rnd
max</t>
    <phoneticPr fontId="12" type="noConversion"/>
  </si>
  <si>
    <t>洞穴人暴徒</t>
  </si>
  <si>
    <t>dungeon_caveman_mob</t>
    <phoneticPr fontId="5" type="noConversion"/>
  </si>
  <si>
    <t>该表格在 【id配置说明】页</t>
    <phoneticPr fontId="4" type="noConversion"/>
  </si>
  <si>
    <r>
      <t xml:space="preserve">基础伤害
</t>
    </r>
    <r>
      <rPr>
        <i/>
        <sz val="10"/>
        <color theme="1"/>
        <rFont val="等线"/>
        <family val="3"/>
        <charset val="134"/>
        <scheme val="minor"/>
      </rPr>
      <t>近战用</t>
    </r>
    <phoneticPr fontId="5" type="noConversion"/>
  </si>
  <si>
    <t>洞穴人纵火者</t>
  </si>
  <si>
    <t>dungeon_caveman_arsonist</t>
    <phoneticPr fontId="5" type="noConversion"/>
  </si>
  <si>
    <t>BT_dungeon_caveman_wanderer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</si>
</sst>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i/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0" fillId="0" borderId="0"/>
    <xf numFmtId="0" fontId="3" fillId="0" borderId="0"/>
  </cellStyleXfs>
  <cellXfs count="5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7" fillId="0" borderId="0" xfId="0" applyFont="1"/>
    <xf numFmtId="0" fontId="3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/>
    <xf numFmtId="49" fontId="3" fillId="0" borderId="0" xfId="0" applyNumberFormat="1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5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2" fillId="0" borderId="0" xfId="3" applyFont="1" applyAlignment="1">
      <alignment horizontal="left" vertical="center"/>
    </xf>
    <xf numFmtId="0" fontId="10" fillId="7" borderId="0" xfId="0" applyFont="1" applyFill="1"/>
    <xf numFmtId="0" fontId="10" fillId="8" borderId="0" xfId="0" applyFont="1" applyFill="1"/>
    <xf numFmtId="0" fontId="16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D2489BA3-7AF3-4E35-8F0A-46AEE03BE09D}"/>
    <cellStyle name="常规 2 3" xfId="3" xr:uid="{E756B243-32BC-4450-9D47-3F95F34FB5B5}"/>
  </cellStyles>
  <dxfs count="5"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3</xdr:row>
      <xdr:rowOff>152400</xdr:rowOff>
    </xdr:from>
    <xdr:to>
      <xdr:col>23</xdr:col>
      <xdr:colOff>9276</xdr:colOff>
      <xdr:row>36</xdr:row>
      <xdr:rowOff>37368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A10F5A-94CC-624B-7C1A-9DBE59BE4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6425" y="695325"/>
          <a:ext cx="1990476" cy="58571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A72E9-F105-436E-ABB5-19C6CDBE9799}" name="table_loot" displayName="table_loot" ref="H6:I36" totalsRowShown="0" headerRowDxfId="4" dataDxfId="3">
  <autoFilter ref="H6:I36" xr:uid="{7BCA72E9-F105-436E-ABB5-19C6CDBE9799}"/>
  <tableColumns count="2">
    <tableColumn id="1" xr3:uid="{0A80D120-8272-4593-BE29-B84E8B886994}" name="id" dataDxfId="2"/>
    <tableColumn id="2" xr3:uid="{2319A8A4-FA59-4468-9013-B363C3B0E182}" name="nam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AB15"/>
  <sheetViews>
    <sheetView zoomScale="99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P20" sqref="P20"/>
    </sheetView>
  </sheetViews>
  <sheetFormatPr defaultColWidth="9.125" defaultRowHeight="14.25" x14ac:dyDescent="0.2"/>
  <cols>
    <col min="1" max="1" width="7.75" style="13" bestFit="1" customWidth="1"/>
    <col min="2" max="2" width="14.75" style="13" bestFit="1" customWidth="1"/>
    <col min="3" max="3" width="6.875" style="14" bestFit="1" customWidth="1"/>
    <col min="4" max="4" width="16.125" style="14" customWidth="1"/>
    <col min="5" max="5" width="15.75" style="13" bestFit="1" customWidth="1"/>
    <col min="6" max="6" width="13.125" style="13" bestFit="1" customWidth="1"/>
    <col min="7" max="8" width="5.25" style="13" bestFit="1" customWidth="1"/>
    <col min="9" max="9" width="5.625" style="13" bestFit="1" customWidth="1"/>
    <col min="10" max="10" width="9.125" style="13" bestFit="1" customWidth="1"/>
    <col min="11" max="11" width="43.625" bestFit="1" customWidth="1"/>
    <col min="12" max="12" width="28" style="16" bestFit="1" customWidth="1"/>
    <col min="13" max="13" width="30.5" bestFit="1" customWidth="1"/>
    <col min="14" max="15" width="9" style="13" bestFit="1" customWidth="1"/>
    <col min="16" max="16" width="44.125" style="13" customWidth="1"/>
    <col min="17" max="17" width="23" customWidth="1"/>
    <col min="18" max="21" width="17.25" style="21" customWidth="1"/>
    <col min="22" max="22" width="24" style="21" bestFit="1" customWidth="1"/>
    <col min="23" max="23" width="14.25" style="13" customWidth="1"/>
    <col min="24" max="24" width="33.125" style="13" customWidth="1"/>
    <col min="25" max="28" width="10.75" style="21" customWidth="1"/>
  </cols>
  <sheetData>
    <row r="1" spans="1:28" s="1" customFormat="1" x14ac:dyDescent="0.2">
      <c r="A1" s="1" t="s">
        <v>0</v>
      </c>
      <c r="B1" s="1" t="s">
        <v>1</v>
      </c>
      <c r="C1" s="3"/>
      <c r="D1" s="3"/>
      <c r="E1" s="1" t="s">
        <v>111</v>
      </c>
      <c r="F1" s="1" t="s">
        <v>112</v>
      </c>
      <c r="G1" s="1" t="s">
        <v>17</v>
      </c>
      <c r="H1" s="1" t="s">
        <v>131</v>
      </c>
      <c r="I1" s="1" t="s">
        <v>14</v>
      </c>
      <c r="J1" s="1" t="s">
        <v>52</v>
      </c>
      <c r="K1" s="1" t="s">
        <v>9</v>
      </c>
      <c r="L1" s="4"/>
      <c r="M1" s="1" t="s">
        <v>11</v>
      </c>
      <c r="N1" s="1" t="s">
        <v>86</v>
      </c>
      <c r="O1" s="1" t="s">
        <v>18</v>
      </c>
      <c r="P1" s="1" t="s">
        <v>140</v>
      </c>
      <c r="Q1" s="1" t="s">
        <v>21</v>
      </c>
      <c r="R1" s="18"/>
      <c r="S1" s="18"/>
      <c r="T1" s="18"/>
      <c r="U1" s="18"/>
      <c r="V1" s="18"/>
      <c r="W1" s="1" t="s">
        <v>79</v>
      </c>
      <c r="X1" s="1" t="s">
        <v>91</v>
      </c>
      <c r="Y1" s="18"/>
      <c r="Z1" s="18"/>
      <c r="AA1" s="18"/>
      <c r="AB1" s="18"/>
    </row>
    <row r="2" spans="1:28" s="5" customFormat="1" x14ac:dyDescent="0.2">
      <c r="A2" s="5" t="s">
        <v>2</v>
      </c>
      <c r="B2" s="5" t="s">
        <v>3</v>
      </c>
      <c r="C2" s="6"/>
      <c r="D2" s="6"/>
      <c r="E2" s="5" t="s">
        <v>113</v>
      </c>
      <c r="F2" s="5" t="s">
        <v>113</v>
      </c>
      <c r="G2" s="5" t="s">
        <v>16</v>
      </c>
      <c r="H2" s="5" t="s">
        <v>16</v>
      </c>
      <c r="I2" s="5" t="s">
        <v>15</v>
      </c>
      <c r="J2" s="5" t="s">
        <v>16</v>
      </c>
      <c r="K2" s="5" t="s">
        <v>3</v>
      </c>
      <c r="L2" s="7"/>
      <c r="M2" s="5" t="s">
        <v>3</v>
      </c>
      <c r="N2" s="5" t="s">
        <v>85</v>
      </c>
      <c r="O2" s="5" t="s">
        <v>15</v>
      </c>
      <c r="P2" s="5" t="s">
        <v>139</v>
      </c>
      <c r="Q2" s="5" t="s">
        <v>22</v>
      </c>
      <c r="R2" s="19"/>
      <c r="S2" s="19"/>
      <c r="T2" s="19"/>
      <c r="U2" s="19"/>
      <c r="V2" s="19"/>
      <c r="W2" s="5" t="s">
        <v>81</v>
      </c>
      <c r="X2" s="5" t="s">
        <v>94</v>
      </c>
      <c r="Y2" s="19"/>
      <c r="Z2" s="19"/>
      <c r="AA2" s="19"/>
      <c r="AB2" s="19"/>
    </row>
    <row r="3" spans="1:28" s="2" customFormat="1" ht="42.75" x14ac:dyDescent="0.2">
      <c r="A3" s="11" t="s">
        <v>5</v>
      </c>
      <c r="B3" s="8" t="s">
        <v>6</v>
      </c>
      <c r="C3" s="46" t="s">
        <v>187</v>
      </c>
      <c r="D3" s="46" t="s">
        <v>189</v>
      </c>
      <c r="E3" s="12"/>
      <c r="F3" s="12"/>
      <c r="G3" s="12" t="s">
        <v>12</v>
      </c>
      <c r="H3" s="12" t="s">
        <v>130</v>
      </c>
      <c r="I3" s="12" t="s">
        <v>13</v>
      </c>
      <c r="J3" s="12" t="s">
        <v>201</v>
      </c>
      <c r="K3" s="12" t="s">
        <v>146</v>
      </c>
      <c r="L3" s="10" t="s">
        <v>4</v>
      </c>
      <c r="M3" s="12" t="s">
        <v>122</v>
      </c>
      <c r="N3" s="12" t="s">
        <v>84</v>
      </c>
      <c r="O3" s="12" t="s">
        <v>19</v>
      </c>
      <c r="P3" s="12" t="s">
        <v>159</v>
      </c>
      <c r="Q3" s="12" t="s">
        <v>129</v>
      </c>
      <c r="R3" s="20" t="s">
        <v>23</v>
      </c>
      <c r="S3" s="20" t="s">
        <v>24</v>
      </c>
      <c r="T3" s="20" t="s">
        <v>82</v>
      </c>
      <c r="U3" s="20" t="s">
        <v>136</v>
      </c>
      <c r="V3" s="20" t="s">
        <v>137</v>
      </c>
      <c r="W3" s="12" t="s">
        <v>88</v>
      </c>
      <c r="X3" s="12" t="s">
        <v>88</v>
      </c>
      <c r="Y3" s="20" t="s">
        <v>82</v>
      </c>
      <c r="Z3" s="20" t="s">
        <v>82</v>
      </c>
      <c r="AA3" s="20" t="s">
        <v>82</v>
      </c>
      <c r="AB3" s="20" t="s">
        <v>82</v>
      </c>
    </row>
    <row r="4" spans="1:28" x14ac:dyDescent="0.2">
      <c r="A4" s="13">
        <v>201101</v>
      </c>
      <c r="B4" s="13" t="str">
        <f>_xlfn.TEXTJOIN("_",1,"enemy",$A4)</f>
        <v>enemy_201101</v>
      </c>
      <c r="C4" s="14" t="s">
        <v>188</v>
      </c>
      <c r="D4" s="14" t="s">
        <v>7</v>
      </c>
      <c r="E4" s="36"/>
      <c r="F4" s="36"/>
      <c r="G4" s="13">
        <v>25</v>
      </c>
      <c r="H4" s="13">
        <v>0</v>
      </c>
      <c r="I4" s="13">
        <v>2.4</v>
      </c>
      <c r="J4" s="13">
        <v>6</v>
      </c>
      <c r="K4" s="15" t="str">
        <f>_xlfn.TEXTJOIN("_",1,"monster",$A4,$L4)</f>
        <v>monster_201101_dungeon_bat</v>
      </c>
      <c r="L4" s="16" t="s">
        <v>10</v>
      </c>
      <c r="M4" s="15" t="str">
        <f t="shared" ref="M4:M10" si="0">_xlfn.TEXTJOIN("_",1,"BT",$L4)</f>
        <v>BT_dungeon_bat</v>
      </c>
      <c r="N4" s="26"/>
      <c r="O4" s="13">
        <v>0.15</v>
      </c>
      <c r="P4" s="33" t="str">
        <f>VLOOKUP(A4,'-loot_list辅助配置表'!A:D,4,0)</f>
        <v>6001=0.01;6014=0.01;6051=0.01</v>
      </c>
      <c r="Q4" s="17" t="str">
        <f>_xlfn.TEXTJOIN(";",1,R4:V4)</f>
        <v>vfx_monster_die_1;vfx_monster_die_2;vfx_monster_die_3;vfx_monster_die_4</v>
      </c>
      <c r="R4" s="21" t="s">
        <v>132</v>
      </c>
      <c r="S4" s="21" t="s">
        <v>133</v>
      </c>
      <c r="T4" s="21" t="s">
        <v>134</v>
      </c>
      <c r="U4" s="21" t="s">
        <v>135</v>
      </c>
      <c r="W4" s="26">
        <v>0</v>
      </c>
      <c r="X4" s="33" t="str" cm="1">
        <f t="array" ref="X4">_xlfn.TEXTJOIN(";",1,IF(Y4:Z4&lt;&gt;"",Y4:Z4&amp;"="&amp;AA4:AB4,""))</f>
        <v/>
      </c>
    </row>
    <row r="5" spans="1:28" x14ac:dyDescent="0.2">
      <c r="A5" s="13">
        <v>201102</v>
      </c>
      <c r="B5" s="13" t="str">
        <f t="shared" ref="B5:B15" si="1">_xlfn.TEXTJOIN("_",1,"enemy",$A5)</f>
        <v>enemy_201102</v>
      </c>
      <c r="C5" s="14" t="s">
        <v>188</v>
      </c>
      <c r="D5" s="14" t="s">
        <v>192</v>
      </c>
      <c r="E5" s="36"/>
      <c r="F5" s="36"/>
      <c r="G5" s="13">
        <v>5</v>
      </c>
      <c r="H5" s="13">
        <v>-1</v>
      </c>
      <c r="I5" s="13">
        <v>0.8</v>
      </c>
      <c r="J5" s="13">
        <v>10</v>
      </c>
      <c r="K5" s="15" t="str">
        <f t="shared" ref="K5:K12" si="2">_xlfn.TEXTJOIN("_",1,"monster",$A5,$L5)</f>
        <v>monster_201102_dungeon_beatle</v>
      </c>
      <c r="L5" s="16" t="s">
        <v>20</v>
      </c>
      <c r="M5" s="15" t="str">
        <f t="shared" si="0"/>
        <v>BT_dungeon_beatle</v>
      </c>
      <c r="N5" s="26"/>
      <c r="O5" s="13">
        <v>0.1</v>
      </c>
      <c r="P5" s="33" t="str">
        <f>VLOOKUP(A5,'-loot_list辅助配置表'!A:D,4,0)</f>
        <v>6001=0.005;6023=0.05;6014=0.01</v>
      </c>
      <c r="Q5" s="17" t="str">
        <f>_xlfn.TEXTJOIN(";",1,R5:V5)</f>
        <v>vfx_monster_die_1;vfx_monster_die_2;vfx_monster_die_3;vfx_monster_die_4;vfx_monster_die_explosion</v>
      </c>
      <c r="R5" s="21" t="s">
        <v>132</v>
      </c>
      <c r="S5" s="21" t="s">
        <v>133</v>
      </c>
      <c r="T5" s="21" t="s">
        <v>134</v>
      </c>
      <c r="U5" s="21" t="s">
        <v>135</v>
      </c>
      <c r="V5" s="21" t="s">
        <v>138</v>
      </c>
      <c r="W5" s="26">
        <v>0</v>
      </c>
      <c r="X5" s="33" t="str" cm="1">
        <f t="array" ref="X5">_xlfn.TEXTJOIN(";",1,IF(Y5:Z5&lt;&gt;"",Y5:Z5&amp;"="&amp;AA5:AB5,""))</f>
        <v/>
      </c>
    </row>
    <row r="6" spans="1:28" x14ac:dyDescent="0.2">
      <c r="A6" s="13">
        <v>201103</v>
      </c>
      <c r="B6" s="13" t="str">
        <f t="shared" si="1"/>
        <v>enemy_201103</v>
      </c>
      <c r="C6" s="14" t="s">
        <v>188</v>
      </c>
      <c r="D6" s="14" t="s">
        <v>193</v>
      </c>
      <c r="E6" s="36"/>
      <c r="F6" s="36"/>
      <c r="G6" s="13">
        <v>40</v>
      </c>
      <c r="H6" s="13">
        <v>0</v>
      </c>
      <c r="I6" s="13">
        <v>7.5</v>
      </c>
      <c r="J6" s="13">
        <v>6</v>
      </c>
      <c r="K6" s="15" t="str">
        <f t="shared" si="2"/>
        <v>monster_201103_dungeon_springtail</v>
      </c>
      <c r="L6" s="16" t="s">
        <v>74</v>
      </c>
      <c r="M6" s="15" t="str">
        <f t="shared" si="0"/>
        <v>BT_dungeon_springtail</v>
      </c>
      <c r="N6" s="26"/>
      <c r="O6" s="13">
        <v>0.15</v>
      </c>
      <c r="P6" s="33" t="str">
        <f>VLOOKUP(A6,'-loot_list辅助配置表'!A:D,4,0)</f>
        <v>6001=0.01;6014=0.05;6011=0.02;6010=0.12</v>
      </c>
      <c r="Q6" s="17" t="str">
        <f t="shared" ref="Q6:Q15" si="3">_xlfn.TEXTJOIN(";",1,R6:V6)</f>
        <v>vfx_monster_die_1;vfx_monster_die_2;vfx_monster_die_3;vfx_monster_die_4</v>
      </c>
      <c r="R6" s="21" t="s">
        <v>132</v>
      </c>
      <c r="S6" s="21" t="s">
        <v>133</v>
      </c>
      <c r="T6" s="21" t="s">
        <v>134</v>
      </c>
      <c r="U6" s="21" t="s">
        <v>135</v>
      </c>
      <c r="W6" s="26">
        <v>0</v>
      </c>
      <c r="X6" s="33" t="str" cm="1">
        <f t="array" ref="X6">_xlfn.TEXTJOIN(";",1,IF(Y6:Z6&lt;&gt;"",Y6:Z6&amp;"="&amp;AA6:AB6,""))</f>
        <v/>
      </c>
    </row>
    <row r="7" spans="1:28" x14ac:dyDescent="0.2">
      <c r="A7" s="13">
        <v>201104</v>
      </c>
      <c r="B7" s="13" t="str">
        <f t="shared" si="1"/>
        <v>enemy_201104</v>
      </c>
      <c r="C7" s="14" t="s">
        <v>188</v>
      </c>
      <c r="D7" s="14" t="s">
        <v>68</v>
      </c>
      <c r="E7" s="36"/>
      <c r="F7" s="36"/>
      <c r="G7" s="13">
        <v>60</v>
      </c>
      <c r="H7" s="13">
        <v>1</v>
      </c>
      <c r="I7" s="13">
        <v>20</v>
      </c>
      <c r="J7" s="13">
        <v>7</v>
      </c>
      <c r="K7" s="15" t="str">
        <f t="shared" si="2"/>
        <v>monster_201104_dungeon_caveman</v>
      </c>
      <c r="L7" s="16" t="s">
        <v>69</v>
      </c>
      <c r="M7" s="15" t="str">
        <f t="shared" si="0"/>
        <v>BT_dungeon_caveman</v>
      </c>
      <c r="N7" s="35">
        <f t="shared" ref="N7:N12" si="4">A7</f>
        <v>201104</v>
      </c>
      <c r="O7" s="13">
        <v>0.15</v>
      </c>
      <c r="P7" s="33" t="str">
        <f>VLOOKUP(A7,'-loot_list辅助配置表'!A:D,4,0)</f>
        <v>6000=0.2;6001=0.03;6030=0.02;6031=0.02;6010=0.02;6050=0.01</v>
      </c>
      <c r="Q7" s="17" t="str">
        <f t="shared" si="3"/>
        <v>vfx_monster_die_1;vfx_monster_die_2;vfx_monster_die_3;vfx_monster_die_4</v>
      </c>
      <c r="R7" s="21" t="s">
        <v>132</v>
      </c>
      <c r="S7" s="21" t="s">
        <v>133</v>
      </c>
      <c r="T7" s="21" t="s">
        <v>134</v>
      </c>
      <c r="U7" s="21" t="s">
        <v>135</v>
      </c>
      <c r="W7" s="26">
        <v>0</v>
      </c>
      <c r="X7" s="33" t="str" cm="1">
        <f t="array" ref="X7">_xlfn.TEXTJOIN(";",1,IF(Y7:Z7&lt;&gt;"",Y7:Z7&amp;"="&amp;AA7:AB7,""))</f>
        <v/>
      </c>
    </row>
    <row r="8" spans="1:28" x14ac:dyDescent="0.2">
      <c r="A8" s="13">
        <v>201105</v>
      </c>
      <c r="B8" s="13" t="str">
        <f t="shared" si="1"/>
        <v>enemy_201105</v>
      </c>
      <c r="C8" s="14" t="s">
        <v>188</v>
      </c>
      <c r="D8" s="14" t="s">
        <v>190</v>
      </c>
      <c r="E8" s="36"/>
      <c r="F8" s="36"/>
      <c r="G8" s="13">
        <v>50</v>
      </c>
      <c r="H8" s="13">
        <v>2</v>
      </c>
      <c r="I8" s="13">
        <v>27.5</v>
      </c>
      <c r="J8" s="26"/>
      <c r="K8" s="15" t="str">
        <f t="shared" si="2"/>
        <v>monster_201105_dungeon_springtail_rider</v>
      </c>
      <c r="L8" s="16" t="s">
        <v>70</v>
      </c>
      <c r="M8" s="15" t="str">
        <f t="shared" si="0"/>
        <v>BT_dungeon_springtail_rider</v>
      </c>
      <c r="N8" s="35">
        <f t="shared" si="4"/>
        <v>201105</v>
      </c>
      <c r="O8" s="13">
        <v>0.25</v>
      </c>
      <c r="P8" s="33" t="str">
        <f>VLOOKUP(A8,'-loot_list辅助配置表'!A:D,4,0)</f>
        <v/>
      </c>
      <c r="Q8" s="17" t="str">
        <f>_xlfn.TEXTJOIN(";",1,R8:V8)</f>
        <v>vfx_monster_die_1;vfx_monster_die_2;vfx_monster_die_3;vfx_monster_die_4;null</v>
      </c>
      <c r="R8" s="21" t="s">
        <v>132</v>
      </c>
      <c r="S8" s="21" t="s">
        <v>133</v>
      </c>
      <c r="T8" s="21" t="s">
        <v>134</v>
      </c>
      <c r="U8" s="21" t="s">
        <v>135</v>
      </c>
      <c r="V8" s="21" t="s">
        <v>87</v>
      </c>
      <c r="W8" s="33" t="s">
        <v>80</v>
      </c>
      <c r="X8" s="33" t="str" cm="1">
        <f t="array" ref="X8">_xlfn.TEXTJOIN(";",1,IF(Y8:Z8&lt;&gt;"",Y8:Z8&amp;"="&amp;AA8:AB8,""))</f>
        <v>Mount=201103;Rider=201104</v>
      </c>
      <c r="Y8" s="21" t="s">
        <v>92</v>
      </c>
      <c r="Z8" s="21" t="s">
        <v>93</v>
      </c>
      <c r="AA8" s="21">
        <v>201103</v>
      </c>
      <c r="AB8" s="21">
        <v>201104</v>
      </c>
    </row>
    <row r="9" spans="1:28" x14ac:dyDescent="0.2">
      <c r="A9" s="13">
        <v>201106</v>
      </c>
      <c r="B9" s="13" t="str">
        <f t="shared" si="1"/>
        <v>enemy_201106</v>
      </c>
      <c r="C9" s="14" t="s">
        <v>188</v>
      </c>
      <c r="D9" s="14" t="s">
        <v>191</v>
      </c>
      <c r="E9" s="36"/>
      <c r="F9" s="36"/>
      <c r="G9" s="13">
        <v>35</v>
      </c>
      <c r="H9" s="13">
        <v>1</v>
      </c>
      <c r="I9" s="13">
        <v>22.4</v>
      </c>
      <c r="J9" s="26"/>
      <c r="K9" s="15" t="str">
        <f t="shared" si="2"/>
        <v>monster_201106_dungeon_bat_rider</v>
      </c>
      <c r="L9" s="16" t="s">
        <v>89</v>
      </c>
      <c r="M9" s="15" t="str">
        <f t="shared" si="0"/>
        <v>BT_dungeon_bat_rider</v>
      </c>
      <c r="N9" s="35">
        <f t="shared" si="4"/>
        <v>201106</v>
      </c>
      <c r="O9" s="13">
        <v>0.25</v>
      </c>
      <c r="P9" s="33" t="str">
        <f>VLOOKUP(A9,'-loot_list辅助配置表'!A:D,4,0)</f>
        <v/>
      </c>
      <c r="Q9" s="17" t="str">
        <f>_xlfn.TEXTJOIN(";",1,R9:V9)</f>
        <v>vfx_monster_die_1;vfx_monster_die_2;vfx_monster_die_3;vfx_monster_die_4;null</v>
      </c>
      <c r="R9" s="21" t="s">
        <v>132</v>
      </c>
      <c r="S9" s="21" t="s">
        <v>133</v>
      </c>
      <c r="T9" s="21" t="s">
        <v>134</v>
      </c>
      <c r="U9" s="21" t="s">
        <v>135</v>
      </c>
      <c r="V9" s="21" t="s">
        <v>87</v>
      </c>
      <c r="W9" s="33" t="s">
        <v>90</v>
      </c>
      <c r="X9" s="33" t="str" cm="1">
        <f t="array" ref="X9">_xlfn.TEXTJOIN(";",1,IF(Y9:Z9&lt;&gt;"",Y9:Z9&amp;"="&amp;AA9:AB9,""))</f>
        <v>Mount=201101;Rider=201104</v>
      </c>
      <c r="Y9" s="21" t="s">
        <v>92</v>
      </c>
      <c r="Z9" s="21" t="s">
        <v>93</v>
      </c>
      <c r="AA9" s="21">
        <v>201101</v>
      </c>
      <c r="AB9" s="21">
        <v>201104</v>
      </c>
    </row>
    <row r="10" spans="1:28" x14ac:dyDescent="0.2">
      <c r="A10" s="13">
        <v>201107</v>
      </c>
      <c r="B10" s="13" t="str">
        <f t="shared" si="1"/>
        <v>enemy_201107</v>
      </c>
      <c r="C10" s="14" t="s">
        <v>188</v>
      </c>
      <c r="D10" s="14" t="s">
        <v>186</v>
      </c>
      <c r="E10" s="36"/>
      <c r="F10" s="36"/>
      <c r="G10" s="13">
        <v>30</v>
      </c>
      <c r="H10" s="13">
        <v>0</v>
      </c>
      <c r="I10" s="13">
        <v>20</v>
      </c>
      <c r="J10" s="26"/>
      <c r="K10" s="50" t="str">
        <f t="shared" si="2"/>
        <v>monster_201107_dungeon_caveman_wanderer</v>
      </c>
      <c r="L10" s="16" t="s">
        <v>194</v>
      </c>
      <c r="M10" s="15" t="str">
        <f t="shared" si="0"/>
        <v>BT_dungeon_caveman_wanderer</v>
      </c>
      <c r="N10" s="35">
        <f t="shared" si="4"/>
        <v>201107</v>
      </c>
      <c r="O10" s="13">
        <v>0.15</v>
      </c>
      <c r="P10" s="33" t="str">
        <f>VLOOKUP(A10,'-loot_list辅助配置表'!A:D,4,0)</f>
        <v>6000=0.03;6001=0.03;6022=0.1;6010=0.01;6050=0.002</v>
      </c>
      <c r="Q10" s="17" t="str">
        <f t="shared" ref="Q10" si="5">_xlfn.TEXTJOIN(";",1,R10:V10)</f>
        <v>vfx_monster_die_1;vfx_monster_die_2;vfx_monster_die_3;vfx_monster_die_4</v>
      </c>
      <c r="R10" s="21" t="s">
        <v>132</v>
      </c>
      <c r="S10" s="21" t="s">
        <v>133</v>
      </c>
      <c r="T10" s="21" t="s">
        <v>134</v>
      </c>
      <c r="U10" s="21" t="s">
        <v>135</v>
      </c>
      <c r="W10" s="26">
        <v>0</v>
      </c>
      <c r="X10" s="33" t="str" cm="1">
        <f t="array" ref="X10">_xlfn.TEXTJOIN(";",1,IF(Y10:Z10&lt;&gt;"",Y10:Z10&amp;"="&amp;AA10:AB10,""))</f>
        <v/>
      </c>
    </row>
    <row r="11" spans="1:28" x14ac:dyDescent="0.2">
      <c r="A11" s="13">
        <v>201108</v>
      </c>
      <c r="B11" s="13" t="str">
        <f t="shared" si="1"/>
        <v>enemy_201108</v>
      </c>
      <c r="C11" s="14" t="s">
        <v>188</v>
      </c>
      <c r="D11" s="14" t="s">
        <v>202</v>
      </c>
      <c r="E11" s="36"/>
      <c r="F11" s="36"/>
      <c r="G11" s="13">
        <v>35</v>
      </c>
      <c r="H11" s="13">
        <v>0</v>
      </c>
      <c r="I11" s="13">
        <v>20</v>
      </c>
      <c r="J11" s="26"/>
      <c r="K11" s="50" t="str">
        <f t="shared" si="2"/>
        <v>monster_201108_dungeon_caveman_arsonist</v>
      </c>
      <c r="L11" s="16" t="s">
        <v>203</v>
      </c>
      <c r="M11" s="51" t="s">
        <v>204</v>
      </c>
      <c r="N11" s="35">
        <f t="shared" si="4"/>
        <v>201108</v>
      </c>
      <c r="O11" s="13">
        <v>0.15</v>
      </c>
      <c r="P11" s="33" t="str">
        <f>VLOOKUP(A11,'-loot_list辅助配置表'!A:D,4,0)</f>
        <v>6000=0.065;6001=0.03;6055=0.05;6010=0.01;6050=0.005</v>
      </c>
      <c r="Q11" s="17" t="str">
        <f t="shared" ref="Q11" si="6">_xlfn.TEXTJOIN(";",1,R11:V11)</f>
        <v>vfx_monster_die_1;vfx_monster_die_2;vfx_monster_die_3;vfx_monster_die_4</v>
      </c>
      <c r="R11" s="21" t="s">
        <v>132</v>
      </c>
      <c r="S11" s="21" t="s">
        <v>133</v>
      </c>
      <c r="T11" s="21" t="s">
        <v>134</v>
      </c>
      <c r="U11" s="21" t="s">
        <v>135</v>
      </c>
      <c r="W11" s="26">
        <v>0</v>
      </c>
      <c r="X11" s="33" t="str" cm="1">
        <f t="array" ref="X11">_xlfn.TEXTJOIN(";",1,IF(Y11:Z11&lt;&gt;"",Y11:Z11&amp;"="&amp;AA11:AB11,""))</f>
        <v/>
      </c>
    </row>
    <row r="12" spans="1:28" x14ac:dyDescent="0.2">
      <c r="A12" s="13">
        <v>201109</v>
      </c>
      <c r="B12" s="13" t="str">
        <f t="shared" si="1"/>
        <v>enemy_201109</v>
      </c>
      <c r="C12" s="14" t="s">
        <v>188</v>
      </c>
      <c r="D12" s="14" t="s">
        <v>198</v>
      </c>
      <c r="E12" s="36"/>
      <c r="F12" s="36"/>
      <c r="G12" s="13">
        <v>40</v>
      </c>
      <c r="H12" s="13">
        <v>0</v>
      </c>
      <c r="I12" s="13">
        <v>20</v>
      </c>
      <c r="J12" s="26"/>
      <c r="K12" s="50" t="str">
        <f t="shared" si="2"/>
        <v>monster_201109_dungeon_caveman_mob</v>
      </c>
      <c r="L12" s="16" t="s">
        <v>199</v>
      </c>
      <c r="M12" s="51" t="s">
        <v>204</v>
      </c>
      <c r="N12" s="35">
        <f t="shared" si="4"/>
        <v>201109</v>
      </c>
      <c r="O12" s="13">
        <v>0.15</v>
      </c>
      <c r="P12" s="33" t="str">
        <f>VLOOKUP(A12,'-loot_list辅助配置表'!A:D,4,0)</f>
        <v>6000=0.1;6001=0.03;6023=0.1;6010=0.01;6050=0.005</v>
      </c>
      <c r="Q12" s="17" t="str">
        <f t="shared" ref="Q12" si="7">_xlfn.TEXTJOIN(";",1,R12:V12)</f>
        <v>vfx_monster_die_1;vfx_monster_die_2;vfx_monster_die_3;vfx_monster_die_4</v>
      </c>
      <c r="R12" s="21" t="s">
        <v>132</v>
      </c>
      <c r="S12" s="21" t="s">
        <v>133</v>
      </c>
      <c r="T12" s="21" t="s">
        <v>134</v>
      </c>
      <c r="U12" s="21" t="s">
        <v>135</v>
      </c>
      <c r="W12" s="26">
        <v>0</v>
      </c>
      <c r="X12" s="33" t="str" cm="1">
        <f t="array" ref="X12">_xlfn.TEXTJOIN(";",1,IF(Y12:Z12&lt;&gt;"",Y12:Z12&amp;"="&amp;AA12:AB12,""))</f>
        <v/>
      </c>
    </row>
    <row r="13" spans="1:28" x14ac:dyDescent="0.2">
      <c r="P13" s="33"/>
    </row>
    <row r="14" spans="1:28" x14ac:dyDescent="0.2">
      <c r="A14" s="13">
        <v>211101</v>
      </c>
      <c r="B14" s="13" t="str">
        <f t="shared" si="1"/>
        <v>enemy_211101</v>
      </c>
      <c r="C14" s="14" t="s">
        <v>188</v>
      </c>
      <c r="D14" s="14" t="s">
        <v>124</v>
      </c>
      <c r="E14" s="33" t="s">
        <v>114</v>
      </c>
      <c r="F14" s="33">
        <f>A14</f>
        <v>211101</v>
      </c>
      <c r="G14" s="13">
        <v>200</v>
      </c>
      <c r="H14" s="36"/>
      <c r="I14" s="13">
        <v>1200</v>
      </c>
      <c r="J14" s="13">
        <v>20</v>
      </c>
      <c r="K14" s="36"/>
      <c r="L14" s="36"/>
      <c r="M14" s="36"/>
      <c r="N14" s="36"/>
      <c r="O14" s="13">
        <v>0.15</v>
      </c>
      <c r="P14" s="33" t="str">
        <f>VLOOKUP(A14,'-loot_list辅助配置表'!A:D,4,0)</f>
        <v>6000=0.75;6001=0.4;6053=0.8;6020=1</v>
      </c>
      <c r="Q14" s="17" t="str">
        <f t="shared" si="3"/>
        <v>null</v>
      </c>
      <c r="R14" s="21" t="s">
        <v>87</v>
      </c>
    </row>
    <row r="15" spans="1:28" x14ac:dyDescent="0.2">
      <c r="A15" s="13">
        <v>211102</v>
      </c>
      <c r="B15" s="13" t="str">
        <f t="shared" si="1"/>
        <v>enemy_211102</v>
      </c>
      <c r="C15" s="14" t="s">
        <v>188</v>
      </c>
      <c r="D15" s="14" t="s">
        <v>125</v>
      </c>
      <c r="E15" s="33" t="s">
        <v>114</v>
      </c>
      <c r="F15" s="33">
        <f>A15</f>
        <v>211102</v>
      </c>
      <c r="G15" s="13">
        <v>520</v>
      </c>
      <c r="H15" s="36"/>
      <c r="I15" s="13">
        <v>5000</v>
      </c>
      <c r="J15" s="13">
        <v>20</v>
      </c>
      <c r="K15" s="36"/>
      <c r="L15" s="36"/>
      <c r="M15" s="36"/>
      <c r="N15" s="36"/>
      <c r="O15" s="13">
        <v>0.15</v>
      </c>
      <c r="P15" s="33" t="str">
        <f>VLOOKUP(A15,'-loot_list辅助配置表'!A:D,4,0)</f>
        <v>6000=0.6;6001=0.8;6053=0.95;6031=1</v>
      </c>
      <c r="Q15" s="17" t="str">
        <f t="shared" si="3"/>
        <v>null</v>
      </c>
      <c r="R15" s="21" t="s">
        <v>87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8CE2-8D19-4281-BF31-AC7F81332A04}">
  <sheetPr>
    <tabColor theme="2" tint="-9.9978637043366805E-2"/>
  </sheetPr>
  <dimension ref="A1:S14"/>
  <sheetViews>
    <sheetView workbookViewId="0">
      <selection activeCell="K17" sqref="K17"/>
    </sheetView>
  </sheetViews>
  <sheetFormatPr defaultRowHeight="14.25" x14ac:dyDescent="0.2"/>
  <cols>
    <col min="1" max="1" width="9" style="38"/>
    <col min="2" max="2" width="13.625" style="44" bestFit="1" customWidth="1"/>
    <col min="3" max="3" width="1.875" style="42" customWidth="1"/>
    <col min="4" max="4" width="9.375" style="41" customWidth="1"/>
    <col min="5" max="5" width="1.875" style="42" customWidth="1"/>
    <col min="6" max="14" width="9" style="38"/>
    <col min="15" max="15" width="9" style="38" customWidth="1"/>
    <col min="16" max="16" width="9" style="38"/>
    <col min="17" max="17" width="9" style="38" customWidth="1"/>
    <col min="18" max="18" width="1.875" style="42" customWidth="1"/>
    <col min="19" max="19" width="70.875" style="41" customWidth="1"/>
    <col min="20" max="20" width="7.125" style="38" bestFit="1" customWidth="1"/>
    <col min="21" max="16384" width="9" style="38"/>
  </cols>
  <sheetData>
    <row r="1" spans="1:19" x14ac:dyDescent="0.2">
      <c r="A1" s="40" t="s">
        <v>147</v>
      </c>
      <c r="D1" s="43" t="s">
        <v>148</v>
      </c>
      <c r="F1" s="40" t="s">
        <v>149</v>
      </c>
      <c r="G1" s="40" t="s">
        <v>150</v>
      </c>
      <c r="H1" s="40" t="s">
        <v>151</v>
      </c>
      <c r="I1" s="40" t="s">
        <v>156</v>
      </c>
      <c r="J1" s="40" t="s">
        <v>180</v>
      </c>
      <c r="K1" s="40" t="s">
        <v>181</v>
      </c>
      <c r="L1" s="40" t="s">
        <v>152</v>
      </c>
      <c r="M1" s="40" t="s">
        <v>153</v>
      </c>
      <c r="N1" s="40" t="s">
        <v>154</v>
      </c>
      <c r="O1" s="40" t="s">
        <v>157</v>
      </c>
      <c r="P1" s="40" t="s">
        <v>182</v>
      </c>
      <c r="Q1" s="40" t="s">
        <v>183</v>
      </c>
      <c r="S1" s="43" t="s">
        <v>155</v>
      </c>
    </row>
    <row r="2" spans="1:19" x14ac:dyDescent="0.2">
      <c r="A2" s="38">
        <v>201101</v>
      </c>
      <c r="B2" s="44" t="str">
        <f>VLOOKUP(A2,monster!A:D,4,0)</f>
        <v>地宫蝙蝠</v>
      </c>
      <c r="D2" s="41" t="str" cm="1">
        <f t="array" ref="D2">_xlfn.LET(_xlpm.arr_loot,F2:K2,
_xlpm.arr_odds,L2:Q2,
_xlfn.TEXTJOIN(";",1,IF(_xlpm.arr_loot&lt;&gt;"",_xlpm.arr_loot&amp;"="&amp;_xlpm.arr_odds,"")))</f>
        <v>6001=0.01;6014=0.01;6051=0.01</v>
      </c>
      <c r="F2" s="38">
        <v>6001</v>
      </c>
      <c r="G2" s="38">
        <v>6014</v>
      </c>
      <c r="H2" s="38">
        <v>6051</v>
      </c>
      <c r="L2" s="38">
        <v>0.01</v>
      </c>
      <c r="M2" s="38">
        <v>0.01</v>
      </c>
      <c r="N2" s="38">
        <v>0.01</v>
      </c>
      <c r="S2" s="45" t="str" cm="1">
        <f t="array" ref="S2">_xlfn.LET(_xlpm.arr_loot,F2:K2,
_xlpm.arr_odds,L2:Q2,
_xlfn.TEXTJOIN("; ",1,IF(_xlpm.arr_loot&lt;&gt;"",VLOOKUP(_xlpm.arr_loot,table_loot[#All],2,0)&amp;":"&amp;TEXT(_xlpm.arr_odds,"0.0%"),"")))</f>
        <v>灵魂:1.0%; 胶:1.0%; 硬化兽皮:1.0%</v>
      </c>
    </row>
    <row r="3" spans="1:19" x14ac:dyDescent="0.2">
      <c r="A3" s="38">
        <v>201102</v>
      </c>
      <c r="B3" s="44" t="str">
        <f>VLOOKUP(A3,monster!A:D,4,0)</f>
        <v>自爆甲虫</v>
      </c>
      <c r="D3" s="41" t="str" cm="1">
        <f t="array" ref="D3">_xlfn.LET(_xlpm.arr_loot,F3:K3,
_xlpm.arr_odds,L3:Q3,
_xlfn.TEXTJOIN(";",1,IF(_xlpm.arr_loot&lt;&gt;"",_xlpm.arr_loot&amp;"="&amp;_xlpm.arr_odds,"")))</f>
        <v>6001=0.005;6023=0.05;6014=0.01</v>
      </c>
      <c r="F3" s="38">
        <v>6001</v>
      </c>
      <c r="G3" s="38">
        <v>6023</v>
      </c>
      <c r="H3" s="38">
        <v>6014</v>
      </c>
      <c r="L3" s="38">
        <v>5.0000000000000001E-3</v>
      </c>
      <c r="M3" s="38">
        <v>0.05</v>
      </c>
      <c r="N3" s="38">
        <v>0.01</v>
      </c>
      <c r="S3" s="45" t="str" cm="1">
        <f t="array" ref="S3">_xlfn.LET(_xlpm.arr_loot,F3:K3,
_xlpm.arr_odds,L3:Q3,
_xlfn.TEXTJOIN("; ",1,IF(_xlpm.arr_loot&lt;&gt;"",VLOOKUP(_xlpm.arr_loot,table_loot[#All],2,0)&amp;":"&amp;TEXT(_xlpm.arr_odds,"0.0%"),"")))</f>
        <v>灵魂:0.5%; 易燃粉末:5.0%; 胶:1.0%</v>
      </c>
    </row>
    <row r="4" spans="1:19" x14ac:dyDescent="0.2">
      <c r="A4" s="38">
        <v>201103</v>
      </c>
      <c r="B4" s="44" t="str">
        <f>VLOOKUP(A4,monster!A:D,4,0)</f>
        <v>跳虫</v>
      </c>
      <c r="D4" s="41" t="str" cm="1">
        <f t="array" ref="D4">_xlfn.LET(_xlpm.arr_loot,F4:K4,
_xlpm.arr_odds,L4:Q4,
_xlfn.TEXTJOIN(";",1,IF(_xlpm.arr_loot&lt;&gt;"",_xlpm.arr_loot&amp;"="&amp;_xlpm.arr_odds,"")))</f>
        <v>6001=0.01;6014=0.05;6011=0.02;6010=0.12</v>
      </c>
      <c r="F4" s="38">
        <v>6001</v>
      </c>
      <c r="G4" s="38">
        <v>6014</v>
      </c>
      <c r="H4" s="38">
        <v>6011</v>
      </c>
      <c r="I4" s="38">
        <v>6010</v>
      </c>
      <c r="L4" s="38">
        <v>0.01</v>
      </c>
      <c r="M4" s="38">
        <v>0.05</v>
      </c>
      <c r="N4" s="38">
        <v>0.02</v>
      </c>
      <c r="O4" s="38">
        <v>0.12</v>
      </c>
      <c r="S4" s="45" t="str" cm="1">
        <f t="array" ref="S4">_xlfn.LET(_xlpm.arr_loot,F4:K4,
_xlpm.arr_odds,L4:Q4,
_xlfn.TEXTJOIN("; ",1,IF(_xlpm.arr_loot&lt;&gt;"",VLOOKUP(_xlpm.arr_loot,table_loot[#All],2,0)&amp;":"&amp;TEXT(_xlpm.arr_odds,"0.0%"),"")))</f>
        <v>灵魂:1.0%; 胶:5.0%; 柔软皮毛:2.0%; 生肉:12.0%</v>
      </c>
    </row>
    <row r="5" spans="1:19" x14ac:dyDescent="0.2">
      <c r="A5" s="38">
        <v>201104</v>
      </c>
      <c r="B5" s="44" t="str">
        <f>VLOOKUP(A5,monster!A:D,4,0)</f>
        <v>地宫洞穴人</v>
      </c>
      <c r="D5" s="41" t="str" cm="1">
        <f t="array" ref="D5">_xlfn.LET(_xlpm.arr_loot,F5:K5,
_xlpm.arr_odds,L5:Q5,
_xlfn.TEXTJOIN(";",1,IF(_xlpm.arr_loot&lt;&gt;"",_xlpm.arr_loot&amp;"="&amp;_xlpm.arr_odds,"")))</f>
        <v>6000=0.2;6001=0.03;6030=0.02;6031=0.02;6010=0.02;6050=0.01</v>
      </c>
      <c r="F5" s="38">
        <v>6000</v>
      </c>
      <c r="G5" s="38">
        <v>6001</v>
      </c>
      <c r="H5" s="38">
        <v>6030</v>
      </c>
      <c r="I5" s="38">
        <v>6031</v>
      </c>
      <c r="J5" s="38">
        <v>6010</v>
      </c>
      <c r="K5" s="38">
        <v>6050</v>
      </c>
      <c r="L5" s="38">
        <v>0.2</v>
      </c>
      <c r="M5" s="38">
        <v>0.03</v>
      </c>
      <c r="N5" s="38">
        <v>0.02</v>
      </c>
      <c r="O5" s="38">
        <v>0.02</v>
      </c>
      <c r="P5" s="38">
        <v>0.02</v>
      </c>
      <c r="Q5" s="38">
        <v>0.01</v>
      </c>
      <c r="S5" s="45" t="str" cm="1">
        <f t="array" ref="S5">_xlfn.LET(_xlpm.arr_loot,F5:K5,
_xlpm.arr_odds,L5:Q5,
_xlfn.TEXTJOIN("; ",1,IF(_xlpm.arr_loot&lt;&gt;"",VLOOKUP(_xlpm.arr_loot,table_loot[#All],2,0)&amp;":"&amp;TEXT(_xlpm.arr_odds,"0.0%"),"")))</f>
        <v>金币:20.0%; 灵魂:3.0%; 废弃木材:2.0%; 废弃金属:2.0%; 生肉:2.0%; 食物:1.0%</v>
      </c>
    </row>
    <row r="6" spans="1:19" x14ac:dyDescent="0.2">
      <c r="A6" s="38">
        <v>201105</v>
      </c>
      <c r="B6" s="44" t="str">
        <f>VLOOKUP(A6,monster!A:D,4,0)</f>
        <v>跳虫骑手</v>
      </c>
      <c r="D6" s="41" t="str" cm="1">
        <f t="array" ref="D6">_xlfn.LET(_xlpm.arr_loot,F6:K6,
_xlpm.arr_odds,L6:Q6,
_xlfn.TEXTJOIN(";",1,IF(_xlpm.arr_loot&lt;&gt;"",_xlpm.arr_loot&amp;"="&amp;_xlpm.arr_odds,"")))</f>
        <v/>
      </c>
      <c r="S6" s="45" t="str" cm="1">
        <f t="array" ref="S6">_xlfn.LET(_xlpm.arr_loot,F6:K6,
_xlpm.arr_odds,L6:Q6,
_xlfn.TEXTJOIN("; ",1,IF(_xlpm.arr_loot&lt;&gt;"",VLOOKUP(_xlpm.arr_loot,table_loot[#All],2,0)&amp;":"&amp;TEXT(_xlpm.arr_odds,"0.0%"),"")))</f>
        <v/>
      </c>
    </row>
    <row r="7" spans="1:19" x14ac:dyDescent="0.2">
      <c r="A7" s="38">
        <v>201106</v>
      </c>
      <c r="B7" s="44" t="str">
        <f>VLOOKUP(A7,monster!A:D,4,0)</f>
        <v>蝙蝠骑手</v>
      </c>
      <c r="D7" s="41" t="str" cm="1">
        <f t="array" ref="D7">_xlfn.LET(_xlpm.arr_loot,F7:K7,
_xlpm.arr_odds,L7:Q7,
_xlfn.TEXTJOIN(";",1,IF(_xlpm.arr_loot&lt;&gt;"",_xlpm.arr_loot&amp;"="&amp;_xlpm.arr_odds,"")))</f>
        <v/>
      </c>
      <c r="S7" s="45" t="str" cm="1">
        <f t="array" ref="S7">_xlfn.LET(_xlpm.arr_loot,F7:K7,
_xlpm.arr_odds,L7:Q7,
_xlfn.TEXTJOIN("; ",1,IF(_xlpm.arr_loot&lt;&gt;"",VLOOKUP(_xlpm.arr_loot,table_loot[#All],2,0)&amp;":"&amp;TEXT(_xlpm.arr_odds,"0.0%"),"")))</f>
        <v/>
      </c>
    </row>
    <row r="8" spans="1:19" x14ac:dyDescent="0.2">
      <c r="A8" s="38">
        <v>201107</v>
      </c>
      <c r="B8" s="44" t="str">
        <f>VLOOKUP(A8,monster!A:D,4,0)</f>
        <v>洞穴人流浪者</v>
      </c>
      <c r="D8" s="41" t="str" cm="1">
        <f t="array" ref="D8">_xlfn.LET(_xlpm.arr_loot,F8:K8,
_xlpm.arr_odds,L8:Q8,
_xlfn.TEXTJOIN(";",1,IF(_xlpm.arr_loot&lt;&gt;"",_xlpm.arr_loot&amp;"="&amp;_xlpm.arr_odds,"")))</f>
        <v>6000=0.03;6001=0.03;6022=0.1;6010=0.01;6050=0.002</v>
      </c>
      <c r="F8" s="38">
        <v>6000</v>
      </c>
      <c r="G8" s="38">
        <v>6001</v>
      </c>
      <c r="H8" s="38">
        <v>6022</v>
      </c>
      <c r="I8" s="38">
        <v>6010</v>
      </c>
      <c r="J8" s="38">
        <v>6050</v>
      </c>
      <c r="L8" s="38">
        <v>0.03</v>
      </c>
      <c r="M8" s="38">
        <v>0.03</v>
      </c>
      <c r="N8" s="38">
        <v>0.1</v>
      </c>
      <c r="O8" s="38">
        <v>0.01</v>
      </c>
      <c r="P8" s="38">
        <v>2E-3</v>
      </c>
      <c r="S8" s="45" t="str" cm="1">
        <f t="array" ref="S8">_xlfn.LET(_xlpm.arr_loot,F8:K8,
_xlpm.arr_odds,L8:Q8,
_xlfn.TEXTJOIN("; ",1,IF(_xlpm.arr_loot&lt;&gt;"",VLOOKUP(_xlpm.arr_loot,table_loot[#All],2,0)&amp;":"&amp;TEXT(_xlpm.arr_odds,"0.0%"),"")))</f>
        <v>金币:3.0%; 灵魂:3.0%; 天然石材:10.0%; 生肉:1.0%; 食物:0.2%</v>
      </c>
    </row>
    <row r="9" spans="1:19" x14ac:dyDescent="0.2">
      <c r="A9" s="38">
        <v>201108</v>
      </c>
      <c r="B9" s="44" t="str">
        <f>VLOOKUP(A9,monster!A:D,4,0)</f>
        <v>洞穴人纵火者</v>
      </c>
      <c r="D9" s="41" t="str" cm="1">
        <f t="array" ref="D9">_xlfn.LET(_xlpm.arr_loot,F9:K9,
_xlpm.arr_odds,L9:Q9,
_xlfn.TEXTJOIN(";",1,IF(_xlpm.arr_loot&lt;&gt;"",_xlpm.arr_loot&amp;"="&amp;_xlpm.arr_odds,"")))</f>
        <v>6000=0.065;6001=0.03;6055=0.05;6010=0.01;6050=0.005</v>
      </c>
      <c r="F9" s="38">
        <v>6000</v>
      </c>
      <c r="G9" s="38">
        <v>6001</v>
      </c>
      <c r="H9" s="38">
        <v>6055</v>
      </c>
      <c r="I9" s="38">
        <v>6010</v>
      </c>
      <c r="J9" s="38">
        <v>6050</v>
      </c>
      <c r="L9" s="38">
        <v>6.5000000000000002E-2</v>
      </c>
      <c r="M9" s="38">
        <v>0.03</v>
      </c>
      <c r="N9" s="38">
        <v>0.05</v>
      </c>
      <c r="O9" s="38">
        <v>0.01</v>
      </c>
      <c r="P9" s="38">
        <v>5.0000000000000001E-3</v>
      </c>
      <c r="S9" s="45" t="str" cm="1">
        <f t="array" ref="S9">_xlfn.LET(_xlpm.arr_loot,F9:K9,
_xlpm.arr_odds,L9:Q9,
_xlfn.TEXTJOIN("; ",1,IF(_xlpm.arr_loot&lt;&gt;"",VLOOKUP(_xlpm.arr_loot,table_loot[#All],2,0)&amp;":"&amp;TEXT(_xlpm.arr_odds,"0.0%"),"")))</f>
        <v>金币:6.5%; 灵魂:3.0%; 爆燃火药:5.0%; 生肉:1.0%; 食物:0.5%</v>
      </c>
    </row>
    <row r="10" spans="1:19" x14ac:dyDescent="0.2">
      <c r="A10" s="38">
        <v>201109</v>
      </c>
      <c r="B10" s="44" t="str">
        <f>VLOOKUP(A10,monster!A:D,4,0)</f>
        <v>洞穴人暴徒</v>
      </c>
      <c r="D10" s="41" t="str" cm="1">
        <f t="array" ref="D10">_xlfn.LET(_xlpm.arr_loot,F10:K10,
_xlpm.arr_odds,L10:Q10,
_xlfn.TEXTJOIN(";",1,IF(_xlpm.arr_loot&lt;&gt;"",_xlpm.arr_loot&amp;"="&amp;_xlpm.arr_odds,"")))</f>
        <v>6000=0.1;6001=0.03;6023=0.1;6010=0.01;6050=0.005</v>
      </c>
      <c r="F10" s="38">
        <v>6000</v>
      </c>
      <c r="G10" s="38">
        <v>6001</v>
      </c>
      <c r="H10" s="38">
        <v>6023</v>
      </c>
      <c r="I10" s="38">
        <v>6010</v>
      </c>
      <c r="J10" s="38">
        <v>6050</v>
      </c>
      <c r="L10" s="38">
        <v>0.1</v>
      </c>
      <c r="M10" s="38">
        <v>0.03</v>
      </c>
      <c r="N10" s="38">
        <v>0.1</v>
      </c>
      <c r="O10" s="38">
        <v>0.01</v>
      </c>
      <c r="P10" s="38">
        <v>5.0000000000000001E-3</v>
      </c>
      <c r="S10" s="45" t="str" cm="1">
        <f t="array" ref="S10">_xlfn.LET(_xlpm.arr_loot,F10:K10,
_xlpm.arr_odds,L10:Q10,
_xlfn.TEXTJOIN("; ",1,IF(_xlpm.arr_loot&lt;&gt;"",VLOOKUP(_xlpm.arr_loot,table_loot[#All],2,0)&amp;":"&amp;TEXT(_xlpm.arr_odds,"0.0%"),"")))</f>
        <v>金币:10.0%; 灵魂:3.0%; 易燃粉末:10.0%; 生肉:1.0%; 食物:0.5%</v>
      </c>
    </row>
    <row r="12" spans="1:19" x14ac:dyDescent="0.2">
      <c r="D12" s="41" t="str" cm="1">
        <f t="array" ref="D12">_xlfn.LET(_xlpm.arr_loot,F12:K12,
_xlpm.arr_odds,L12:Q12,
_xlfn.TEXTJOIN(";",1,IF(_xlpm.arr_loot&lt;&gt;"",_xlpm.arr_loot&amp;"="&amp;_xlpm.arr_odds,"")))</f>
        <v/>
      </c>
      <c r="S12" s="45" t="str" cm="1">
        <f t="array" ref="S12">_xlfn.LET(_xlpm.arr_loot,F12:K12,
_xlpm.arr_odds,L12:Q12,
_xlfn.TEXTJOIN("; ",1,IF(_xlpm.arr_loot&lt;&gt;"",VLOOKUP(_xlpm.arr_loot,table_loot[#All],2,0)&amp;":"&amp;TEXT(_xlpm.arr_odds,"0.0%"),"")))</f>
        <v/>
      </c>
    </row>
    <row r="13" spans="1:19" x14ac:dyDescent="0.2">
      <c r="A13" s="38">
        <v>211101</v>
      </c>
      <c r="B13" s="44" t="str">
        <f>VLOOKUP(A13,monster!A:D,4,0)</f>
        <v>地宫捕奴车</v>
      </c>
      <c r="D13" s="41" t="str" cm="1">
        <f t="array" ref="D13">_xlfn.LET(_xlpm.arr_loot,F13:K13,
_xlpm.arr_odds,L13:Q13,
_xlfn.TEXTJOIN(";",1,IF(_xlpm.arr_loot&lt;&gt;"",_xlpm.arr_loot&amp;"="&amp;_xlpm.arr_odds,"")))</f>
        <v>6000=0.75;6001=0.4;6053=0.8;6020=1</v>
      </c>
      <c r="F13" s="38">
        <v>6000</v>
      </c>
      <c r="G13" s="38">
        <v>6001</v>
      </c>
      <c r="H13" s="38">
        <v>6053</v>
      </c>
      <c r="I13" s="38">
        <v>6020</v>
      </c>
      <c r="L13" s="38">
        <v>0.75</v>
      </c>
      <c r="M13" s="38">
        <v>0.4</v>
      </c>
      <c r="N13" s="38">
        <v>0.8</v>
      </c>
      <c r="O13" s="38">
        <v>1</v>
      </c>
      <c r="S13" s="45" t="str" cm="1">
        <f t="array" ref="S13">_xlfn.LET(_xlpm.arr_loot,F13:K13,
_xlpm.arr_odds,L13:Q13,
_xlfn.TEXTJOIN("; ",1,IF(_xlpm.arr_loot&lt;&gt;"",VLOOKUP(_xlpm.arr_loot,table_loot[#All],2,0)&amp;":"&amp;TEXT(_xlpm.arr_odds,"0.0%"),"")))</f>
        <v>金币:75.0%; 灵魂:40.0%; 金属零件:80.0%; 天然木材:100.0%</v>
      </c>
    </row>
    <row r="14" spans="1:19" x14ac:dyDescent="0.2">
      <c r="A14" s="38">
        <v>211102</v>
      </c>
      <c r="B14" s="44" t="str">
        <f>VLOOKUP(A14,monster!A:D,4,0)</f>
        <v>地宫装甲车</v>
      </c>
      <c r="D14" s="41" t="str" cm="1">
        <f t="array" ref="D14">_xlfn.LET(_xlpm.arr_loot,F14:K14,
_xlpm.arr_odds,L14:Q14,
_xlfn.TEXTJOIN(";",1,IF(_xlpm.arr_loot&lt;&gt;"",_xlpm.arr_loot&amp;"="&amp;_xlpm.arr_odds,"")))</f>
        <v>6000=0.6;6001=0.8;6053=0.95;6031=1</v>
      </c>
      <c r="F14" s="38">
        <v>6000</v>
      </c>
      <c r="G14" s="38">
        <v>6001</v>
      </c>
      <c r="H14" s="38">
        <v>6053</v>
      </c>
      <c r="I14" s="38">
        <v>6031</v>
      </c>
      <c r="L14" s="38">
        <v>0.6</v>
      </c>
      <c r="M14" s="38">
        <v>0.8</v>
      </c>
      <c r="N14" s="38">
        <v>0.95</v>
      </c>
      <c r="O14" s="38">
        <v>1</v>
      </c>
      <c r="S14" s="45" t="str" cm="1">
        <f t="array" ref="S14">_xlfn.LET(_xlpm.arr_loot,F14:K14,
_xlpm.arr_odds,L14:Q14,
_xlfn.TEXTJOIN("; ",1,IF(_xlpm.arr_loot&lt;&gt;"",VLOOKUP(_xlpm.arr_loot,table_loot[#All],2,0)&amp;":"&amp;TEXT(_xlpm.arr_odds,"0.0%"),"")))</f>
        <v>金币:60.0%; 灵魂:80.0%; 金属零件:95.0%; 废弃金属:100.0%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A6F-2762-461C-8F5B-AC7E3C1CBDFB}">
  <dimension ref="A1:N16"/>
  <sheetViews>
    <sheetView zoomScale="99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F29" sqref="F29"/>
    </sheetView>
  </sheetViews>
  <sheetFormatPr defaultColWidth="9.125" defaultRowHeight="14.25" x14ac:dyDescent="0.2"/>
  <cols>
    <col min="1" max="2" width="7.75" style="13" bestFit="1" customWidth="1"/>
    <col min="3" max="3" width="9.125" style="13" bestFit="1" customWidth="1"/>
    <col min="4" max="4" width="13.625" style="14" bestFit="1" customWidth="1"/>
    <col min="5" max="5" width="8.75" style="13" customWidth="1"/>
    <col min="6" max="6" width="72.875" style="13" customWidth="1"/>
    <col min="7" max="12" width="17.5" style="32" customWidth="1"/>
    <col min="13" max="13" width="15.5" style="16" bestFit="1" customWidth="1"/>
    <col min="14" max="14" width="27.5" customWidth="1"/>
  </cols>
  <sheetData>
    <row r="1" spans="1:14" s="1" customFormat="1" x14ac:dyDescent="0.2">
      <c r="A1" s="1" t="s">
        <v>0</v>
      </c>
      <c r="B1" s="1" t="s">
        <v>104</v>
      </c>
      <c r="C1" s="1" t="s">
        <v>107</v>
      </c>
      <c r="D1" s="3"/>
      <c r="E1" s="1" t="s">
        <v>97</v>
      </c>
      <c r="F1" s="1" t="s">
        <v>100</v>
      </c>
      <c r="G1" s="29"/>
      <c r="H1" s="29"/>
      <c r="I1" s="29"/>
      <c r="J1" s="29"/>
      <c r="K1" s="29"/>
      <c r="L1" s="29"/>
      <c r="M1" s="4"/>
      <c r="N1" s="1" t="s">
        <v>108</v>
      </c>
    </row>
    <row r="2" spans="1:14" s="5" customFormat="1" x14ac:dyDescent="0.2">
      <c r="A2" s="5" t="s">
        <v>2</v>
      </c>
      <c r="B2" s="5" t="s">
        <v>2</v>
      </c>
      <c r="C2" s="5" t="s">
        <v>105</v>
      </c>
      <c r="D2" s="6"/>
      <c r="E2" s="5" t="s">
        <v>95</v>
      </c>
      <c r="F2" s="5" t="s">
        <v>94</v>
      </c>
      <c r="G2" s="30"/>
      <c r="H2" s="30"/>
      <c r="I2" s="30"/>
      <c r="J2" s="30"/>
      <c r="K2" s="30"/>
      <c r="L2" s="30"/>
      <c r="M2" s="7"/>
      <c r="N2" s="5" t="s">
        <v>3</v>
      </c>
    </row>
    <row r="3" spans="1:14" s="2" customFormat="1" ht="42.75" x14ac:dyDescent="0.2">
      <c r="A3" s="11" t="s">
        <v>98</v>
      </c>
      <c r="B3" s="11" t="s">
        <v>99</v>
      </c>
      <c r="C3" s="11" t="s">
        <v>106</v>
      </c>
      <c r="D3" s="9" t="s">
        <v>8</v>
      </c>
      <c r="E3" s="12" t="s">
        <v>96</v>
      </c>
      <c r="F3" s="12" t="s">
        <v>101</v>
      </c>
      <c r="G3" s="37" t="s">
        <v>115</v>
      </c>
      <c r="H3" s="37" t="s">
        <v>116</v>
      </c>
      <c r="I3" s="37" t="s">
        <v>117</v>
      </c>
      <c r="J3" s="37" t="s">
        <v>118</v>
      </c>
      <c r="K3" s="37" t="s">
        <v>119</v>
      </c>
      <c r="L3" s="37" t="s">
        <v>120</v>
      </c>
      <c r="M3" s="10" t="s">
        <v>4</v>
      </c>
      <c r="N3" s="12" t="s">
        <v>121</v>
      </c>
    </row>
    <row r="4" spans="1:14" x14ac:dyDescent="0.2">
      <c r="A4" s="13">
        <v>211101</v>
      </c>
      <c r="B4" s="13">
        <v>1</v>
      </c>
      <c r="C4" s="13">
        <v>1</v>
      </c>
      <c r="D4" s="14" t="s">
        <v>102</v>
      </c>
      <c r="E4" s="13">
        <v>101101</v>
      </c>
      <c r="F4" s="13" t="str" cm="1">
        <f t="array" ref="F4">_xlfn.TEXTJOIN(";",1,_xlfn.MAP($G$3:$L$3,G4:L4,_xlfn.LAMBDA(_xlpm.slot,_xlpm.device,IF(_xlpm.device&lt;&gt;"",_xlpm.slot&amp;"="&amp;_xlpm.device,""))))</f>
        <v>device_slot_wheel=1210101;slot_front=1311101</v>
      </c>
      <c r="G4" s="32">
        <v>1210101</v>
      </c>
      <c r="I4" s="32">
        <v>1311101</v>
      </c>
      <c r="M4" s="16" t="s">
        <v>127</v>
      </c>
      <c r="N4" s="15" t="str">
        <f>_xlfn.TEXTJOIN("_",1,"Car_AI",$M4)</f>
        <v>Car_AI_Basic</v>
      </c>
    </row>
    <row r="5" spans="1:14" x14ac:dyDescent="0.2">
      <c r="A5" s="13">
        <v>211101</v>
      </c>
      <c r="B5" s="13">
        <v>2</v>
      </c>
      <c r="C5" s="13">
        <v>1</v>
      </c>
      <c r="D5" s="14" t="s">
        <v>102</v>
      </c>
      <c r="E5" s="13">
        <v>101101</v>
      </c>
      <c r="F5" s="13" t="str" cm="1">
        <f t="array" ref="F5">_xlfn.TEXTJOIN(";",1,_xlfn.MAP($G$3:$L$3,G5:L5,_xlfn.LAMBDA(_xlpm.slot,_xlpm.device,IF(_xlpm.device&lt;&gt;"",_xlpm.slot&amp;"="&amp;_xlpm.device,""))))</f>
        <v>device_slot_wheel=1210101;slot_front_top=1311101</v>
      </c>
      <c r="G5" s="32">
        <v>1210101</v>
      </c>
      <c r="J5" s="32">
        <v>1311101</v>
      </c>
      <c r="M5" s="16" t="s">
        <v>109</v>
      </c>
      <c r="N5" s="15" t="s">
        <v>128</v>
      </c>
    </row>
    <row r="6" spans="1:14" x14ac:dyDescent="0.2">
      <c r="A6" s="13">
        <v>211101</v>
      </c>
      <c r="B6" s="13">
        <v>3</v>
      </c>
      <c r="C6" s="13">
        <v>1</v>
      </c>
      <c r="D6" s="14" t="s">
        <v>102</v>
      </c>
      <c r="E6" s="13">
        <v>101101</v>
      </c>
      <c r="F6" s="13" t="str" cm="1">
        <f t="array" ref="F6">_xlfn.TEXTJOIN(";",1,_xlfn.MAP($G$3:$L$3,G6:L6,_xlfn.LAMBDA(_xlpm.slot,_xlpm.device,IF(_xlpm.device&lt;&gt;"",_xlpm.slot&amp;"="&amp;_xlpm.device,""))))</f>
        <v>device_slot_wheel=1210101;slot_back=1311101</v>
      </c>
      <c r="G6" s="32">
        <v>1210101</v>
      </c>
      <c r="K6" s="32">
        <v>1311101</v>
      </c>
      <c r="M6" s="16" t="s">
        <v>109</v>
      </c>
      <c r="N6" s="15" t="s">
        <v>128</v>
      </c>
    </row>
    <row r="7" spans="1:14" x14ac:dyDescent="0.2">
      <c r="A7" s="13">
        <v>211101</v>
      </c>
      <c r="B7" s="13">
        <v>4</v>
      </c>
      <c r="C7" s="13">
        <v>1</v>
      </c>
      <c r="D7" s="14" t="s">
        <v>102</v>
      </c>
      <c r="E7" s="13">
        <v>101101</v>
      </c>
      <c r="F7" s="13" t="str" cm="1">
        <f t="array" ref="F7">_xlfn.TEXTJOIN(";",1,_xlfn.MAP($G$3:$L$3,G7:L7,_xlfn.LAMBDA(_xlpm.slot,_xlpm.device,IF(_xlpm.device&lt;&gt;"",_xlpm.slot&amp;"="&amp;_xlpm.device,""))))</f>
        <v>device_slot_wheel=1210101;slot_back_top=1311101</v>
      </c>
      <c r="G7" s="32">
        <v>1210101</v>
      </c>
      <c r="L7" s="32">
        <v>1311101</v>
      </c>
      <c r="M7" s="16" t="s">
        <v>109</v>
      </c>
      <c r="N7" s="15" t="s">
        <v>128</v>
      </c>
    </row>
    <row r="8" spans="1:14" x14ac:dyDescent="0.2">
      <c r="A8" s="13">
        <v>211101</v>
      </c>
      <c r="B8" s="13">
        <v>5</v>
      </c>
      <c r="C8" s="13">
        <v>1</v>
      </c>
      <c r="D8" s="14" t="s">
        <v>102</v>
      </c>
      <c r="E8" s="13">
        <v>101101</v>
      </c>
      <c r="F8" s="13" t="str" cm="1">
        <f t="array" ref="F8">_xlfn.TEXTJOIN(";",1,_xlfn.MAP($G$3:$L$3,G8:L8,_xlfn.LAMBDA(_xlpm.slot,_xlpm.device,IF(_xlpm.device&lt;&gt;"",_xlpm.slot&amp;"="&amp;_xlpm.device,""))))</f>
        <v>device_slot_wheel=1210101;slot_front=1311101;slot_back=1311101</v>
      </c>
      <c r="G8" s="32">
        <v>1210101</v>
      </c>
      <c r="I8" s="32">
        <v>1311101</v>
      </c>
      <c r="K8" s="32">
        <v>1311101</v>
      </c>
      <c r="M8" s="16" t="s">
        <v>109</v>
      </c>
      <c r="N8" s="15" t="s">
        <v>128</v>
      </c>
    </row>
    <row r="9" spans="1:14" x14ac:dyDescent="0.2">
      <c r="A9" s="13">
        <v>211101</v>
      </c>
      <c r="B9" s="13">
        <v>6</v>
      </c>
      <c r="C9" s="13">
        <v>1</v>
      </c>
      <c r="D9" s="14" t="s">
        <v>102</v>
      </c>
      <c r="E9" s="13">
        <v>101101</v>
      </c>
      <c r="F9" s="13" t="str" cm="1">
        <f t="array" ref="F9">_xlfn.TEXTJOIN(";",1,_xlfn.MAP($G$3:$L$3,G9:L9,_xlfn.LAMBDA(_xlpm.slot,_xlpm.device,IF(_xlpm.device&lt;&gt;"",_xlpm.slot&amp;"="&amp;_xlpm.device,""))))</f>
        <v>device_slot_wheel=1210101;slot_front_top=1311101;slot_back_top=1311101</v>
      </c>
      <c r="G9" s="32">
        <v>1210101</v>
      </c>
      <c r="J9" s="32">
        <v>1311101</v>
      </c>
      <c r="L9" s="32">
        <v>1311101</v>
      </c>
      <c r="M9" s="16" t="s">
        <v>109</v>
      </c>
      <c r="N9" s="15" t="s">
        <v>128</v>
      </c>
    </row>
    <row r="10" spans="1:14" x14ac:dyDescent="0.2">
      <c r="N10" s="15"/>
    </row>
    <row r="11" spans="1:14" x14ac:dyDescent="0.2">
      <c r="A11" s="13">
        <v>211102</v>
      </c>
      <c r="B11" s="13">
        <v>1</v>
      </c>
      <c r="C11" s="13">
        <v>100</v>
      </c>
      <c r="D11" s="14" t="s">
        <v>103</v>
      </c>
      <c r="E11" s="13">
        <v>101102</v>
      </c>
      <c r="F11" s="13" t="str" cm="1">
        <f t="array" ref="F11">_xlfn.TEXTJOIN(";",1,_xlfn.MAP($G$3:$L$3,G11:L11,_xlfn.LAMBDA(_xlpm.slot,_xlpm.device,IF(_xlpm.device&lt;&gt;"",_xlpm.slot&amp;"="&amp;_xlpm.device,""))))</f>
        <v>device_slot_wheel=1210101</v>
      </c>
      <c r="G11" s="32">
        <v>1210101</v>
      </c>
      <c r="M11" s="16" t="s">
        <v>110</v>
      </c>
      <c r="N11" s="15" t="str">
        <f t="shared" ref="N11:N16" si="0">_xlfn.TEXTJOIN("_",1,"Car_AI",$M11)</f>
        <v>Car_AI_dungeon_heavy</v>
      </c>
    </row>
    <row r="12" spans="1:14" x14ac:dyDescent="0.2">
      <c r="A12" s="13">
        <v>211102</v>
      </c>
      <c r="B12" s="13">
        <v>2</v>
      </c>
      <c r="C12" s="13">
        <v>100</v>
      </c>
      <c r="D12" s="14" t="s">
        <v>103</v>
      </c>
      <c r="E12" s="13">
        <v>101102</v>
      </c>
      <c r="F12" s="13" t="str" cm="1">
        <f t="array" ref="F12">_xlfn.TEXTJOIN(";",1,_xlfn.MAP($G$3:$L$3,G12:L12,_xlfn.LAMBDA(_xlpm.slot,_xlpm.device,IF(_xlpm.device&lt;&gt;"",_xlpm.slot&amp;"="&amp;_xlpm.device,""))))</f>
        <v>device_slot_wheel=1210101</v>
      </c>
      <c r="G12" s="32">
        <v>1210101</v>
      </c>
      <c r="M12" s="16" t="s">
        <v>110</v>
      </c>
      <c r="N12" s="15" t="str">
        <f t="shared" si="0"/>
        <v>Car_AI_dungeon_heavy</v>
      </c>
    </row>
    <row r="13" spans="1:14" x14ac:dyDescent="0.2">
      <c r="A13" s="13">
        <v>211102</v>
      </c>
      <c r="B13" s="13">
        <v>3</v>
      </c>
      <c r="C13" s="13">
        <v>50</v>
      </c>
      <c r="D13" s="14" t="s">
        <v>103</v>
      </c>
      <c r="E13" s="13">
        <v>101102</v>
      </c>
      <c r="F13" s="13" t="str" cm="1">
        <f t="array" ref="F13">_xlfn.TEXTJOIN(";",1,_xlfn.MAP($G$3:$L$3,G13:L13,_xlfn.LAMBDA(_xlpm.slot,_xlpm.device,IF(_xlpm.device&lt;&gt;"",_xlpm.slot&amp;"="&amp;_xlpm.device,""))))</f>
        <v>device_slot_wheel=1210101;slot_front=1311102</v>
      </c>
      <c r="G13" s="32">
        <v>1210101</v>
      </c>
      <c r="I13" s="32">
        <v>1311102</v>
      </c>
      <c r="M13" s="16" t="s">
        <v>110</v>
      </c>
      <c r="N13" s="15" t="str">
        <f t="shared" si="0"/>
        <v>Car_AI_dungeon_heavy</v>
      </c>
    </row>
    <row r="14" spans="1:14" x14ac:dyDescent="0.2">
      <c r="A14" s="13">
        <v>211102</v>
      </c>
      <c r="B14" s="13">
        <v>4</v>
      </c>
      <c r="C14" s="13">
        <v>50</v>
      </c>
      <c r="D14" s="14" t="s">
        <v>103</v>
      </c>
      <c r="E14" s="13">
        <v>101102</v>
      </c>
      <c r="F14" s="13" t="str" cm="1">
        <f t="array" ref="F14">_xlfn.TEXTJOIN(";",1,_xlfn.MAP($G$3:$L$3,G14:L14,_xlfn.LAMBDA(_xlpm.slot,_xlpm.device,IF(_xlpm.device&lt;&gt;"",_xlpm.slot&amp;"="&amp;_xlpm.device,""))))</f>
        <v>device_slot_wheel=1210101;slot_back=1311102</v>
      </c>
      <c r="G14" s="32">
        <v>1210101</v>
      </c>
      <c r="K14" s="32">
        <v>1311102</v>
      </c>
      <c r="M14" s="16" t="s">
        <v>110</v>
      </c>
      <c r="N14" s="15" t="str">
        <f t="shared" si="0"/>
        <v>Car_AI_dungeon_heavy</v>
      </c>
    </row>
    <row r="15" spans="1:14" x14ac:dyDescent="0.2">
      <c r="A15" s="13">
        <v>211102</v>
      </c>
      <c r="B15" s="13">
        <v>5</v>
      </c>
      <c r="C15" s="13">
        <v>10</v>
      </c>
      <c r="D15" s="14" t="s">
        <v>103</v>
      </c>
      <c r="E15" s="13">
        <v>101102</v>
      </c>
      <c r="F15" s="13" t="str" cm="1">
        <f t="array" ref="F15">_xlfn.TEXTJOIN(";",1,_xlfn.MAP($G$3:$L$3,G15:L15,_xlfn.LAMBDA(_xlpm.slot,_xlpm.device,IF(_xlpm.device&lt;&gt;"",_xlpm.slot&amp;"="&amp;_xlpm.device,""))))</f>
        <v>device_slot_wheel=1210101;slot_top=1321101</v>
      </c>
      <c r="G15" s="32">
        <v>1210101</v>
      </c>
      <c r="H15" s="32">
        <v>1321101</v>
      </c>
      <c r="M15" s="16" t="s">
        <v>110</v>
      </c>
      <c r="N15" s="15" t="str">
        <f t="shared" si="0"/>
        <v>Car_AI_dungeon_heavy</v>
      </c>
    </row>
    <row r="16" spans="1:14" x14ac:dyDescent="0.2">
      <c r="A16" s="13">
        <v>211102</v>
      </c>
      <c r="B16" s="13">
        <v>6</v>
      </c>
      <c r="C16" s="13">
        <v>10</v>
      </c>
      <c r="D16" s="14" t="s">
        <v>103</v>
      </c>
      <c r="E16" s="13">
        <v>101102</v>
      </c>
      <c r="F16" s="13" t="str" cm="1">
        <f t="array" ref="F16">_xlfn.TEXTJOIN(";",1,_xlfn.MAP($G$3:$L$3,G16:L16,_xlfn.LAMBDA(_xlpm.slot,_xlpm.device,IF(_xlpm.device&lt;&gt;"",_xlpm.slot&amp;"="&amp;_xlpm.device,""))))</f>
        <v>device_slot_wheel=1210101;slot_top=1321102</v>
      </c>
      <c r="G16" s="32">
        <v>1210101</v>
      </c>
      <c r="H16" s="32">
        <v>1321102</v>
      </c>
      <c r="M16" s="16" t="s">
        <v>110</v>
      </c>
      <c r="N16" s="15" t="str">
        <f t="shared" si="0"/>
        <v>Car_AI_dungeon_heavy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730-0C5F-4390-82DB-B0D702DF6F41}">
  <dimension ref="A1:X59"/>
  <sheetViews>
    <sheetView tabSelected="1" zoomScaleNormal="100" workbookViewId="0">
      <pane ySplit="3" topLeftCell="A7" activePane="bottomLeft" state="frozen"/>
      <selection pane="bottomLeft" activeCell="A35" sqref="A35"/>
    </sheetView>
  </sheetViews>
  <sheetFormatPr defaultColWidth="9.125" defaultRowHeight="14.25" x14ac:dyDescent="0.2"/>
  <cols>
    <col min="1" max="1" width="8.75" style="13" bestFit="1" customWidth="1"/>
    <col min="2" max="2" width="12.625" style="13" customWidth="1"/>
    <col min="3" max="6" width="9.625" style="32" customWidth="1"/>
    <col min="7" max="7" width="10.5" style="13" bestFit="1" customWidth="1"/>
    <col min="8" max="8" width="13.625" style="25" bestFit="1" customWidth="1"/>
    <col min="9" max="9" width="9.5" style="25" bestFit="1" customWidth="1"/>
    <col min="10" max="10" width="15" style="13" bestFit="1" customWidth="1"/>
    <col min="11" max="11" width="9" style="13" bestFit="1" customWidth="1"/>
    <col min="12" max="13" width="6.25" style="48" bestFit="1" customWidth="1"/>
    <col min="14" max="14" width="10.375" style="13" bestFit="1" customWidth="1"/>
    <col min="15" max="15" width="11.75" style="13" customWidth="1"/>
    <col min="16" max="16" width="5" style="48" bestFit="1" customWidth="1"/>
    <col min="17" max="17" width="5.5" style="48" bestFit="1" customWidth="1"/>
    <col min="18" max="18" width="14.625" style="13" bestFit="1" customWidth="1"/>
    <col min="19" max="19" width="15.875" style="13" customWidth="1"/>
    <col min="20" max="21" width="13" style="13" bestFit="1" customWidth="1"/>
    <col min="22" max="22" width="11.25" style="13" bestFit="1" customWidth="1"/>
    <col min="23" max="23" width="17.875" style="13" bestFit="1" customWidth="1"/>
    <col min="24" max="24" width="16.75" style="13" bestFit="1" customWidth="1"/>
    <col min="25" max="16384" width="9.125" style="13"/>
  </cols>
  <sheetData>
    <row r="1" spans="1:24" s="1" customFormat="1" x14ac:dyDescent="0.2">
      <c r="A1" s="1" t="s">
        <v>0</v>
      </c>
      <c r="B1" s="1" t="s">
        <v>35</v>
      </c>
      <c r="C1" s="29"/>
      <c r="D1" s="29"/>
      <c r="E1" s="29"/>
      <c r="F1" s="29"/>
      <c r="G1" s="1" t="s">
        <v>36</v>
      </c>
      <c r="H1" s="23"/>
      <c r="I1" s="23"/>
      <c r="J1" s="1" t="s">
        <v>53</v>
      </c>
      <c r="K1" s="1" t="s">
        <v>37</v>
      </c>
      <c r="L1" s="18"/>
      <c r="M1" s="18"/>
      <c r="N1" s="1" t="s">
        <v>38</v>
      </c>
      <c r="O1" s="1" t="s">
        <v>184</v>
      </c>
      <c r="P1" s="18"/>
      <c r="Q1" s="18"/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47</v>
      </c>
      <c r="X1" s="1" t="s">
        <v>48</v>
      </c>
    </row>
    <row r="2" spans="1:24" s="5" customFormat="1" x14ac:dyDescent="0.2">
      <c r="A2" s="5" t="s">
        <v>2</v>
      </c>
      <c r="B2" s="5" t="s">
        <v>31</v>
      </c>
      <c r="C2" s="30"/>
      <c r="D2" s="30"/>
      <c r="E2" s="30"/>
      <c r="F2" s="30"/>
      <c r="G2" s="5" t="s">
        <v>32</v>
      </c>
      <c r="H2" s="24"/>
      <c r="I2" s="24"/>
      <c r="J2" s="5" t="s">
        <v>54</v>
      </c>
      <c r="K2" s="5" t="s">
        <v>49</v>
      </c>
      <c r="L2" s="19"/>
      <c r="M2" s="19"/>
      <c r="N2" s="5" t="s">
        <v>33</v>
      </c>
      <c r="O2" s="5" t="s">
        <v>185</v>
      </c>
      <c r="P2" s="19"/>
      <c r="Q2" s="19"/>
      <c r="R2" s="5" t="s">
        <v>33</v>
      </c>
      <c r="S2" s="5" t="s">
        <v>33</v>
      </c>
      <c r="T2" s="5" t="s">
        <v>34</v>
      </c>
      <c r="U2" s="5" t="s">
        <v>34</v>
      </c>
      <c r="V2" s="5" t="s">
        <v>34</v>
      </c>
      <c r="W2" s="5" t="s">
        <v>33</v>
      </c>
      <c r="X2" s="5" t="s">
        <v>34</v>
      </c>
    </row>
    <row r="3" spans="1:24" s="2" customFormat="1" ht="28.5" x14ac:dyDescent="0.2">
      <c r="A3" s="11" t="s">
        <v>25</v>
      </c>
      <c r="B3" s="11" t="s">
        <v>26</v>
      </c>
      <c r="C3" s="31" t="s">
        <v>72</v>
      </c>
      <c r="D3" s="31" t="s">
        <v>83</v>
      </c>
      <c r="E3" s="31" t="s">
        <v>71</v>
      </c>
      <c r="F3" s="31" t="s">
        <v>73</v>
      </c>
      <c r="G3" s="11" t="s">
        <v>5</v>
      </c>
      <c r="H3" s="34" t="s">
        <v>78</v>
      </c>
      <c r="I3" s="34" t="s">
        <v>77</v>
      </c>
      <c r="J3" s="11" t="s">
        <v>55</v>
      </c>
      <c r="K3" s="11" t="s">
        <v>27</v>
      </c>
      <c r="L3" s="47" t="s">
        <v>75</v>
      </c>
      <c r="M3" s="47" t="s">
        <v>76</v>
      </c>
      <c r="N3" s="11" t="s">
        <v>28</v>
      </c>
      <c r="O3" s="12" t="s">
        <v>195</v>
      </c>
      <c r="P3" s="47" t="s">
        <v>196</v>
      </c>
      <c r="Q3" s="47" t="s">
        <v>197</v>
      </c>
      <c r="R3" s="11" t="s">
        <v>39</v>
      </c>
      <c r="S3" s="11" t="s">
        <v>40</v>
      </c>
      <c r="T3" s="12" t="s">
        <v>50</v>
      </c>
      <c r="U3" s="12" t="s">
        <v>51</v>
      </c>
      <c r="V3" s="11" t="s">
        <v>29</v>
      </c>
      <c r="W3" s="11" t="s">
        <v>46</v>
      </c>
      <c r="X3" s="11" t="s">
        <v>30</v>
      </c>
    </row>
    <row r="4" spans="1:24" x14ac:dyDescent="0.2">
      <c r="A4" s="13">
        <v>1</v>
      </c>
      <c r="B4" s="13" t="str" cm="1">
        <f t="array" ref="B4">C4&amp;_xlfn.TEXTJOIN("",1,TEXT(D4:F4,"00"))</f>
        <v>1010000</v>
      </c>
      <c r="C4" s="32">
        <v>1</v>
      </c>
      <c r="D4" s="32">
        <v>1</v>
      </c>
      <c r="E4" s="32">
        <f>R4</f>
        <v>0</v>
      </c>
      <c r="F4" s="32">
        <v>0</v>
      </c>
      <c r="G4" s="13">
        <v>201101</v>
      </c>
      <c r="H4" s="25" t="str">
        <f>IFERROR(VLOOKUP(G4,monster!A:D,4,0),"")</f>
        <v>地宫蝙蝠</v>
      </c>
      <c r="I4" s="25" t="str" cm="1">
        <f t="array" ref="I4">_xlfn.LET(_xlpm.v6p,ABS(ATAN2(L4,M4))*6/PI(),
_xlpm.output,_xlfn.IFS(_xlpm.v6p&lt;1,"正前",_xlpm.v6p&gt;5,"正后",_xlpm.v6p&gt;4,"后上",_xlpm.v6p&lt;2,"前上",TRUE,"顶部"),
IFERROR(_xlpm.output,""))</f>
        <v>前上</v>
      </c>
      <c r="J4" s="22" t="s">
        <v>56</v>
      </c>
      <c r="K4" s="33" t="str">
        <f>L4+0&amp;","&amp;M4+0</f>
        <v>15,10</v>
      </c>
      <c r="L4" s="48">
        <v>15</v>
      </c>
      <c r="M4" s="48">
        <v>10</v>
      </c>
      <c r="N4" s="13">
        <v>2</v>
      </c>
      <c r="O4" s="33" t="str">
        <f t="shared" ref="O4:O23" si="0">IF(P4&lt;&gt;"", P4+0&amp;","&amp;Q4+0,"")</f>
        <v/>
      </c>
      <c r="R4" s="13">
        <v>0</v>
      </c>
      <c r="S4" s="13">
        <v>11</v>
      </c>
      <c r="T4" s="13">
        <v>1</v>
      </c>
      <c r="U4" s="13">
        <v>5</v>
      </c>
      <c r="V4" s="13">
        <v>3</v>
      </c>
      <c r="W4" s="13">
        <v>3</v>
      </c>
      <c r="X4" s="13">
        <v>100</v>
      </c>
    </row>
    <row r="5" spans="1:24" x14ac:dyDescent="0.2">
      <c r="A5" s="13">
        <v>1</v>
      </c>
      <c r="B5" s="13" t="str" cm="1">
        <f t="array" ref="B5">C5&amp;_xlfn.TEXTJOIN("",1,TEXT(D5:F5,"00"))</f>
        <v>1010100</v>
      </c>
      <c r="C5" s="32">
        <v>1</v>
      </c>
      <c r="D5" s="32">
        <v>1</v>
      </c>
      <c r="E5" s="32">
        <f>R5</f>
        <v>1</v>
      </c>
      <c r="F5" s="32">
        <v>0</v>
      </c>
      <c r="G5" s="13">
        <v>201101</v>
      </c>
      <c r="H5" s="25" t="str">
        <f>IFERROR(VLOOKUP(G5,monster!A:D,4,0),"")</f>
        <v>地宫蝙蝠</v>
      </c>
      <c r="I5" s="25" t="str" cm="1">
        <f t="array" ref="I5">_xlfn.LET(_xlpm.v6p,ABS(ATAN2(L5,M5))*6/PI(),
_xlpm.output,_xlfn.IFS(_xlpm.v6p&lt;1,"正前",_xlpm.v6p&gt;5,"正后",_xlpm.v6p&gt;4,"后上",_xlpm.v6p&lt;2,"前上",TRUE,"顶部"),
IFERROR(_xlpm.output,""))</f>
        <v>前上</v>
      </c>
      <c r="J5" s="22" t="s">
        <v>56</v>
      </c>
      <c r="K5" s="33" t="str">
        <f t="shared" ref="K5:K40" si="1">L5+0&amp;","&amp;M5+0</f>
        <v>15,10</v>
      </c>
      <c r="L5" s="48">
        <v>15</v>
      </c>
      <c r="M5" s="48">
        <v>10</v>
      </c>
      <c r="N5" s="13">
        <v>1</v>
      </c>
      <c r="O5" s="33" t="str">
        <f t="shared" si="0"/>
        <v/>
      </c>
      <c r="R5" s="13">
        <v>1</v>
      </c>
      <c r="S5" s="13">
        <v>11</v>
      </c>
      <c r="T5" s="13">
        <v>1</v>
      </c>
      <c r="U5" s="13">
        <v>1</v>
      </c>
      <c r="V5" s="13">
        <v>3</v>
      </c>
      <c r="W5" s="13">
        <v>2</v>
      </c>
      <c r="X5" s="13">
        <v>20</v>
      </c>
    </row>
    <row r="6" spans="1:24" x14ac:dyDescent="0.2">
      <c r="A6" s="13">
        <v>1</v>
      </c>
      <c r="B6" s="13" t="str" cm="1">
        <f t="array" ref="B6">C6&amp;_xlfn.TEXTJOIN("",1,TEXT(D6:F6,"00"))</f>
        <v>1010200</v>
      </c>
      <c r="C6" s="32">
        <v>1</v>
      </c>
      <c r="D6" s="32">
        <v>1</v>
      </c>
      <c r="E6" s="32">
        <f>R6</f>
        <v>2</v>
      </c>
      <c r="F6" s="32">
        <v>0</v>
      </c>
      <c r="G6" s="13">
        <v>201101</v>
      </c>
      <c r="H6" s="25" t="str">
        <f>IFERROR(VLOOKUP(G6,monster!A:D,4,0),"")</f>
        <v>地宫蝙蝠</v>
      </c>
      <c r="I6" s="25" t="str" cm="1">
        <f t="array" ref="I6">_xlfn.LET(_xlpm.v6p,ABS(ATAN2(L6,M6))*6/PI(),
_xlpm.output,_xlfn.IFS(_xlpm.v6p&lt;1,"正前",_xlpm.v6p&gt;5,"正后",_xlpm.v6p&gt;4,"后上",_xlpm.v6p&lt;2,"前上",TRUE,"顶部"),
IFERROR(_xlpm.output,""))</f>
        <v>前上</v>
      </c>
      <c r="J6" s="22" t="s">
        <v>56</v>
      </c>
      <c r="K6" s="33" t="str">
        <f t="shared" si="1"/>
        <v>15,10</v>
      </c>
      <c r="L6" s="48">
        <v>15</v>
      </c>
      <c r="M6" s="48">
        <v>10</v>
      </c>
      <c r="N6" s="13">
        <v>1</v>
      </c>
      <c r="O6" s="33" t="str">
        <f t="shared" si="0"/>
        <v/>
      </c>
      <c r="R6" s="13">
        <v>2</v>
      </c>
      <c r="S6" s="13">
        <v>11</v>
      </c>
      <c r="T6" s="13">
        <v>1</v>
      </c>
      <c r="U6" s="13">
        <v>1</v>
      </c>
      <c r="V6" s="13">
        <v>3</v>
      </c>
      <c r="W6" s="13">
        <v>2</v>
      </c>
      <c r="X6" s="13">
        <v>20</v>
      </c>
    </row>
    <row r="7" spans="1:24" x14ac:dyDescent="0.2">
      <c r="A7" s="13">
        <v>1</v>
      </c>
      <c r="B7" s="13" t="str" cm="1">
        <f t="array" ref="B7">C7&amp;_xlfn.TEXTJOIN("",1,TEXT(D7:F7,"00"))</f>
        <v>1010300</v>
      </c>
      <c r="C7" s="32">
        <v>1</v>
      </c>
      <c r="D7" s="32">
        <v>1</v>
      </c>
      <c r="E7" s="32">
        <f>R7</f>
        <v>3</v>
      </c>
      <c r="F7" s="32">
        <v>0</v>
      </c>
      <c r="G7" s="13">
        <v>201101</v>
      </c>
      <c r="H7" s="25" t="str">
        <f>IFERROR(VLOOKUP(G7,monster!A:D,4,0),"")</f>
        <v>地宫蝙蝠</v>
      </c>
      <c r="I7" s="25" t="str" cm="1">
        <f t="array" ref="I7">_xlfn.LET(_xlpm.v6p,ABS(ATAN2(L7,M7))*6/PI(),
_xlpm.output,_xlfn.IFS(_xlpm.v6p&lt;1,"正前",_xlpm.v6p&gt;5,"正后",_xlpm.v6p&gt;4,"后上",_xlpm.v6p&lt;2,"前上",TRUE,"顶部"),
IFERROR(_xlpm.output,""))</f>
        <v>前上</v>
      </c>
      <c r="J7" s="22" t="s">
        <v>56</v>
      </c>
      <c r="K7" s="33" t="str">
        <f t="shared" si="1"/>
        <v>15,10</v>
      </c>
      <c r="L7" s="48">
        <v>15</v>
      </c>
      <c r="M7" s="48">
        <v>10</v>
      </c>
      <c r="N7" s="13">
        <v>3</v>
      </c>
      <c r="O7" s="33" t="str">
        <f t="shared" si="0"/>
        <v/>
      </c>
      <c r="R7" s="13">
        <v>3</v>
      </c>
      <c r="S7" s="13">
        <v>11</v>
      </c>
      <c r="T7" s="13">
        <v>6</v>
      </c>
      <c r="U7" s="13">
        <v>16</v>
      </c>
      <c r="V7" s="13">
        <v>3</v>
      </c>
      <c r="W7" s="13">
        <v>6</v>
      </c>
      <c r="X7" s="13">
        <v>200</v>
      </c>
    </row>
    <row r="8" spans="1:24" x14ac:dyDescent="0.2">
      <c r="H8" s="25" t="str">
        <f>IFERROR(VLOOKUP(G8,monster!A:D,4,0),"")</f>
        <v/>
      </c>
      <c r="I8" s="25" t="str" cm="1">
        <f t="array" ref="I8">_xlfn.LET(_xlpm.v6p,ABS(ATAN2(L8,M8))*6/PI(),
_xlpm.output,_xlfn.IFS(_xlpm.v6p&lt;1,"正前",_xlpm.v6p&gt;5,"正后",_xlpm.v6p&gt;4,"后上",_xlpm.v6p&lt;2,"前上",TRUE,"顶部"),
IFERROR(_xlpm.output,""))</f>
        <v/>
      </c>
      <c r="K8" s="33"/>
      <c r="O8" s="33" t="str">
        <f t="shared" si="0"/>
        <v/>
      </c>
    </row>
    <row r="9" spans="1:24" x14ac:dyDescent="0.2">
      <c r="A9" s="13">
        <v>1</v>
      </c>
      <c r="B9" s="13" t="str" cm="1">
        <f t="array" ref="B9">C9&amp;_xlfn.TEXTJOIN("",1,TEXT(D9:F9,"00"))</f>
        <v>1020000</v>
      </c>
      <c r="C9" s="32">
        <v>1</v>
      </c>
      <c r="D9" s="32">
        <v>2</v>
      </c>
      <c r="E9" s="32">
        <f>R9</f>
        <v>0</v>
      </c>
      <c r="F9" s="32">
        <v>0</v>
      </c>
      <c r="G9" s="13">
        <v>201101</v>
      </c>
      <c r="H9" s="25" t="str">
        <f>IFERROR(VLOOKUP(G9,monster!A:D,4,0),"")</f>
        <v>地宫蝙蝠</v>
      </c>
      <c r="I9" s="25" t="str" cm="1">
        <f t="array" ref="I9">_xlfn.LET(_xlpm.v6p,ABS(ATAN2(L9,M9))*6/PI(),
_xlpm.output,_xlfn.IFS(_xlpm.v6p&lt;1,"正前",_xlpm.v6p&gt;5,"正后",_xlpm.v6p&gt;4,"后上",_xlpm.v6p&lt;2,"前上",TRUE,"顶部"),
IFERROR(_xlpm.output,""))</f>
        <v>后上</v>
      </c>
      <c r="J9" s="22" t="s">
        <v>56</v>
      </c>
      <c r="K9" s="33" t="str">
        <f t="shared" si="1"/>
        <v>-15,10</v>
      </c>
      <c r="L9" s="48">
        <v>-15</v>
      </c>
      <c r="M9" s="48">
        <v>10</v>
      </c>
      <c r="N9" s="13">
        <v>3</v>
      </c>
      <c r="O9" s="33" t="str">
        <f t="shared" si="0"/>
        <v/>
      </c>
      <c r="R9" s="13">
        <v>0</v>
      </c>
      <c r="S9" s="13">
        <v>11</v>
      </c>
      <c r="T9" s="13">
        <v>0.5</v>
      </c>
      <c r="U9" s="13">
        <v>4</v>
      </c>
      <c r="V9" s="13">
        <v>3</v>
      </c>
      <c r="W9" s="13">
        <v>4</v>
      </c>
      <c r="X9" s="13">
        <v>100</v>
      </c>
    </row>
    <row r="10" spans="1:24" x14ac:dyDescent="0.2">
      <c r="A10" s="13">
        <v>1</v>
      </c>
      <c r="B10" s="13" t="str" cm="1">
        <f t="array" ref="B10">C10&amp;_xlfn.TEXTJOIN("",1,TEXT(D10:F10,"00"))</f>
        <v>1020100</v>
      </c>
      <c r="C10" s="32">
        <v>1</v>
      </c>
      <c r="D10" s="32">
        <v>2</v>
      </c>
      <c r="E10" s="32">
        <f>R10</f>
        <v>1</v>
      </c>
      <c r="F10" s="32">
        <v>0</v>
      </c>
      <c r="G10" s="13">
        <v>201101</v>
      </c>
      <c r="H10" s="25" t="str">
        <f>IFERROR(VLOOKUP(G10,monster!A:D,4,0),"")</f>
        <v>地宫蝙蝠</v>
      </c>
      <c r="I10" s="25" t="str" cm="1">
        <f t="array" ref="I10">_xlfn.LET(_xlpm.v6p,ABS(ATAN2(L10,M10))*6/PI(),
_xlpm.output,_xlfn.IFS(_xlpm.v6p&lt;1,"正前",_xlpm.v6p&gt;5,"正后",_xlpm.v6p&gt;4,"后上",_xlpm.v6p&lt;2,"前上",TRUE,"顶部"),
IFERROR(_xlpm.output,""))</f>
        <v>后上</v>
      </c>
      <c r="J10" s="22" t="s">
        <v>56</v>
      </c>
      <c r="K10" s="33" t="str">
        <f t="shared" si="1"/>
        <v>-15,10</v>
      </c>
      <c r="L10" s="48">
        <v>-15</v>
      </c>
      <c r="M10" s="48">
        <v>10</v>
      </c>
      <c r="N10" s="13">
        <v>1</v>
      </c>
      <c r="O10" s="33" t="str">
        <f t="shared" si="0"/>
        <v/>
      </c>
      <c r="R10" s="13">
        <v>1</v>
      </c>
      <c r="S10" s="13">
        <v>11</v>
      </c>
      <c r="T10" s="13">
        <v>0.5</v>
      </c>
      <c r="U10" s="13">
        <v>1</v>
      </c>
      <c r="V10" s="13">
        <v>3</v>
      </c>
      <c r="W10" s="13">
        <v>2</v>
      </c>
      <c r="X10" s="13">
        <v>20</v>
      </c>
    </row>
    <row r="11" spans="1:24" x14ac:dyDescent="0.2">
      <c r="A11" s="13">
        <v>1</v>
      </c>
      <c r="B11" s="13" t="str" cm="1">
        <f t="array" ref="B11">C11&amp;_xlfn.TEXTJOIN("",1,TEXT(D11:F11,"00"))</f>
        <v>1020200</v>
      </c>
      <c r="C11" s="32">
        <v>1</v>
      </c>
      <c r="D11" s="32">
        <v>2</v>
      </c>
      <c r="E11" s="32">
        <f>R11</f>
        <v>2</v>
      </c>
      <c r="F11" s="32">
        <v>0</v>
      </c>
      <c r="G11" s="13">
        <v>201101</v>
      </c>
      <c r="H11" s="25" t="str">
        <f>IFERROR(VLOOKUP(G11,monster!A:D,4,0),"")</f>
        <v>地宫蝙蝠</v>
      </c>
      <c r="I11" s="25" t="str" cm="1">
        <f t="array" ref="I11">_xlfn.LET(_xlpm.v6p,ABS(ATAN2(L11,M11))*6/PI(),
_xlpm.output,_xlfn.IFS(_xlpm.v6p&lt;1,"正前",_xlpm.v6p&gt;5,"正后",_xlpm.v6p&gt;4,"后上",_xlpm.v6p&lt;2,"前上",TRUE,"顶部"),
IFERROR(_xlpm.output,""))</f>
        <v>后上</v>
      </c>
      <c r="J11" s="22" t="s">
        <v>56</v>
      </c>
      <c r="K11" s="33" t="str">
        <f t="shared" si="1"/>
        <v>-15,10</v>
      </c>
      <c r="L11" s="48">
        <v>-15</v>
      </c>
      <c r="M11" s="48">
        <v>10</v>
      </c>
      <c r="N11" s="13">
        <v>5</v>
      </c>
      <c r="O11" s="33" t="str">
        <f t="shared" si="0"/>
        <v/>
      </c>
      <c r="R11" s="13">
        <v>2</v>
      </c>
      <c r="S11" s="13">
        <v>11</v>
      </c>
      <c r="T11" s="13">
        <v>0.5</v>
      </c>
      <c r="U11" s="13">
        <v>1</v>
      </c>
      <c r="V11" s="13">
        <v>3</v>
      </c>
      <c r="W11" s="13">
        <v>2</v>
      </c>
      <c r="X11" s="13">
        <v>20</v>
      </c>
    </row>
    <row r="12" spans="1:24" x14ac:dyDescent="0.2">
      <c r="A12" s="13">
        <v>1</v>
      </c>
      <c r="B12" s="13" t="str" cm="1">
        <f t="array" ref="B12">C12&amp;_xlfn.TEXTJOIN("",1,TEXT(D12:F12,"00"))</f>
        <v>1020300</v>
      </c>
      <c r="C12" s="32">
        <v>1</v>
      </c>
      <c r="D12" s="32">
        <v>2</v>
      </c>
      <c r="E12" s="32">
        <f>R12</f>
        <v>3</v>
      </c>
      <c r="F12" s="32">
        <v>0</v>
      </c>
      <c r="G12" s="13">
        <v>201101</v>
      </c>
      <c r="H12" s="25" t="str">
        <f>IFERROR(VLOOKUP(G12,monster!A:D,4,0),"")</f>
        <v>地宫蝙蝠</v>
      </c>
      <c r="I12" s="25" t="str" cm="1">
        <f t="array" ref="I12">_xlfn.LET(_xlpm.v6p,ABS(ATAN2(L12,M12))*6/PI(),
_xlpm.output,_xlfn.IFS(_xlpm.v6p&lt;1,"正前",_xlpm.v6p&gt;5,"正后",_xlpm.v6p&gt;4,"后上",_xlpm.v6p&lt;2,"前上",TRUE,"顶部"),
IFERROR(_xlpm.output,""))</f>
        <v>后上</v>
      </c>
      <c r="J12" s="22" t="s">
        <v>56</v>
      </c>
      <c r="K12" s="33" t="str">
        <f t="shared" si="1"/>
        <v>-15,10</v>
      </c>
      <c r="L12" s="48">
        <v>-15</v>
      </c>
      <c r="M12" s="48">
        <v>10</v>
      </c>
      <c r="N12" s="13">
        <v>5</v>
      </c>
      <c r="O12" s="33" t="str">
        <f t="shared" si="0"/>
        <v/>
      </c>
      <c r="R12" s="13">
        <v>3</v>
      </c>
      <c r="S12" s="13">
        <v>11</v>
      </c>
      <c r="T12" s="13">
        <v>10</v>
      </c>
      <c r="U12" s="13">
        <v>12</v>
      </c>
      <c r="V12" s="13">
        <v>3</v>
      </c>
      <c r="W12" s="13">
        <v>6</v>
      </c>
      <c r="X12" s="13">
        <v>200</v>
      </c>
    </row>
    <row r="13" spans="1:24" x14ac:dyDescent="0.2">
      <c r="H13" s="25" t="str">
        <f>IFERROR(VLOOKUP(G13,monster!A:D,4,0),"")</f>
        <v/>
      </c>
      <c r="I13" s="25" t="str" cm="1">
        <f t="array" ref="I13">_xlfn.LET(_xlpm.v6p,ABS(ATAN2(L13,M13))*6/PI(),
_xlpm.output,_xlfn.IFS(_xlpm.v6p&lt;1,"正前",_xlpm.v6p&gt;5,"正后",_xlpm.v6p&gt;4,"后上",_xlpm.v6p&lt;2,"前上",TRUE,"顶部"),
IFERROR(_xlpm.output,""))</f>
        <v/>
      </c>
      <c r="J13" s="22"/>
      <c r="K13" s="33"/>
      <c r="O13" s="33" t="str">
        <f t="shared" si="0"/>
        <v/>
      </c>
    </row>
    <row r="14" spans="1:24" x14ac:dyDescent="0.2">
      <c r="A14" s="13">
        <v>1</v>
      </c>
      <c r="B14" s="13" t="str" cm="1">
        <f t="array" ref="B14">C14&amp;_xlfn.TEXTJOIN("",1,TEXT(D14:F14,"00"))</f>
        <v>2010000</v>
      </c>
      <c r="C14" s="32">
        <v>2</v>
      </c>
      <c r="D14" s="32">
        <v>1</v>
      </c>
      <c r="E14" s="32">
        <f>R14</f>
        <v>0</v>
      </c>
      <c r="F14" s="32">
        <v>0</v>
      </c>
      <c r="G14" s="13">
        <v>201102</v>
      </c>
      <c r="H14" s="25" t="str">
        <f>IFERROR(VLOOKUP(G14,monster!A:D,4,0),"")</f>
        <v>自爆甲虫</v>
      </c>
      <c r="I14" s="25" t="str" cm="1">
        <f t="array" ref="I14">_xlfn.LET(_xlpm.v6p,ABS(ATAN2(L14,M14))*6/PI(),
_xlpm.output,_xlfn.IFS(_xlpm.v6p&lt;1,"正前",_xlpm.v6p&gt;5,"正后",_xlpm.v6p&gt;4,"后上",_xlpm.v6p&lt;2,"前上",TRUE,"顶部"),
IFERROR(_xlpm.output,""))</f>
        <v>正前</v>
      </c>
      <c r="J14" s="22" t="s">
        <v>56</v>
      </c>
      <c r="K14" s="33" t="str">
        <f t="shared" si="1"/>
        <v>15,-1</v>
      </c>
      <c r="L14" s="48">
        <v>15</v>
      </c>
      <c r="M14" s="48">
        <v>-1</v>
      </c>
      <c r="N14" s="13">
        <v>2</v>
      </c>
      <c r="O14" s="33" t="str">
        <f t="shared" si="0"/>
        <v/>
      </c>
      <c r="R14" s="13">
        <v>0</v>
      </c>
      <c r="S14" s="13">
        <v>11</v>
      </c>
      <c r="T14" s="13">
        <v>0.03</v>
      </c>
      <c r="U14" s="13">
        <v>0</v>
      </c>
      <c r="V14" s="13">
        <v>30</v>
      </c>
      <c r="W14" s="26"/>
      <c r="X14" s="26">
        <v>99</v>
      </c>
    </row>
    <row r="15" spans="1:24" x14ac:dyDescent="0.2">
      <c r="A15" s="13">
        <v>1</v>
      </c>
      <c r="B15" s="13" t="str" cm="1">
        <f t="array" ref="B15">C15&amp;_xlfn.TEXTJOIN("",1,TEXT(D15:F15,"00"))</f>
        <v>2010100</v>
      </c>
      <c r="C15" s="32">
        <v>2</v>
      </c>
      <c r="D15" s="32">
        <v>1</v>
      </c>
      <c r="E15" s="32">
        <f>R15</f>
        <v>1</v>
      </c>
      <c r="F15" s="32">
        <v>0</v>
      </c>
      <c r="G15" s="13">
        <v>201102</v>
      </c>
      <c r="H15" s="25" t="str">
        <f>IFERROR(VLOOKUP(G15,monster!A:D,4,0),"")</f>
        <v>自爆甲虫</v>
      </c>
      <c r="I15" s="25" t="str" cm="1">
        <f t="array" ref="I15">_xlfn.LET(_xlpm.v6p,ABS(ATAN2(L15,M15))*6/PI(),
_xlpm.output,_xlfn.IFS(_xlpm.v6p&lt;1,"正前",_xlpm.v6p&gt;5,"正后",_xlpm.v6p&gt;4,"后上",_xlpm.v6p&lt;2,"前上",TRUE,"顶部"),
IFERROR(_xlpm.output,""))</f>
        <v>正前</v>
      </c>
      <c r="J15" s="22" t="s">
        <v>56</v>
      </c>
      <c r="K15" s="33" t="str">
        <f t="shared" si="1"/>
        <v>15,-1</v>
      </c>
      <c r="L15" s="48">
        <v>15</v>
      </c>
      <c r="M15" s="48">
        <v>-1</v>
      </c>
      <c r="N15" s="13">
        <v>1</v>
      </c>
      <c r="O15" s="33" t="str">
        <f t="shared" si="0"/>
        <v/>
      </c>
      <c r="R15" s="13">
        <v>1</v>
      </c>
      <c r="S15" s="13">
        <v>11</v>
      </c>
      <c r="T15" s="13">
        <v>0.01</v>
      </c>
      <c r="U15" s="13">
        <v>0</v>
      </c>
      <c r="V15" s="13">
        <v>30</v>
      </c>
      <c r="W15" s="26"/>
      <c r="X15" s="26">
        <v>99</v>
      </c>
    </row>
    <row r="16" spans="1:24" x14ac:dyDescent="0.2">
      <c r="A16" s="13">
        <v>1</v>
      </c>
      <c r="B16" s="13" t="str" cm="1">
        <f t="array" ref="B16">C16&amp;_xlfn.TEXTJOIN("",1,TEXT(D16:F16,"00"))</f>
        <v>2010300</v>
      </c>
      <c r="C16" s="32">
        <v>2</v>
      </c>
      <c r="D16" s="32">
        <v>1</v>
      </c>
      <c r="E16" s="32">
        <f>R16</f>
        <v>3</v>
      </c>
      <c r="F16" s="32">
        <v>0</v>
      </c>
      <c r="G16" s="13">
        <v>201102</v>
      </c>
      <c r="H16" s="25" t="str">
        <f>IFERROR(VLOOKUP(G16,monster!A:D,4,0),"")</f>
        <v>自爆甲虫</v>
      </c>
      <c r="I16" s="25" t="str" cm="1">
        <f t="array" ref="I16">_xlfn.LET(_xlpm.v6p,ABS(ATAN2(L16,M16))*6/PI(),
_xlpm.output,_xlfn.IFS(_xlpm.v6p&lt;1,"正前",_xlpm.v6p&gt;5,"正后",_xlpm.v6p&gt;4,"后上",_xlpm.v6p&lt;2,"前上",TRUE,"顶部"),
IFERROR(_xlpm.output,""))</f>
        <v>正前</v>
      </c>
      <c r="J16" s="22" t="s">
        <v>56</v>
      </c>
      <c r="K16" s="33" t="str">
        <f t="shared" si="1"/>
        <v>15,-1</v>
      </c>
      <c r="L16" s="48">
        <v>15</v>
      </c>
      <c r="M16" s="48">
        <v>-1</v>
      </c>
      <c r="N16" s="13">
        <v>2</v>
      </c>
      <c r="O16" s="33" t="str">
        <f t="shared" si="0"/>
        <v/>
      </c>
      <c r="R16" s="13">
        <v>3</v>
      </c>
      <c r="S16" s="13">
        <v>11</v>
      </c>
      <c r="T16" s="13">
        <v>3.5</v>
      </c>
      <c r="U16" s="13">
        <v>0</v>
      </c>
      <c r="V16" s="13">
        <v>30</v>
      </c>
      <c r="W16" s="26"/>
      <c r="X16" s="26">
        <v>99</v>
      </c>
    </row>
    <row r="17" spans="1:24" x14ac:dyDescent="0.2">
      <c r="H17" s="25" t="str">
        <f>IFERROR(VLOOKUP(G17,monster!A:D,4,0),"")</f>
        <v/>
      </c>
      <c r="I17" s="25" t="str" cm="1">
        <f t="array" ref="I17">_xlfn.LET(_xlpm.v6p,ABS(ATAN2(L17,M17))*6/PI(),
_xlpm.output,_xlfn.IFS(_xlpm.v6p&lt;1,"正前",_xlpm.v6p&gt;5,"正后",_xlpm.v6p&gt;4,"后上",_xlpm.v6p&lt;2,"前上",TRUE,"顶部"),
IFERROR(_xlpm.output,""))</f>
        <v/>
      </c>
      <c r="K17" s="33"/>
      <c r="O17" s="33" t="str">
        <f t="shared" si="0"/>
        <v/>
      </c>
    </row>
    <row r="18" spans="1:24" x14ac:dyDescent="0.2">
      <c r="A18" s="13">
        <v>1</v>
      </c>
      <c r="B18" s="13" t="str" cm="1">
        <f t="array" ref="B18">C18&amp;_xlfn.TEXTJOIN("",1,TEXT(D18:F18,"00"))</f>
        <v>2020001</v>
      </c>
      <c r="C18" s="32">
        <v>2</v>
      </c>
      <c r="D18" s="32">
        <v>2</v>
      </c>
      <c r="E18" s="32">
        <f>R18</f>
        <v>0</v>
      </c>
      <c r="F18" s="32">
        <v>1</v>
      </c>
      <c r="G18" s="13">
        <v>201102</v>
      </c>
      <c r="H18" s="25" t="str">
        <f>IFERROR(VLOOKUP(G18,monster!A:D,4,0),"")</f>
        <v>自爆甲虫</v>
      </c>
      <c r="I18" s="25" t="str" cm="1">
        <f t="array" ref="I18">_xlfn.LET(_xlpm.v6p,ABS(ATAN2(L18,M18))*6/PI(),
_xlpm.output,_xlfn.IFS(_xlpm.v6p&lt;1,"正前",_xlpm.v6p&gt;5,"正后",_xlpm.v6p&gt;4,"后上",_xlpm.v6p&lt;2,"前上",TRUE,"顶部"),
IFERROR(_xlpm.output,""))</f>
        <v>前上</v>
      </c>
      <c r="J18" s="22" t="s">
        <v>57</v>
      </c>
      <c r="K18" s="33" t="str">
        <f t="shared" si="1"/>
        <v>20,12</v>
      </c>
      <c r="L18" s="48">
        <v>20</v>
      </c>
      <c r="M18" s="48">
        <v>12</v>
      </c>
      <c r="N18" s="26"/>
      <c r="O18" s="33" t="str">
        <f t="shared" si="0"/>
        <v/>
      </c>
      <c r="R18" s="13">
        <v>0</v>
      </c>
      <c r="S18" s="13">
        <v>11</v>
      </c>
      <c r="T18" s="26"/>
      <c r="U18" s="26"/>
      <c r="V18" s="13">
        <v>0</v>
      </c>
      <c r="W18" s="13">
        <v>1</v>
      </c>
      <c r="X18" s="33">
        <v>1.8</v>
      </c>
    </row>
    <row r="19" spans="1:24" x14ac:dyDescent="0.2">
      <c r="A19" s="13">
        <v>1</v>
      </c>
      <c r="B19" s="13" t="str" cm="1">
        <f t="array" ref="B19">C19&amp;_xlfn.TEXTJOIN("",1,TEXT(D19:F19,"00"))</f>
        <v>2020002</v>
      </c>
      <c r="C19" s="32">
        <v>2</v>
      </c>
      <c r="D19" s="32">
        <v>2</v>
      </c>
      <c r="E19" s="32">
        <f>R19</f>
        <v>0</v>
      </c>
      <c r="F19" s="32">
        <v>2</v>
      </c>
      <c r="G19" s="13">
        <v>201102</v>
      </c>
      <c r="H19" s="25" t="str">
        <f>IFERROR(VLOOKUP(G19,monster!A:D,4,0),"")</f>
        <v>自爆甲虫</v>
      </c>
      <c r="I19" s="25" t="str" cm="1">
        <f t="array" ref="I19">_xlfn.LET(_xlpm.v6p,ABS(ATAN2(L19,M19))*6/PI(),
_xlpm.output,_xlfn.IFS(_xlpm.v6p&lt;1,"正前",_xlpm.v6p&gt;5,"正后",_xlpm.v6p&gt;4,"后上",_xlpm.v6p&lt;2,"前上",TRUE,"顶部"),
IFERROR(_xlpm.output,""))</f>
        <v>正前</v>
      </c>
      <c r="J19" s="22" t="s">
        <v>57</v>
      </c>
      <c r="K19" s="33" t="str">
        <f t="shared" si="1"/>
        <v>20,8</v>
      </c>
      <c r="L19" s="48">
        <v>20</v>
      </c>
      <c r="M19" s="48">
        <v>8</v>
      </c>
      <c r="N19" s="26"/>
      <c r="O19" s="33" t="str">
        <f t="shared" si="0"/>
        <v/>
      </c>
      <c r="R19" s="13">
        <v>0</v>
      </c>
      <c r="S19" s="13">
        <v>11</v>
      </c>
      <c r="T19" s="26"/>
      <c r="U19" s="26"/>
      <c r="V19" s="13">
        <v>0</v>
      </c>
      <c r="W19" s="13">
        <v>1</v>
      </c>
      <c r="X19" s="13">
        <v>2.6</v>
      </c>
    </row>
    <row r="20" spans="1:24" x14ac:dyDescent="0.2">
      <c r="A20" s="13">
        <v>1</v>
      </c>
      <c r="B20" s="13" t="str" cm="1">
        <f t="array" ref="B20">C20&amp;_xlfn.TEXTJOIN("",1,TEXT(D20:F20,"00"))</f>
        <v>2020003</v>
      </c>
      <c r="C20" s="32">
        <v>2</v>
      </c>
      <c r="D20" s="32">
        <v>2</v>
      </c>
      <c r="E20" s="32">
        <f>R20</f>
        <v>0</v>
      </c>
      <c r="F20" s="32">
        <v>3</v>
      </c>
      <c r="G20" s="13">
        <v>201102</v>
      </c>
      <c r="H20" s="25" t="str">
        <f>IFERROR(VLOOKUP(G20,monster!A:D,4,0),"")</f>
        <v>自爆甲虫</v>
      </c>
      <c r="I20" s="25" t="str" cm="1">
        <f t="array" ref="I20">_xlfn.LET(_xlpm.v6p,ABS(ATAN2(L20,M20))*6/PI(),
_xlpm.output,_xlfn.IFS(_xlpm.v6p&lt;1,"正前",_xlpm.v6p&gt;5,"正后",_xlpm.v6p&gt;4,"后上",_xlpm.v6p&lt;2,"前上",TRUE,"顶部"),
IFERROR(_xlpm.output,""))</f>
        <v>正前</v>
      </c>
      <c r="J20" s="22" t="s">
        <v>57</v>
      </c>
      <c r="K20" s="33" t="str">
        <f t="shared" si="1"/>
        <v>20,5</v>
      </c>
      <c r="L20" s="48">
        <v>20</v>
      </c>
      <c r="M20" s="48">
        <v>5</v>
      </c>
      <c r="N20" s="26"/>
      <c r="O20" s="33" t="str">
        <f t="shared" si="0"/>
        <v/>
      </c>
      <c r="R20" s="13">
        <v>0</v>
      </c>
      <c r="S20" s="13">
        <v>11</v>
      </c>
      <c r="T20" s="26"/>
      <c r="U20" s="26"/>
      <c r="V20" s="13">
        <v>0</v>
      </c>
      <c r="W20" s="13">
        <v>1</v>
      </c>
      <c r="X20" s="13">
        <v>3.4000000000000004</v>
      </c>
    </row>
    <row r="21" spans="1:24" x14ac:dyDescent="0.2">
      <c r="A21" s="13">
        <v>1</v>
      </c>
      <c r="B21" s="13" t="str" cm="1">
        <f t="array" ref="B21">C21&amp;_xlfn.TEXTJOIN("",1,TEXT(D21:F21,"00"))</f>
        <v>2020004</v>
      </c>
      <c r="C21" s="32">
        <v>2</v>
      </c>
      <c r="D21" s="32">
        <v>2</v>
      </c>
      <c r="E21" s="32">
        <f>R21</f>
        <v>0</v>
      </c>
      <c r="F21" s="32">
        <v>4</v>
      </c>
      <c r="G21" s="13">
        <v>201102</v>
      </c>
      <c r="H21" s="25" t="str">
        <f>IFERROR(VLOOKUP(G21,monster!A:D,4,0),"")</f>
        <v>自爆甲虫</v>
      </c>
      <c r="I21" s="25" t="str" cm="1">
        <f t="array" ref="I21">_xlfn.LET(_xlpm.v6p,ABS(ATAN2(L21,M21))*6/PI(),
_xlpm.output,_xlfn.IFS(_xlpm.v6p&lt;1,"正前",_xlpm.v6p&gt;5,"正后",_xlpm.v6p&gt;4,"后上",_xlpm.v6p&lt;2,"前上",TRUE,"顶部"),
IFERROR(_xlpm.output,""))</f>
        <v>正前</v>
      </c>
      <c r="J21" s="22" t="s">
        <v>57</v>
      </c>
      <c r="K21" s="33" t="str">
        <f t="shared" si="1"/>
        <v>20,2</v>
      </c>
      <c r="L21" s="48">
        <v>20</v>
      </c>
      <c r="M21" s="48">
        <v>2</v>
      </c>
      <c r="N21" s="26"/>
      <c r="O21" s="33" t="str">
        <f t="shared" si="0"/>
        <v/>
      </c>
      <c r="R21" s="13">
        <v>0</v>
      </c>
      <c r="S21" s="13">
        <v>11</v>
      </c>
      <c r="T21" s="26"/>
      <c r="U21" s="26"/>
      <c r="V21" s="13">
        <v>0</v>
      </c>
      <c r="W21" s="13">
        <v>1</v>
      </c>
      <c r="X21" s="13">
        <v>4.6000000000000005</v>
      </c>
    </row>
    <row r="22" spans="1:24" x14ac:dyDescent="0.2">
      <c r="A22" s="13">
        <v>1</v>
      </c>
      <c r="B22" s="13" t="str" cm="1">
        <f t="array" ref="B22">C22&amp;_xlfn.TEXTJOIN("",1,TEXT(D22:F22,"00"))</f>
        <v>2020005</v>
      </c>
      <c r="C22" s="32">
        <v>2</v>
      </c>
      <c r="D22" s="32">
        <v>2</v>
      </c>
      <c r="E22" s="32">
        <f>R22</f>
        <v>0</v>
      </c>
      <c r="F22" s="32">
        <v>5</v>
      </c>
      <c r="G22" s="13">
        <v>201102</v>
      </c>
      <c r="H22" s="25" t="str">
        <f>IFERROR(VLOOKUP(G22,monster!A:D,4,0),"")</f>
        <v>自爆甲虫</v>
      </c>
      <c r="I22" s="25" t="str" cm="1">
        <f t="array" ref="I22">_xlfn.LET(_xlpm.v6p,ABS(ATAN2(L22,M22))*6/PI(),
_xlpm.output,_xlfn.IFS(_xlpm.v6p&lt;1,"正前",_xlpm.v6p&gt;5,"正后",_xlpm.v6p&gt;4,"后上",_xlpm.v6p&lt;2,"前上",TRUE,"顶部"),
IFERROR(_xlpm.output,""))</f>
        <v>正后</v>
      </c>
      <c r="J22" s="22" t="s">
        <v>57</v>
      </c>
      <c r="K22" s="33" t="str">
        <f t="shared" si="1"/>
        <v>-15,5</v>
      </c>
      <c r="L22" s="48">
        <v>-15</v>
      </c>
      <c r="M22" s="48">
        <v>5</v>
      </c>
      <c r="N22" s="26"/>
      <c r="O22" s="33" t="str">
        <f t="shared" si="0"/>
        <v/>
      </c>
      <c r="R22" s="13">
        <v>0</v>
      </c>
      <c r="S22" s="13">
        <v>11</v>
      </c>
      <c r="T22" s="26"/>
      <c r="U22" s="26"/>
      <c r="V22" s="13">
        <v>0</v>
      </c>
      <c r="W22" s="13">
        <v>1</v>
      </c>
      <c r="X22" s="13">
        <v>6.2</v>
      </c>
    </row>
    <row r="23" spans="1:24" x14ac:dyDescent="0.2">
      <c r="H23" s="25" t="str">
        <f>IFERROR(VLOOKUP(G23,monster!A:D,4,0),"")</f>
        <v/>
      </c>
      <c r="I23" s="25" t="str" cm="1">
        <f t="array" ref="I23">_xlfn.LET(_xlpm.v6p,ABS(ATAN2(L23,M23))*6/PI(),
_xlpm.output,_xlfn.IFS(_xlpm.v6p&lt;1,"正前",_xlpm.v6p&gt;5,"正后",_xlpm.v6p&gt;4,"后上",_xlpm.v6p&lt;2,"前上",TRUE,"顶部"),
IFERROR(_xlpm.output,""))</f>
        <v/>
      </c>
      <c r="K23" s="33"/>
      <c r="O23" s="33" t="str">
        <f t="shared" si="0"/>
        <v/>
      </c>
    </row>
    <row r="24" spans="1:24" x14ac:dyDescent="0.2">
      <c r="A24" s="13">
        <v>1</v>
      </c>
      <c r="B24" s="13" t="str" cm="1">
        <f t="array" ref="B24">C24&amp;_xlfn.TEXTJOIN("",1,TEXT(D24:F24,"00"))</f>
        <v>3010000</v>
      </c>
      <c r="C24" s="32">
        <v>3</v>
      </c>
      <c r="D24" s="32">
        <v>1</v>
      </c>
      <c r="E24" s="32">
        <v>0</v>
      </c>
      <c r="F24" s="32">
        <v>0</v>
      </c>
      <c r="G24" s="13">
        <v>201104</v>
      </c>
      <c r="H24" s="25" t="str">
        <f>IFERROR(VLOOKUP(G24,monster!A:D,4,0),"")</f>
        <v>地宫洞穴人</v>
      </c>
      <c r="I24" s="25" t="str" cm="1">
        <f t="array" ref="I24">_xlfn.LET(_xlpm.v6p,ABS(ATAN2(L24,M24))*6/PI(),
_xlpm.output,_xlfn.IFS(_xlpm.v6p&lt;1,"正前",_xlpm.v6p&gt;5,"正后",_xlpm.v6p&gt;4,"后上",_xlpm.v6p&lt;2,"前上",TRUE,"顶部"),
IFERROR(_xlpm.output,""))</f>
        <v>正前</v>
      </c>
      <c r="J24" s="22" t="s">
        <v>56</v>
      </c>
      <c r="K24" s="33" t="str">
        <f>L24+0&amp;","&amp;M24+0</f>
        <v>14,-1</v>
      </c>
      <c r="L24" s="48">
        <v>14</v>
      </c>
      <c r="M24" s="48">
        <v>-1</v>
      </c>
      <c r="N24" s="13">
        <v>4</v>
      </c>
      <c r="O24" s="33" t="str">
        <f>IF(P24&lt;&gt;"", P24+0&amp;","&amp;Q24+0,"")</f>
        <v>2,3</v>
      </c>
      <c r="P24" s="48">
        <v>2</v>
      </c>
      <c r="Q24" s="48">
        <v>3</v>
      </c>
      <c r="R24" s="13">
        <v>0</v>
      </c>
      <c r="S24" s="13">
        <v>11</v>
      </c>
      <c r="T24" s="13">
        <v>0.1</v>
      </c>
      <c r="U24" s="13">
        <v>0.4</v>
      </c>
      <c r="V24" s="13">
        <v>0</v>
      </c>
      <c r="W24" s="26"/>
      <c r="X24" s="26"/>
    </row>
    <row r="25" spans="1:24" x14ac:dyDescent="0.2">
      <c r="A25" s="13">
        <v>1</v>
      </c>
      <c r="B25" s="13" t="str" cm="1">
        <f t="array" ref="B25">C25&amp;_xlfn.TEXTJOIN("",1,TEXT(D25:F25,"00"))</f>
        <v>3020001</v>
      </c>
      <c r="C25" s="32">
        <v>3</v>
      </c>
      <c r="D25" s="32">
        <v>2</v>
      </c>
      <c r="E25" s="32">
        <v>0</v>
      </c>
      <c r="F25" s="32">
        <v>1</v>
      </c>
      <c r="G25" s="13">
        <v>201104</v>
      </c>
      <c r="H25" s="25" t="str">
        <f>IFERROR(VLOOKUP(G25,monster!A:D,4,0),"")</f>
        <v>地宫洞穴人</v>
      </c>
      <c r="I25" s="25" t="str" cm="1">
        <f t="array" ref="I25">_xlfn.LET(_xlpm.v6p,ABS(ATAN2(L25,M25))*6/PI(),
_xlpm.output,_xlfn.IFS(_xlpm.v6p&lt;1,"正前",_xlpm.v6p&gt;5,"正后",_xlpm.v6p&gt;4,"后上",_xlpm.v6p&lt;2,"前上",TRUE,"顶部"),
IFERROR(_xlpm.output,""))</f>
        <v>正前</v>
      </c>
      <c r="J25" s="22" t="s">
        <v>56</v>
      </c>
      <c r="K25" s="33" t="str">
        <f>L25+0&amp;","&amp;M25+0</f>
        <v>14,-1</v>
      </c>
      <c r="L25" s="48">
        <v>14</v>
      </c>
      <c r="M25" s="48">
        <v>-1</v>
      </c>
      <c r="N25" s="26"/>
      <c r="O25" s="33" t="str">
        <f t="shared" ref="O25:O59" si="2">IF(P25&lt;&gt;"", P25+0&amp;","&amp;Q25+0,"")</f>
        <v/>
      </c>
      <c r="R25" s="13">
        <v>0</v>
      </c>
      <c r="S25" s="13">
        <v>11</v>
      </c>
      <c r="T25" s="26"/>
      <c r="U25" s="26"/>
      <c r="V25" s="13">
        <v>0</v>
      </c>
      <c r="W25" s="13">
        <v>1</v>
      </c>
      <c r="X25" s="13">
        <v>10.199999999999999</v>
      </c>
    </row>
    <row r="26" spans="1:24" x14ac:dyDescent="0.2">
      <c r="A26" s="13">
        <v>1</v>
      </c>
      <c r="B26" s="13" t="str" cm="1">
        <f t="array" ref="B26">C26&amp;_xlfn.TEXTJOIN("",1,TEXT(D26:F26,"00"))</f>
        <v>3020002</v>
      </c>
      <c r="C26" s="32">
        <v>3</v>
      </c>
      <c r="D26" s="32">
        <v>2</v>
      </c>
      <c r="E26" s="32">
        <v>0</v>
      </c>
      <c r="F26" s="32">
        <v>2</v>
      </c>
      <c r="G26" s="13">
        <v>201104</v>
      </c>
      <c r="H26" s="25" t="str">
        <f>IFERROR(VLOOKUP(G26,monster!A:D,4,0),"")</f>
        <v>地宫洞穴人</v>
      </c>
      <c r="I26" s="25" t="str" cm="1">
        <f t="array" ref="I26">_xlfn.LET(_xlpm.v6p,ABS(ATAN2(L26,M26))*6/PI(),
_xlpm.output,_xlfn.IFS(_xlpm.v6p&lt;1,"正前",_xlpm.v6p&gt;5,"正后",_xlpm.v6p&gt;4,"后上",_xlpm.v6p&lt;2,"前上",TRUE,"顶部"),
IFERROR(_xlpm.output,""))</f>
        <v>正后</v>
      </c>
      <c r="J26" s="22" t="s">
        <v>56</v>
      </c>
      <c r="K26" s="33" t="str">
        <f t="shared" ref="K26" si="3">L26+0&amp;","&amp;M26+0</f>
        <v>-14,-1</v>
      </c>
      <c r="L26" s="48">
        <v>-14</v>
      </c>
      <c r="M26" s="48">
        <v>-1</v>
      </c>
      <c r="N26" s="26"/>
      <c r="O26" s="33" t="str">
        <f t="shared" si="2"/>
        <v/>
      </c>
      <c r="R26" s="13">
        <v>0</v>
      </c>
      <c r="S26" s="13">
        <v>11</v>
      </c>
      <c r="T26" s="26"/>
      <c r="U26" s="26"/>
      <c r="V26" s="13">
        <v>0</v>
      </c>
      <c r="W26" s="13">
        <v>1</v>
      </c>
      <c r="X26" s="13">
        <v>6.8</v>
      </c>
    </row>
    <row r="27" spans="1:24" x14ac:dyDescent="0.2">
      <c r="H27" s="25" t="str">
        <f>IFERROR(VLOOKUP(G27,monster!A:D,4,0),"")</f>
        <v/>
      </c>
      <c r="I27" s="25" t="str" cm="1">
        <f t="array" ref="I27">_xlfn.LET(_xlpm.v6p,ABS(ATAN2(L27,M27))*6/PI(),
_xlpm.output,_xlfn.IFS(_xlpm.v6p&lt;1,"正前",_xlpm.v6p&gt;5,"正后",_xlpm.v6p&gt;4,"后上",_xlpm.v6p&lt;2,"前上",TRUE,"顶部"),
IFERROR(_xlpm.output,""))</f>
        <v/>
      </c>
      <c r="K27" s="33"/>
      <c r="O27" s="33" t="str">
        <f t="shared" si="2"/>
        <v/>
      </c>
    </row>
    <row r="28" spans="1:24" x14ac:dyDescent="0.2">
      <c r="A28" s="13">
        <v>9</v>
      </c>
      <c r="B28" s="13" t="str" cm="1">
        <f t="array" ref="B28">C28&amp;_xlfn.TEXTJOIN("",1,TEXT(D28:F28,"00"))</f>
        <v>4010000</v>
      </c>
      <c r="C28" s="32">
        <v>4</v>
      </c>
      <c r="D28" s="32">
        <v>1</v>
      </c>
      <c r="E28" s="32">
        <v>0</v>
      </c>
      <c r="F28" s="32">
        <v>0</v>
      </c>
      <c r="G28" s="13">
        <v>201107</v>
      </c>
      <c r="H28" s="25" t="str">
        <f>IFERROR(VLOOKUP(G28,monster!A:D,4,0),"")</f>
        <v>洞穴人流浪者</v>
      </c>
      <c r="I28" s="25" t="str" cm="1">
        <f t="array" ref="I28">_xlfn.LET(_xlpm.v6p,ABS(ATAN2(L28,M28))*6/PI(),
_xlpm.output,_xlfn.IFS(_xlpm.v6p&lt;1,"正前",_xlpm.v6p&gt;5,"正后",_xlpm.v6p&gt;4,"后上",_xlpm.v6p&lt;2,"前上",TRUE,"顶部"),
IFERROR(_xlpm.output,""))</f>
        <v>正前</v>
      </c>
      <c r="J28" s="22" t="s">
        <v>56</v>
      </c>
      <c r="K28" s="33" t="str">
        <f>L28+0&amp;","&amp;M28+0</f>
        <v>14,-1</v>
      </c>
      <c r="L28" s="48">
        <v>14</v>
      </c>
      <c r="M28" s="48">
        <v>-1</v>
      </c>
      <c r="N28" s="13">
        <v>7</v>
      </c>
      <c r="O28" s="33" t="str">
        <f>IF(P28&lt;&gt;"", P28+0&amp;","&amp;Q28+0,"")</f>
        <v>2,3</v>
      </c>
      <c r="P28" s="48">
        <v>2</v>
      </c>
      <c r="Q28" s="48">
        <v>3</v>
      </c>
      <c r="R28" s="13">
        <v>0</v>
      </c>
      <c r="S28" s="13">
        <v>11</v>
      </c>
      <c r="T28" s="13">
        <v>0.2</v>
      </c>
      <c r="U28" s="13">
        <v>1.5</v>
      </c>
      <c r="V28" s="13">
        <v>0</v>
      </c>
      <c r="W28" s="26"/>
      <c r="X28" s="26"/>
    </row>
    <row r="29" spans="1:24" x14ac:dyDescent="0.2">
      <c r="A29" s="13">
        <v>9</v>
      </c>
      <c r="B29" s="13" t="str" cm="1">
        <f t="array" ref="B29">C29&amp;_xlfn.TEXTJOIN("",1,TEXT(D29:F29,"00"))</f>
        <v>4020001</v>
      </c>
      <c r="C29" s="32">
        <v>4</v>
      </c>
      <c r="D29" s="32">
        <v>2</v>
      </c>
      <c r="E29" s="32">
        <v>0</v>
      </c>
      <c r="F29" s="32">
        <v>1</v>
      </c>
      <c r="G29" s="13">
        <v>201107</v>
      </c>
      <c r="H29" s="25" t="str">
        <f>IFERROR(VLOOKUP(G29,monster!A:D,4,0),"")</f>
        <v>洞穴人流浪者</v>
      </c>
      <c r="I29" s="25" t="str" cm="1">
        <f t="array" ref="I29">_xlfn.LET(_xlpm.v6p,ABS(ATAN2(L29,M29))*6/PI(),
_xlpm.output,_xlfn.IFS(_xlpm.v6p&lt;1,"正前",_xlpm.v6p&gt;5,"正后",_xlpm.v6p&gt;4,"后上",_xlpm.v6p&lt;2,"前上",TRUE,"顶部"),
IFERROR(_xlpm.output,""))</f>
        <v>正前</v>
      </c>
      <c r="J29" s="22" t="s">
        <v>56</v>
      </c>
      <c r="K29" s="33" t="str">
        <f>L29+0&amp;","&amp;M29+0</f>
        <v>14,-1</v>
      </c>
      <c r="L29" s="48">
        <v>14</v>
      </c>
      <c r="M29" s="48">
        <v>-1</v>
      </c>
      <c r="N29" s="26"/>
      <c r="O29" s="33" t="str">
        <f t="shared" ref="O29:O31" si="4">IF(P29&lt;&gt;"", P29+0&amp;","&amp;Q29+0,"")</f>
        <v/>
      </c>
      <c r="R29" s="13">
        <v>0</v>
      </c>
      <c r="S29" s="13">
        <v>11</v>
      </c>
      <c r="T29" s="26"/>
      <c r="U29" s="26"/>
      <c r="V29" s="13">
        <v>0</v>
      </c>
      <c r="W29" s="13">
        <v>2</v>
      </c>
      <c r="X29" s="13">
        <v>10.199999999999999</v>
      </c>
    </row>
    <row r="30" spans="1:24" x14ac:dyDescent="0.2">
      <c r="A30" s="13">
        <v>9</v>
      </c>
      <c r="B30" s="13" t="str" cm="1">
        <f t="array" ref="B30">C30&amp;_xlfn.TEXTJOIN("",1,TEXT(D30:F30,"00"))</f>
        <v>4020002</v>
      </c>
      <c r="C30" s="32">
        <v>4</v>
      </c>
      <c r="D30" s="32">
        <v>2</v>
      </c>
      <c r="E30" s="32">
        <v>0</v>
      </c>
      <c r="F30" s="32">
        <v>2</v>
      </c>
      <c r="G30" s="13">
        <v>201107</v>
      </c>
      <c r="H30" s="25" t="str">
        <f>IFERROR(VLOOKUP(G30,monster!A:D,4,0),"")</f>
        <v>洞穴人流浪者</v>
      </c>
      <c r="I30" s="25" t="str" cm="1">
        <f t="array" ref="I30">_xlfn.LET(_xlpm.v6p,ABS(ATAN2(L30,M30))*6/PI(),
_xlpm.output,_xlfn.IFS(_xlpm.v6p&lt;1,"正前",_xlpm.v6p&gt;5,"正后",_xlpm.v6p&gt;4,"后上",_xlpm.v6p&lt;2,"前上",TRUE,"顶部"),
IFERROR(_xlpm.output,""))</f>
        <v>正后</v>
      </c>
      <c r="J30" s="22" t="s">
        <v>56</v>
      </c>
      <c r="K30" s="33" t="str">
        <f t="shared" ref="K30" si="5">L30+0&amp;","&amp;M30+0</f>
        <v>-14,-1</v>
      </c>
      <c r="L30" s="48">
        <v>-14</v>
      </c>
      <c r="M30" s="48">
        <v>-1</v>
      </c>
      <c r="N30" s="26"/>
      <c r="O30" s="33" t="str">
        <f t="shared" si="4"/>
        <v/>
      </c>
      <c r="R30" s="13">
        <v>0</v>
      </c>
      <c r="S30" s="13">
        <v>11</v>
      </c>
      <c r="T30" s="26"/>
      <c r="U30" s="26"/>
      <c r="V30" s="13">
        <v>0</v>
      </c>
      <c r="W30" s="13">
        <v>2</v>
      </c>
      <c r="X30" s="13">
        <v>6.8</v>
      </c>
    </row>
    <row r="31" spans="1:24" x14ac:dyDescent="0.2">
      <c r="H31" s="25" t="str">
        <f>IFERROR(VLOOKUP(G31,monster!A:D,4,0),"")</f>
        <v/>
      </c>
      <c r="I31" s="25" t="str" cm="1">
        <f t="array" ref="I31">_xlfn.LET(_xlpm.v6p,ABS(ATAN2(L31,M31))*6/PI(),
_xlpm.output,_xlfn.IFS(_xlpm.v6p&lt;1,"正前",_xlpm.v6p&gt;5,"正后",_xlpm.v6p&gt;4,"后上",_xlpm.v6p&lt;2,"前上",TRUE,"顶部"),
IFERROR(_xlpm.output,""))</f>
        <v/>
      </c>
      <c r="K31" s="33"/>
      <c r="O31" s="33" t="str">
        <f t="shared" si="4"/>
        <v/>
      </c>
    </row>
    <row r="32" spans="1:24" x14ac:dyDescent="0.2">
      <c r="A32" s="13">
        <v>1</v>
      </c>
      <c r="B32" s="13" t="str" cm="1">
        <f t="array" ref="B32">C32&amp;_xlfn.TEXTJOIN("",1,TEXT(D32:F32,"00"))</f>
        <v>5010000</v>
      </c>
      <c r="C32" s="32">
        <v>5</v>
      </c>
      <c r="D32" s="32">
        <v>1</v>
      </c>
      <c r="E32" s="32">
        <v>0</v>
      </c>
      <c r="F32" s="32">
        <v>0</v>
      </c>
      <c r="G32" s="13">
        <v>201108</v>
      </c>
      <c r="H32" s="25" t="str">
        <f>IFERROR(VLOOKUP(G32,monster!A:D,4,0),"")</f>
        <v>洞穴人纵火者</v>
      </c>
      <c r="I32" s="25" t="str" cm="1">
        <f t="array" ref="I32">_xlfn.LET(_xlpm.v6p,ABS(ATAN2(L32,M32))*6/PI(),
_xlpm.output,_xlfn.IFS(_xlpm.v6p&lt;1,"正前",_xlpm.v6p&gt;5,"正后",_xlpm.v6p&gt;4,"后上",_xlpm.v6p&lt;2,"前上",TRUE,"顶部"),
IFERROR(_xlpm.output,""))</f>
        <v>正前</v>
      </c>
      <c r="J32" s="22" t="s">
        <v>56</v>
      </c>
      <c r="K32" s="33" t="str">
        <f>L32+0&amp;","&amp;M32+0</f>
        <v>14,-1</v>
      </c>
      <c r="L32" s="48">
        <v>14</v>
      </c>
      <c r="M32" s="48">
        <v>-1</v>
      </c>
      <c r="N32" s="13">
        <v>7</v>
      </c>
      <c r="O32" s="33" t="str">
        <f>IF(P32&lt;&gt;"", P32+0&amp;","&amp;Q32+0,"")</f>
        <v>2,3</v>
      </c>
      <c r="P32" s="48">
        <v>2</v>
      </c>
      <c r="Q32" s="48">
        <v>3</v>
      </c>
      <c r="R32" s="13">
        <v>0</v>
      </c>
      <c r="S32" s="13">
        <v>11</v>
      </c>
      <c r="T32" s="13">
        <v>0.2</v>
      </c>
      <c r="U32" s="13">
        <v>1.5</v>
      </c>
      <c r="V32" s="13">
        <v>0</v>
      </c>
      <c r="W32" s="26"/>
      <c r="X32" s="26"/>
    </row>
    <row r="33" spans="1:24" x14ac:dyDescent="0.2">
      <c r="A33" s="13">
        <v>1</v>
      </c>
      <c r="B33" s="13" t="str" cm="1">
        <f t="array" ref="B33">C33&amp;_xlfn.TEXTJOIN("",1,TEXT(D33:F33,"00"))</f>
        <v>5020001</v>
      </c>
      <c r="C33" s="32">
        <v>5</v>
      </c>
      <c r="D33" s="32">
        <v>2</v>
      </c>
      <c r="E33" s="32">
        <v>0</v>
      </c>
      <c r="F33" s="32">
        <v>1</v>
      </c>
      <c r="G33" s="13">
        <v>201108</v>
      </c>
      <c r="H33" s="25" t="str">
        <f>IFERROR(VLOOKUP(G33,monster!A:D,4,0),"")</f>
        <v>洞穴人纵火者</v>
      </c>
      <c r="I33" s="25" t="str" cm="1">
        <f t="array" ref="I33">_xlfn.LET(_xlpm.v6p,ABS(ATAN2(L33,M33))*6/PI(),
_xlpm.output,_xlfn.IFS(_xlpm.v6p&lt;1,"正前",_xlpm.v6p&gt;5,"正后",_xlpm.v6p&gt;4,"后上",_xlpm.v6p&lt;2,"前上",TRUE,"顶部"),
IFERROR(_xlpm.output,""))</f>
        <v>正前</v>
      </c>
      <c r="J33" s="22" t="s">
        <v>56</v>
      </c>
      <c r="K33" s="33" t="str">
        <f>L33+0&amp;","&amp;M33+0</f>
        <v>14,-1</v>
      </c>
      <c r="L33" s="48">
        <v>14</v>
      </c>
      <c r="M33" s="48">
        <v>-1</v>
      </c>
      <c r="N33" s="26"/>
      <c r="O33" s="33" t="str">
        <f t="shared" ref="O33:O35" si="6">IF(P33&lt;&gt;"", P33+0&amp;","&amp;Q33+0,"")</f>
        <v/>
      </c>
      <c r="R33" s="13">
        <v>0</v>
      </c>
      <c r="S33" s="13">
        <v>11</v>
      </c>
      <c r="T33" s="26"/>
      <c r="U33" s="26"/>
      <c r="V33" s="13">
        <v>0</v>
      </c>
      <c r="W33" s="13">
        <v>2</v>
      </c>
      <c r="X33" s="13">
        <v>10.199999999999999</v>
      </c>
    </row>
    <row r="34" spans="1:24" x14ac:dyDescent="0.2">
      <c r="A34" s="13">
        <v>1</v>
      </c>
      <c r="B34" s="13" t="str" cm="1">
        <f t="array" ref="B34">C34&amp;_xlfn.TEXTJOIN("",1,TEXT(D34:F34,"00"))</f>
        <v>5020002</v>
      </c>
      <c r="C34" s="32">
        <v>5</v>
      </c>
      <c r="D34" s="32">
        <v>2</v>
      </c>
      <c r="E34" s="32">
        <v>0</v>
      </c>
      <c r="F34" s="32">
        <v>2</v>
      </c>
      <c r="G34" s="13">
        <v>201108</v>
      </c>
      <c r="H34" s="25" t="str">
        <f>IFERROR(VLOOKUP(G34,monster!A:D,4,0),"")</f>
        <v>洞穴人纵火者</v>
      </c>
      <c r="I34" s="25" t="str" cm="1">
        <f t="array" ref="I34">_xlfn.LET(_xlpm.v6p,ABS(ATAN2(L34,M34))*6/PI(),
_xlpm.output,_xlfn.IFS(_xlpm.v6p&lt;1,"正前",_xlpm.v6p&gt;5,"正后",_xlpm.v6p&gt;4,"后上",_xlpm.v6p&lt;2,"前上",TRUE,"顶部"),
IFERROR(_xlpm.output,""))</f>
        <v>正后</v>
      </c>
      <c r="J34" s="22" t="s">
        <v>56</v>
      </c>
      <c r="K34" s="33" t="str">
        <f t="shared" ref="K34" si="7">L34+0&amp;","&amp;M34+0</f>
        <v>-14,-1</v>
      </c>
      <c r="L34" s="48">
        <v>-14</v>
      </c>
      <c r="M34" s="48">
        <v>-1</v>
      </c>
      <c r="N34" s="26"/>
      <c r="O34" s="33" t="str">
        <f t="shared" si="6"/>
        <v/>
      </c>
      <c r="R34" s="13">
        <v>0</v>
      </c>
      <c r="S34" s="13">
        <v>11</v>
      </c>
      <c r="T34" s="26"/>
      <c r="U34" s="26"/>
      <c r="V34" s="13">
        <v>0</v>
      </c>
      <c r="W34" s="13">
        <v>2</v>
      </c>
      <c r="X34" s="13">
        <v>6.8</v>
      </c>
    </row>
    <row r="35" spans="1:24" x14ac:dyDescent="0.2">
      <c r="H35" s="25" t="str">
        <f>IFERROR(VLOOKUP(G35,monster!A:D,4,0),"")</f>
        <v/>
      </c>
      <c r="I35" s="25" t="str" cm="1">
        <f t="array" ref="I35">_xlfn.LET(_xlpm.v6p,ABS(ATAN2(L35,M35))*6/PI(),
_xlpm.output,_xlfn.IFS(_xlpm.v6p&lt;1,"正前",_xlpm.v6p&gt;5,"正后",_xlpm.v6p&gt;4,"后上",_xlpm.v6p&lt;2,"前上",TRUE,"顶部"),
IFERROR(_xlpm.output,""))</f>
        <v/>
      </c>
      <c r="K35" s="33"/>
      <c r="O35" s="33" t="str">
        <f t="shared" si="6"/>
        <v/>
      </c>
    </row>
    <row r="36" spans="1:24" x14ac:dyDescent="0.2">
      <c r="A36" s="13">
        <v>1</v>
      </c>
      <c r="B36" s="13" t="str" cm="1">
        <f t="array" ref="B36">C36&amp;_xlfn.TEXTJOIN("",1,TEXT(D36:F36,"00"))</f>
        <v>6010000</v>
      </c>
      <c r="C36" s="32">
        <v>6</v>
      </c>
      <c r="D36" s="32">
        <v>1</v>
      </c>
      <c r="E36" s="32">
        <v>0</v>
      </c>
      <c r="F36" s="32">
        <v>0</v>
      </c>
      <c r="G36" s="13">
        <v>201109</v>
      </c>
      <c r="H36" s="25" t="str">
        <f>IFERROR(VLOOKUP(G36,monster!A:D,4,0),"")</f>
        <v>洞穴人暴徒</v>
      </c>
      <c r="I36" s="25" t="str" cm="1">
        <f t="array" ref="I36">_xlfn.LET(_xlpm.v6p,ABS(ATAN2(L36,M36))*6/PI(),
_xlpm.output,_xlfn.IFS(_xlpm.v6p&lt;1,"正前",_xlpm.v6p&gt;5,"正后",_xlpm.v6p&gt;4,"后上",_xlpm.v6p&lt;2,"前上",TRUE,"顶部"),
IFERROR(_xlpm.output,""))</f>
        <v>正前</v>
      </c>
      <c r="J36" s="22" t="s">
        <v>56</v>
      </c>
      <c r="K36" s="33" t="str">
        <f>L36+0&amp;","&amp;M36+0</f>
        <v>14,-1</v>
      </c>
      <c r="L36" s="48">
        <v>14</v>
      </c>
      <c r="M36" s="48">
        <v>-1</v>
      </c>
      <c r="N36" s="13">
        <v>7</v>
      </c>
      <c r="O36" s="33" t="str">
        <f>IF(P36&lt;&gt;"", P36+0&amp;","&amp;Q36+0,"")</f>
        <v>2,3</v>
      </c>
      <c r="P36" s="48">
        <v>2</v>
      </c>
      <c r="Q36" s="48">
        <v>3</v>
      </c>
      <c r="R36" s="13">
        <v>0</v>
      </c>
      <c r="S36" s="13">
        <v>11</v>
      </c>
      <c r="T36" s="13">
        <v>0.2</v>
      </c>
      <c r="U36" s="13">
        <v>1.5</v>
      </c>
      <c r="V36" s="13">
        <v>0</v>
      </c>
      <c r="W36" s="26"/>
      <c r="X36" s="26"/>
    </row>
    <row r="37" spans="1:24" x14ac:dyDescent="0.2">
      <c r="A37" s="13">
        <v>1</v>
      </c>
      <c r="B37" s="13" t="str" cm="1">
        <f t="array" ref="B37">C37&amp;_xlfn.TEXTJOIN("",1,TEXT(D37:F37,"00"))</f>
        <v>6020001</v>
      </c>
      <c r="C37" s="32">
        <v>6</v>
      </c>
      <c r="D37" s="32">
        <v>2</v>
      </c>
      <c r="E37" s="32">
        <v>0</v>
      </c>
      <c r="F37" s="32">
        <v>1</v>
      </c>
      <c r="G37" s="13">
        <v>201109</v>
      </c>
      <c r="H37" s="25" t="str">
        <f>IFERROR(VLOOKUP(G37,monster!A:D,4,0),"")</f>
        <v>洞穴人暴徒</v>
      </c>
      <c r="I37" s="25" t="str" cm="1">
        <f t="array" ref="I37">_xlfn.LET(_xlpm.v6p,ABS(ATAN2(L37,M37))*6/PI(),
_xlpm.output,_xlfn.IFS(_xlpm.v6p&lt;1,"正前",_xlpm.v6p&gt;5,"正后",_xlpm.v6p&gt;4,"后上",_xlpm.v6p&lt;2,"前上",TRUE,"顶部"),
IFERROR(_xlpm.output,""))</f>
        <v>正前</v>
      </c>
      <c r="J37" s="22" t="s">
        <v>56</v>
      </c>
      <c r="K37" s="33" t="str">
        <f>L37+0&amp;","&amp;M37+0</f>
        <v>14,-1</v>
      </c>
      <c r="L37" s="48">
        <v>14</v>
      </c>
      <c r="M37" s="48">
        <v>-1</v>
      </c>
      <c r="N37" s="26"/>
      <c r="O37" s="33" t="str">
        <f t="shared" ref="O37:O38" si="8">IF(P37&lt;&gt;"", P37+0&amp;","&amp;Q37+0,"")</f>
        <v/>
      </c>
      <c r="R37" s="13">
        <v>0</v>
      </c>
      <c r="S37" s="13">
        <v>11</v>
      </c>
      <c r="T37" s="26"/>
      <c r="U37" s="26"/>
      <c r="V37" s="13">
        <v>0</v>
      </c>
      <c r="W37" s="13">
        <v>2</v>
      </c>
      <c r="X37" s="13">
        <v>10.199999999999999</v>
      </c>
    </row>
    <row r="38" spans="1:24" x14ac:dyDescent="0.2">
      <c r="A38" s="13">
        <v>1</v>
      </c>
      <c r="B38" s="13" t="str" cm="1">
        <f t="array" ref="B38">C38&amp;_xlfn.TEXTJOIN("",1,TEXT(D38:F38,"00"))</f>
        <v>6020002</v>
      </c>
      <c r="C38" s="32">
        <v>6</v>
      </c>
      <c r="D38" s="32">
        <v>2</v>
      </c>
      <c r="E38" s="32">
        <v>0</v>
      </c>
      <c r="F38" s="32">
        <v>2</v>
      </c>
      <c r="G38" s="13">
        <v>201109</v>
      </c>
      <c r="H38" s="25" t="str">
        <f>IFERROR(VLOOKUP(G38,monster!A:D,4,0),"")</f>
        <v>洞穴人暴徒</v>
      </c>
      <c r="I38" s="25" t="str" cm="1">
        <f t="array" ref="I38">_xlfn.LET(_xlpm.v6p,ABS(ATAN2(L38,M38))*6/PI(),
_xlpm.output,_xlfn.IFS(_xlpm.v6p&lt;1,"正前",_xlpm.v6p&gt;5,"正后",_xlpm.v6p&gt;4,"后上",_xlpm.v6p&lt;2,"前上",TRUE,"顶部"),
IFERROR(_xlpm.output,""))</f>
        <v>正后</v>
      </c>
      <c r="J38" s="22" t="s">
        <v>56</v>
      </c>
      <c r="K38" s="33" t="str">
        <f t="shared" ref="K38" si="9">L38+0&amp;","&amp;M38+0</f>
        <v>-14,-1</v>
      </c>
      <c r="L38" s="48">
        <v>-14</v>
      </c>
      <c r="M38" s="48">
        <v>-1</v>
      </c>
      <c r="N38" s="26"/>
      <c r="O38" s="33" t="str">
        <f t="shared" si="8"/>
        <v/>
      </c>
      <c r="R38" s="13">
        <v>0</v>
      </c>
      <c r="S38" s="13">
        <v>11</v>
      </c>
      <c r="T38" s="26"/>
      <c r="U38" s="26"/>
      <c r="V38" s="13">
        <v>0</v>
      </c>
      <c r="W38" s="13">
        <v>2</v>
      </c>
      <c r="X38" s="13">
        <v>6.8</v>
      </c>
    </row>
    <row r="39" spans="1:24" x14ac:dyDescent="0.2">
      <c r="H39" s="25" t="str">
        <f>IFERROR(VLOOKUP(G39,monster!A:D,4,0),"")</f>
        <v/>
      </c>
      <c r="O39" s="33" t="str">
        <f t="shared" si="2"/>
        <v/>
      </c>
    </row>
    <row r="40" spans="1:24" x14ac:dyDescent="0.2">
      <c r="A40" s="13">
        <v>9</v>
      </c>
      <c r="B40" s="13" t="str" cm="1">
        <f t="array" ref="B40">C40&amp;_xlfn.TEXTJOIN("",1,TEXT(D40:F40,"00"))</f>
        <v>7010001</v>
      </c>
      <c r="C40" s="32">
        <v>7</v>
      </c>
      <c r="D40" s="32">
        <v>1</v>
      </c>
      <c r="E40" s="32">
        <f t="shared" ref="E40" si="10">R40</f>
        <v>0</v>
      </c>
      <c r="F40" s="32">
        <v>1</v>
      </c>
      <c r="G40" s="13">
        <v>201105</v>
      </c>
      <c r="H40" s="25" t="str">
        <f>IFERROR(VLOOKUP(G40,monster!A:D,4,0),"")</f>
        <v>跳虫骑手</v>
      </c>
      <c r="I40" s="25" t="str" cm="1">
        <f t="array" ref="I40">_xlfn.LET(_xlpm.v6p,ABS(ATAN2(L40,M40))*6/PI(),
_xlpm.output,_xlfn.IFS(_xlpm.v6p&lt;1,"正前",_xlpm.v6p&gt;5,"正后",_xlpm.v6p&gt;4,"后上",_xlpm.v6p&lt;2,"前上",TRUE,"顶部"),
IFERROR(_xlpm.output,""))</f>
        <v>正前</v>
      </c>
      <c r="J40" s="22" t="s">
        <v>56</v>
      </c>
      <c r="K40" s="33" t="str">
        <f t="shared" si="1"/>
        <v>14,-1</v>
      </c>
      <c r="L40" s="48">
        <v>14</v>
      </c>
      <c r="M40" s="48">
        <v>-1</v>
      </c>
      <c r="N40" s="13">
        <v>2</v>
      </c>
      <c r="O40" s="33" t="str">
        <f t="shared" si="2"/>
        <v/>
      </c>
      <c r="R40" s="13">
        <v>0</v>
      </c>
      <c r="S40" s="13">
        <v>11</v>
      </c>
      <c r="T40" s="13">
        <v>1.5</v>
      </c>
      <c r="U40" s="13">
        <v>1.5</v>
      </c>
      <c r="V40" s="13">
        <v>0</v>
      </c>
      <c r="W40" s="26"/>
      <c r="X40" s="26"/>
    </row>
    <row r="41" spans="1:24" x14ac:dyDescent="0.2">
      <c r="H41" s="25" t="str">
        <f>IFERROR(VLOOKUP(G41,monster!A:D,4,0),"")</f>
        <v/>
      </c>
      <c r="I41" s="25" t="str" cm="1">
        <f t="array" ref="I41">_xlfn.LET(_xlpm.v6p,ABS(ATAN2(L41,M41))*6/PI(),
_xlpm.output,_xlfn.IFS(_xlpm.v6p&lt;1,"正前",_xlpm.v6p&gt;5,"正后",_xlpm.v6p&gt;4,"后上",_xlpm.v6p&lt;2,"前上",TRUE,"顶部"),
IFERROR(_xlpm.output,""))</f>
        <v/>
      </c>
      <c r="J41" s="22"/>
      <c r="K41" s="33"/>
      <c r="O41" s="33" t="str">
        <f t="shared" si="2"/>
        <v/>
      </c>
    </row>
    <row r="42" spans="1:24" x14ac:dyDescent="0.2">
      <c r="A42" s="13">
        <v>9</v>
      </c>
      <c r="B42" s="13" t="str" cm="1">
        <f t="array" ref="B42">C42&amp;_xlfn.TEXTJOIN("",1,TEXT(D42:F42,"00"))</f>
        <v>9010000</v>
      </c>
      <c r="C42" s="32">
        <v>9</v>
      </c>
      <c r="D42" s="32">
        <v>1</v>
      </c>
      <c r="E42" s="32">
        <v>0</v>
      </c>
      <c r="F42" s="32">
        <v>0</v>
      </c>
      <c r="G42" s="13">
        <v>211101</v>
      </c>
      <c r="H42" s="25" t="str">
        <f>IFERROR(VLOOKUP(G42,monster!A:D,4,0),"")</f>
        <v>地宫捕奴车</v>
      </c>
      <c r="I42" s="25" t="str" cm="1">
        <f t="array" ref="I42">_xlfn.LET(_xlpm.v6p,ABS(ATAN2(L42,M42))*6/PI(),
_xlpm.output,_xlfn.IFS(_xlpm.v6p&lt;1,"正前",_xlpm.v6p&gt;5,"正后",_xlpm.v6p&gt;4,"后上",_xlpm.v6p&lt;2,"前上",TRUE,"顶部"),
IFERROR(_xlpm.output,""))</f>
        <v>正后</v>
      </c>
      <c r="J42" s="22" t="s">
        <v>126</v>
      </c>
      <c r="K42" s="33" t="str">
        <f>L42+0&amp;","&amp;M42+0</f>
        <v>-14,-1</v>
      </c>
      <c r="L42" s="48">
        <v>-14</v>
      </c>
      <c r="M42" s="48">
        <v>-1</v>
      </c>
      <c r="N42" s="13">
        <v>1</v>
      </c>
      <c r="O42" s="33" t="str">
        <f t="shared" si="2"/>
        <v/>
      </c>
      <c r="R42" s="13">
        <v>0</v>
      </c>
      <c r="S42" s="13">
        <v>11</v>
      </c>
      <c r="T42" s="13">
        <v>5</v>
      </c>
      <c r="U42" s="26"/>
      <c r="V42" s="13">
        <v>0</v>
      </c>
      <c r="W42" s="26"/>
      <c r="X42" s="26"/>
    </row>
    <row r="43" spans="1:24" x14ac:dyDescent="0.2">
      <c r="H43" s="25" t="str">
        <f>IFERROR(VLOOKUP(G43,monster!A:D,4,0),"")</f>
        <v/>
      </c>
      <c r="J43" s="22"/>
      <c r="K43" s="33"/>
      <c r="O43" s="33" t="str">
        <f t="shared" si="2"/>
        <v/>
      </c>
    </row>
    <row r="44" spans="1:24" x14ac:dyDescent="0.2">
      <c r="A44" s="13">
        <v>99</v>
      </c>
      <c r="B44" s="13">
        <v>99201</v>
      </c>
      <c r="G44" s="13">
        <v>201103</v>
      </c>
      <c r="H44" s="25" t="str">
        <f>IFERROR(VLOOKUP(G44,monster!A:D,4,0),"")</f>
        <v>跳虫</v>
      </c>
      <c r="I44" s="25" t="str" cm="1">
        <f t="array" ref="I44">_xlfn.LET(_xlpm.v6p,ABS(ATAN2(L44,M44))*6/PI(),
_xlpm.output,_xlfn.IFS(_xlpm.v6p&lt;1,"正前",_xlpm.v6p&gt;5,"正后",_xlpm.v6p&gt;4,"后上",_xlpm.v6p&lt;2,"前上",TRUE,"顶部"),
IFERROR(_xlpm.output,""))</f>
        <v>正后</v>
      </c>
      <c r="J44" s="22" t="s">
        <v>56</v>
      </c>
      <c r="K44" s="33" t="str">
        <f t="shared" ref="K44:K45" si="11">L44+0&amp;","&amp;M44+0</f>
        <v>-14,-1</v>
      </c>
      <c r="L44" s="48">
        <v>-14</v>
      </c>
      <c r="M44" s="48">
        <v>-1</v>
      </c>
      <c r="N44" s="13">
        <v>0</v>
      </c>
      <c r="O44" s="33" t="str">
        <f t="shared" si="2"/>
        <v/>
      </c>
      <c r="R44" s="13">
        <v>0</v>
      </c>
      <c r="S44" s="13">
        <v>11</v>
      </c>
      <c r="T44" s="13">
        <v>0</v>
      </c>
      <c r="U44" s="13">
        <v>400</v>
      </c>
      <c r="V44" s="13">
        <v>0</v>
      </c>
      <c r="W44" s="26"/>
      <c r="X44" s="26"/>
    </row>
    <row r="45" spans="1:24" x14ac:dyDescent="0.2">
      <c r="A45" s="13">
        <v>99</v>
      </c>
      <c r="B45" s="13">
        <v>99202</v>
      </c>
      <c r="G45" s="13">
        <v>201103</v>
      </c>
      <c r="H45" s="25" t="str">
        <f>IFERROR(VLOOKUP(G45,monster!A:D,4,0),"")</f>
        <v>跳虫</v>
      </c>
      <c r="I45" s="25" t="str" cm="1">
        <f t="array" ref="I45">_xlfn.LET(_xlpm.v6p,ABS(ATAN2(L45,M45))*6/PI(),
_xlpm.output,_xlfn.IFS(_xlpm.v6p&lt;1,"正前",_xlpm.v6p&gt;5,"正后",_xlpm.v6p&gt;4,"后上",_xlpm.v6p&lt;2,"前上",TRUE,"顶部"),
IFERROR(_xlpm.output,""))</f>
        <v>正前</v>
      </c>
      <c r="J45" s="22" t="s">
        <v>56</v>
      </c>
      <c r="K45" s="33" t="str">
        <f t="shared" si="11"/>
        <v>14,-1</v>
      </c>
      <c r="L45" s="48">
        <v>14</v>
      </c>
      <c r="M45" s="48">
        <v>-1</v>
      </c>
      <c r="N45" s="13">
        <v>1</v>
      </c>
      <c r="O45" s="33" t="str">
        <f t="shared" si="2"/>
        <v/>
      </c>
      <c r="R45" s="13">
        <v>0</v>
      </c>
      <c r="S45" s="13">
        <v>11</v>
      </c>
      <c r="T45" s="13">
        <v>0</v>
      </c>
      <c r="U45" s="13">
        <v>400</v>
      </c>
      <c r="V45" s="13">
        <v>0</v>
      </c>
      <c r="W45" s="26"/>
      <c r="X45" s="26"/>
    </row>
    <row r="46" spans="1:24" x14ac:dyDescent="0.2">
      <c r="A46" s="13">
        <v>99</v>
      </c>
      <c r="B46" s="13">
        <v>99203</v>
      </c>
      <c r="G46" s="13">
        <v>201103</v>
      </c>
      <c r="H46" s="25" t="str">
        <f>IFERROR(VLOOKUP(G46,monster!A:D,4,0),"")</f>
        <v>跳虫</v>
      </c>
      <c r="I46" s="25" t="str" cm="1">
        <f t="array" ref="I46">_xlfn.LET(_xlpm.v6p,ABS(ATAN2(L46,M46))*6/PI(),
_xlpm.output,_xlfn.IFS(_xlpm.v6p&lt;1,"正前",_xlpm.v6p&gt;5,"正后",_xlpm.v6p&gt;4,"后上",_xlpm.v6p&lt;2,"前上",TRUE,"顶部"),
IFERROR(_xlpm.output,""))</f>
        <v>顶部</v>
      </c>
      <c r="J46" s="22" t="s">
        <v>56</v>
      </c>
      <c r="K46" s="33" t="str">
        <f t="shared" ref="K46" si="12">L46+0&amp;","&amp;M46+0</f>
        <v>3,12</v>
      </c>
      <c r="L46" s="48">
        <v>3</v>
      </c>
      <c r="M46" s="48">
        <v>12</v>
      </c>
      <c r="N46" s="13">
        <v>1</v>
      </c>
      <c r="O46" s="33" t="str">
        <f t="shared" si="2"/>
        <v/>
      </c>
      <c r="R46" s="13">
        <v>0</v>
      </c>
      <c r="S46" s="13">
        <v>11</v>
      </c>
      <c r="T46" s="13">
        <v>0</v>
      </c>
      <c r="U46" s="13">
        <v>400</v>
      </c>
      <c r="V46" s="13">
        <v>0</v>
      </c>
      <c r="W46" s="26"/>
      <c r="X46" s="26"/>
    </row>
    <row r="47" spans="1:24" x14ac:dyDescent="0.2">
      <c r="A47" s="13">
        <v>99</v>
      </c>
      <c r="B47" s="13">
        <v>99204</v>
      </c>
      <c r="G47" s="13">
        <v>201103</v>
      </c>
      <c r="H47" s="25" t="str">
        <f>IFERROR(VLOOKUP(G47,monster!A:D,4,0),"")</f>
        <v>跳虫</v>
      </c>
      <c r="I47" s="25" t="str" cm="1">
        <f t="array" ref="I47">_xlfn.LET(_xlpm.v6p,ABS(ATAN2(L47,M47))*6/PI(),
_xlpm.output,_xlfn.IFS(_xlpm.v6p&lt;1,"正前",_xlpm.v6p&gt;5,"正后",_xlpm.v6p&gt;4,"后上",_xlpm.v6p&lt;2,"前上",TRUE,"顶部"),
IFERROR(_xlpm.output,""))</f>
        <v>顶部</v>
      </c>
      <c r="J47" s="22" t="s">
        <v>56</v>
      </c>
      <c r="K47" s="33" t="str">
        <f t="shared" ref="K47" si="13">L47+0&amp;","&amp;M47+0</f>
        <v>-3,12</v>
      </c>
      <c r="L47" s="48">
        <v>-3</v>
      </c>
      <c r="M47" s="48">
        <v>12</v>
      </c>
      <c r="N47" s="13">
        <v>1</v>
      </c>
      <c r="O47" s="33" t="str">
        <f t="shared" si="2"/>
        <v/>
      </c>
      <c r="R47" s="13">
        <v>0</v>
      </c>
      <c r="S47" s="13">
        <v>11</v>
      </c>
      <c r="T47" s="13">
        <v>0</v>
      </c>
      <c r="U47" s="13">
        <v>400</v>
      </c>
      <c r="V47" s="13">
        <v>0</v>
      </c>
      <c r="W47" s="26"/>
      <c r="X47" s="26"/>
    </row>
    <row r="48" spans="1:24" x14ac:dyDescent="0.2">
      <c r="H48" s="25" t="str">
        <f>IFERROR(VLOOKUP(G48,monster!A:D,4,0),"")</f>
        <v/>
      </c>
      <c r="O48" s="33" t="str">
        <f t="shared" si="2"/>
        <v/>
      </c>
    </row>
    <row r="49" spans="1:24" x14ac:dyDescent="0.2">
      <c r="A49" s="13">
        <v>99</v>
      </c>
      <c r="B49" s="13">
        <v>99001</v>
      </c>
      <c r="G49" s="13">
        <v>201104</v>
      </c>
      <c r="H49" s="25" t="str">
        <f>IFERROR(VLOOKUP(G49,monster!A:D,4,0),"")</f>
        <v>地宫洞穴人</v>
      </c>
      <c r="I49" s="25" t="str" cm="1">
        <f t="array" ref="I49">_xlfn.LET(_xlpm.v6p,ABS(ATAN2(L49,M49))*6/PI(),
_xlpm.output,_xlfn.IFS(_xlpm.v6p&lt;1,"正前",_xlpm.v6p&gt;5,"正后",_xlpm.v6p&gt;4,"后上",_xlpm.v6p&lt;2,"前上",TRUE,"顶部"),
IFERROR(_xlpm.output,""))</f>
        <v>正后</v>
      </c>
      <c r="J49" s="22" t="s">
        <v>56</v>
      </c>
      <c r="K49" s="33" t="str">
        <f t="shared" ref="K49:K52" si="14">L49+0&amp;","&amp;M49+0</f>
        <v>-14,-1</v>
      </c>
      <c r="L49" s="48">
        <v>-14</v>
      </c>
      <c r="M49" s="48">
        <v>-1</v>
      </c>
      <c r="N49" s="13">
        <v>0</v>
      </c>
      <c r="O49" s="33" t="str">
        <f t="shared" si="2"/>
        <v/>
      </c>
      <c r="R49" s="13">
        <v>0</v>
      </c>
      <c r="S49" s="13">
        <v>11</v>
      </c>
      <c r="T49" s="13">
        <v>0</v>
      </c>
      <c r="U49" s="13">
        <v>400</v>
      </c>
      <c r="V49" s="13">
        <v>0</v>
      </c>
      <c r="W49" s="26"/>
      <c r="X49" s="26"/>
    </row>
    <row r="50" spans="1:24" x14ac:dyDescent="0.2">
      <c r="A50" s="13">
        <v>99</v>
      </c>
      <c r="B50" s="13">
        <v>99002</v>
      </c>
      <c r="G50" s="13">
        <v>201104</v>
      </c>
      <c r="H50" s="25" t="str">
        <f>IFERROR(VLOOKUP(G50,monster!A:D,4,0),"")</f>
        <v>地宫洞穴人</v>
      </c>
      <c r="I50" s="25" t="str" cm="1">
        <f t="array" ref="I50">_xlfn.LET(_xlpm.v6p,ABS(ATAN2(L50,M50))*6/PI(),
_xlpm.output,_xlfn.IFS(_xlpm.v6p&lt;1,"正前",_xlpm.v6p&gt;5,"正后",_xlpm.v6p&gt;4,"后上",_xlpm.v6p&lt;2,"前上",TRUE,"顶部"),
IFERROR(_xlpm.output,""))</f>
        <v>正前</v>
      </c>
      <c r="J50" s="22" t="s">
        <v>56</v>
      </c>
      <c r="K50" s="33" t="str">
        <f t="shared" si="14"/>
        <v>14,-1</v>
      </c>
      <c r="L50" s="48">
        <v>14</v>
      </c>
      <c r="M50" s="48">
        <v>-1</v>
      </c>
      <c r="N50" s="13">
        <v>1</v>
      </c>
      <c r="O50" s="33" t="str">
        <f t="shared" si="2"/>
        <v/>
      </c>
      <c r="R50" s="13">
        <v>0</v>
      </c>
      <c r="S50" s="13">
        <v>11</v>
      </c>
      <c r="T50" s="13">
        <v>0</v>
      </c>
      <c r="U50" s="13">
        <v>400</v>
      </c>
      <c r="V50" s="13">
        <v>0</v>
      </c>
      <c r="W50" s="26"/>
      <c r="X50" s="26"/>
    </row>
    <row r="51" spans="1:24" x14ac:dyDescent="0.2">
      <c r="A51" s="13">
        <v>99</v>
      </c>
      <c r="B51" s="13">
        <v>99003</v>
      </c>
      <c r="G51" s="13">
        <v>201104</v>
      </c>
      <c r="H51" s="25" t="str">
        <f>IFERROR(VLOOKUP(G51,monster!A:D,4,0),"")</f>
        <v>地宫洞穴人</v>
      </c>
      <c r="I51" s="25" t="str" cm="1">
        <f t="array" ref="I51">_xlfn.LET(_xlpm.v6p,ABS(ATAN2(L51,M51))*6/PI(),
_xlpm.output,_xlfn.IFS(_xlpm.v6p&lt;1,"正前",_xlpm.v6p&gt;5,"正后",_xlpm.v6p&gt;4,"后上",_xlpm.v6p&lt;2,"前上",TRUE,"顶部"),
IFERROR(_xlpm.output,""))</f>
        <v>顶部</v>
      </c>
      <c r="J51" s="22" t="s">
        <v>56</v>
      </c>
      <c r="K51" s="33" t="str">
        <f t="shared" si="14"/>
        <v>4,12</v>
      </c>
      <c r="L51" s="48">
        <v>4</v>
      </c>
      <c r="M51" s="48">
        <v>12</v>
      </c>
      <c r="N51" s="13">
        <v>1</v>
      </c>
      <c r="O51" s="33" t="str">
        <f t="shared" si="2"/>
        <v/>
      </c>
      <c r="R51" s="13">
        <v>0</v>
      </c>
      <c r="S51" s="13">
        <v>11</v>
      </c>
      <c r="T51" s="13">
        <v>0</v>
      </c>
      <c r="U51" s="13">
        <v>400</v>
      </c>
      <c r="V51" s="13">
        <v>0</v>
      </c>
      <c r="W51" s="26"/>
      <c r="X51" s="26"/>
    </row>
    <row r="52" spans="1:24" x14ac:dyDescent="0.2">
      <c r="A52" s="13">
        <v>99</v>
      </c>
      <c r="B52" s="13">
        <v>99004</v>
      </c>
      <c r="G52" s="13">
        <v>201104</v>
      </c>
      <c r="H52" s="25" t="str">
        <f>IFERROR(VLOOKUP(G52,monster!A:D,4,0),"")</f>
        <v>地宫洞穴人</v>
      </c>
      <c r="I52" s="25" t="str" cm="1">
        <f t="array" ref="I52">_xlfn.LET(_xlpm.v6p,ABS(ATAN2(L52,M52))*6/PI(),
_xlpm.output,_xlfn.IFS(_xlpm.v6p&lt;1,"正前",_xlpm.v6p&gt;5,"正后",_xlpm.v6p&gt;4,"后上",_xlpm.v6p&lt;2,"前上",TRUE,"顶部"),
IFERROR(_xlpm.output,""))</f>
        <v>顶部</v>
      </c>
      <c r="J52" s="22" t="s">
        <v>56</v>
      </c>
      <c r="K52" s="33" t="str">
        <f t="shared" si="14"/>
        <v>-4,12</v>
      </c>
      <c r="L52" s="48">
        <v>-4</v>
      </c>
      <c r="M52" s="48">
        <v>12</v>
      </c>
      <c r="N52" s="13">
        <v>1</v>
      </c>
      <c r="O52" s="33" t="str">
        <f t="shared" si="2"/>
        <v/>
      </c>
      <c r="R52" s="13">
        <v>0</v>
      </c>
      <c r="S52" s="13">
        <v>11</v>
      </c>
      <c r="T52" s="13">
        <v>0</v>
      </c>
      <c r="U52" s="13">
        <v>400</v>
      </c>
      <c r="V52" s="13">
        <v>0</v>
      </c>
      <c r="W52" s="26"/>
      <c r="X52" s="26"/>
    </row>
    <row r="53" spans="1:24" x14ac:dyDescent="0.2">
      <c r="H53" s="25" t="str">
        <f>IFERROR(VLOOKUP(G53,monster!A:D,4,0),"")</f>
        <v/>
      </c>
      <c r="O53" s="33" t="str">
        <f t="shared" si="2"/>
        <v/>
      </c>
    </row>
    <row r="54" spans="1:24" x14ac:dyDescent="0.2">
      <c r="A54" s="13">
        <v>99</v>
      </c>
      <c r="B54" s="13">
        <v>99101</v>
      </c>
      <c r="G54" s="13">
        <v>201105</v>
      </c>
      <c r="H54" s="25" t="str">
        <f>IFERROR(VLOOKUP(G54,monster!A:D,4,0),"")</f>
        <v>跳虫骑手</v>
      </c>
      <c r="I54" s="25" t="str" cm="1">
        <f t="array" ref="I54">_xlfn.LET(_xlpm.v6p,ABS(ATAN2(L54,M54))*6/PI(),
_xlpm.output,_xlfn.IFS(_xlpm.v6p&lt;1,"正前",_xlpm.v6p&gt;5,"正后",_xlpm.v6p&gt;4,"后上",_xlpm.v6p&lt;2,"前上",TRUE,"顶部"),
IFERROR(_xlpm.output,""))</f>
        <v>正前</v>
      </c>
      <c r="J54" s="22" t="s">
        <v>56</v>
      </c>
      <c r="K54" s="33" t="str">
        <f t="shared" ref="K54:K56" si="15">L54+0&amp;","&amp;M54+0</f>
        <v>14,-1</v>
      </c>
      <c r="L54" s="48">
        <v>14</v>
      </c>
      <c r="M54" s="48">
        <v>-1</v>
      </c>
      <c r="N54" s="13">
        <v>1</v>
      </c>
      <c r="O54" s="33" t="str">
        <f t="shared" si="2"/>
        <v/>
      </c>
      <c r="R54" s="13">
        <v>0</v>
      </c>
      <c r="S54" s="13">
        <v>11</v>
      </c>
      <c r="T54" s="13">
        <v>0</v>
      </c>
      <c r="U54" s="13">
        <v>400</v>
      </c>
      <c r="V54" s="13">
        <v>0</v>
      </c>
      <c r="W54" s="26"/>
      <c r="X54" s="26"/>
    </row>
    <row r="55" spans="1:24" x14ac:dyDescent="0.2">
      <c r="A55" s="33">
        <v>99</v>
      </c>
      <c r="B55" s="13">
        <v>99103</v>
      </c>
      <c r="G55" s="13">
        <v>201105</v>
      </c>
      <c r="H55" s="25" t="str">
        <f>IFERROR(VLOOKUP(G55,monster!A:D,4,0),"")</f>
        <v>跳虫骑手</v>
      </c>
      <c r="I55" s="25" t="str" cm="1">
        <f t="array" ref="I55">_xlfn.LET(_xlpm.v6p,ABS(ATAN2(L55,M55))*6/PI(),
_xlpm.output,_xlfn.IFS(_xlpm.v6p&lt;1,"正前",_xlpm.v6p&gt;5,"正后",_xlpm.v6p&gt;4,"后上",_xlpm.v6p&lt;2,"前上",TRUE,"顶部"),
IFERROR(_xlpm.output,""))</f>
        <v>前上</v>
      </c>
      <c r="J55" s="22" t="s">
        <v>56</v>
      </c>
      <c r="K55" s="33" t="str">
        <f t="shared" si="15"/>
        <v>7,12</v>
      </c>
      <c r="L55" s="48">
        <v>7</v>
      </c>
      <c r="M55" s="48">
        <v>12</v>
      </c>
      <c r="N55" s="13">
        <v>1</v>
      </c>
      <c r="O55" s="33" t="str">
        <f t="shared" si="2"/>
        <v/>
      </c>
      <c r="R55" s="13">
        <v>0</v>
      </c>
      <c r="S55" s="13">
        <v>11</v>
      </c>
      <c r="T55" s="13">
        <v>0</v>
      </c>
      <c r="U55" s="13">
        <v>400</v>
      </c>
      <c r="V55" s="13">
        <v>0</v>
      </c>
      <c r="W55" s="26"/>
      <c r="X55" s="26"/>
    </row>
    <row r="56" spans="1:24" x14ac:dyDescent="0.2">
      <c r="A56" s="33">
        <v>99</v>
      </c>
      <c r="B56" s="13">
        <v>99104</v>
      </c>
      <c r="G56" s="13">
        <v>201105</v>
      </c>
      <c r="H56" s="25" t="str">
        <f>IFERROR(VLOOKUP(G56,monster!A:D,4,0),"")</f>
        <v>跳虫骑手</v>
      </c>
      <c r="I56" s="25" t="str" cm="1">
        <f t="array" ref="I56">_xlfn.LET(_xlpm.v6p,ABS(ATAN2(L56,M56))*6/PI(),
_xlpm.output,_xlfn.IFS(_xlpm.v6p&lt;1,"正前",_xlpm.v6p&gt;5,"正后",_xlpm.v6p&gt;4,"后上",_xlpm.v6p&lt;2,"前上",TRUE,"顶部"),
IFERROR(_xlpm.output,""))</f>
        <v>后上</v>
      </c>
      <c r="J56" s="22" t="s">
        <v>56</v>
      </c>
      <c r="K56" s="33" t="str">
        <f t="shared" si="15"/>
        <v>-7,12</v>
      </c>
      <c r="L56" s="48">
        <v>-7</v>
      </c>
      <c r="M56" s="48">
        <v>12</v>
      </c>
      <c r="N56" s="13">
        <v>1</v>
      </c>
      <c r="O56" s="33" t="str">
        <f t="shared" si="2"/>
        <v/>
      </c>
      <c r="R56" s="13">
        <v>0</v>
      </c>
      <c r="S56" s="13">
        <v>11</v>
      </c>
      <c r="T56" s="13">
        <v>0</v>
      </c>
      <c r="U56" s="13">
        <v>400</v>
      </c>
      <c r="V56" s="13">
        <v>0</v>
      </c>
      <c r="W56" s="26"/>
      <c r="X56" s="26"/>
    </row>
    <row r="57" spans="1:24" x14ac:dyDescent="0.2">
      <c r="H57" s="25" t="str">
        <f>IFERROR(VLOOKUP(G57,monster!A:D,4,0),"")</f>
        <v/>
      </c>
      <c r="O57" s="33" t="str">
        <f t="shared" si="2"/>
        <v/>
      </c>
    </row>
    <row r="58" spans="1:24" x14ac:dyDescent="0.2">
      <c r="A58" s="33">
        <v>99</v>
      </c>
      <c r="B58" s="13">
        <v>99301</v>
      </c>
      <c r="G58" s="13">
        <v>201106</v>
      </c>
      <c r="H58" s="25" t="str">
        <f>IFERROR(VLOOKUP(G58,monster!A:D,4,0),"")</f>
        <v>蝙蝠骑手</v>
      </c>
      <c r="I58" s="25" t="str" cm="1">
        <f t="array" ref="I58">_xlfn.LET(_xlpm.v6p,ABS(ATAN2(L58,M58))*6/PI(),
_xlpm.output,_xlfn.IFS(_xlpm.v6p&lt;1,"正前",_xlpm.v6p&gt;5,"正后",_xlpm.v6p&gt;4,"后上",_xlpm.v6p&lt;2,"前上",TRUE,"顶部"),
IFERROR(_xlpm.output,""))</f>
        <v>前上</v>
      </c>
      <c r="J58" s="22" t="s">
        <v>56</v>
      </c>
      <c r="K58" s="33" t="str">
        <f t="shared" ref="K58:K59" si="16">L58+0&amp;","&amp;M58+0</f>
        <v>7,12</v>
      </c>
      <c r="L58" s="48">
        <v>7</v>
      </c>
      <c r="M58" s="48">
        <v>12</v>
      </c>
      <c r="N58" s="13">
        <v>1</v>
      </c>
      <c r="O58" s="33" t="str">
        <f t="shared" si="2"/>
        <v/>
      </c>
      <c r="R58" s="13">
        <v>0</v>
      </c>
      <c r="S58" s="13">
        <v>11</v>
      </c>
      <c r="T58" s="13">
        <v>0</v>
      </c>
      <c r="U58" s="13">
        <v>400</v>
      </c>
      <c r="V58" s="13">
        <v>0</v>
      </c>
      <c r="W58" s="26"/>
      <c r="X58" s="26"/>
    </row>
    <row r="59" spans="1:24" x14ac:dyDescent="0.2">
      <c r="A59" s="33">
        <v>99</v>
      </c>
      <c r="B59" s="13">
        <v>33302</v>
      </c>
      <c r="G59" s="13">
        <v>201106</v>
      </c>
      <c r="H59" s="25" t="str">
        <f>IFERROR(VLOOKUP(G59,monster!A:D,4,0),"")</f>
        <v>蝙蝠骑手</v>
      </c>
      <c r="I59" s="25" t="str" cm="1">
        <f t="array" ref="I59">_xlfn.LET(_xlpm.v6p,ABS(ATAN2(L59,M59))*6/PI(),
_xlpm.output,_xlfn.IFS(_xlpm.v6p&lt;1,"正前",_xlpm.v6p&gt;5,"正后",_xlpm.v6p&gt;4,"后上",_xlpm.v6p&lt;2,"前上",TRUE,"顶部"),
IFERROR(_xlpm.output,""))</f>
        <v>后上</v>
      </c>
      <c r="J59" s="22" t="s">
        <v>56</v>
      </c>
      <c r="K59" s="33" t="str">
        <f t="shared" si="16"/>
        <v>-7,12</v>
      </c>
      <c r="L59" s="48">
        <v>-7</v>
      </c>
      <c r="M59" s="48">
        <v>12</v>
      </c>
      <c r="N59" s="13">
        <v>1</v>
      </c>
      <c r="O59" s="33" t="str">
        <f t="shared" si="2"/>
        <v/>
      </c>
      <c r="R59" s="13">
        <v>0</v>
      </c>
      <c r="S59" s="13">
        <v>11</v>
      </c>
      <c r="T59" s="13">
        <v>0</v>
      </c>
      <c r="U59" s="13">
        <v>400</v>
      </c>
      <c r="V59" s="13">
        <v>0</v>
      </c>
      <c r="W59" s="26"/>
      <c r="X59" s="26"/>
    </row>
  </sheetData>
  <phoneticPr fontId="12" type="noConversion"/>
  <conditionalFormatting sqref="B1:B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4CAE-7EA6-4371-A095-945131482552}">
  <dimension ref="A1:I36"/>
  <sheetViews>
    <sheetView workbookViewId="0">
      <selection activeCell="N16" sqref="N16"/>
    </sheetView>
  </sheetViews>
  <sheetFormatPr defaultColWidth="12.5" defaultRowHeight="14.25" x14ac:dyDescent="0.2"/>
  <cols>
    <col min="1" max="16384" width="12.5" style="28"/>
  </cols>
  <sheetData>
    <row r="1" spans="1:9" s="27" customFormat="1" x14ac:dyDescent="0.2">
      <c r="A1" s="27" t="s">
        <v>58</v>
      </c>
      <c r="B1" s="27" t="s">
        <v>59</v>
      </c>
      <c r="C1" s="27" t="s">
        <v>64</v>
      </c>
      <c r="D1" s="27" t="s">
        <v>60</v>
      </c>
      <c r="E1" s="27" t="s">
        <v>61</v>
      </c>
      <c r="F1" s="27" t="s">
        <v>65</v>
      </c>
      <c r="G1" s="28"/>
      <c r="H1" s="28"/>
    </row>
    <row r="2" spans="1:9" x14ac:dyDescent="0.2">
      <c r="A2" s="52" t="s">
        <v>63</v>
      </c>
      <c r="B2" s="52"/>
      <c r="C2" s="52" t="s">
        <v>66</v>
      </c>
      <c r="D2" s="52"/>
      <c r="E2" s="52" t="s">
        <v>62</v>
      </c>
      <c r="F2" s="52"/>
    </row>
    <row r="3" spans="1:9" x14ac:dyDescent="0.2">
      <c r="C3" s="52" t="s">
        <v>67</v>
      </c>
      <c r="D3" s="52"/>
    </row>
    <row r="5" spans="1:9" x14ac:dyDescent="0.2">
      <c r="A5" s="52" t="s">
        <v>123</v>
      </c>
      <c r="B5" s="52"/>
      <c r="C5" s="52" t="s">
        <v>66</v>
      </c>
      <c r="D5" s="52"/>
      <c r="E5" s="52" t="s">
        <v>62</v>
      </c>
      <c r="F5" s="52"/>
      <c r="H5" s="49" t="s">
        <v>200</v>
      </c>
    </row>
    <row r="6" spans="1:9" x14ac:dyDescent="0.2">
      <c r="C6" s="52" t="s">
        <v>67</v>
      </c>
      <c r="D6" s="52"/>
      <c r="H6" s="38" t="s">
        <v>0</v>
      </c>
      <c r="I6" s="39" t="s">
        <v>145</v>
      </c>
    </row>
    <row r="7" spans="1:9" x14ac:dyDescent="0.2">
      <c r="H7" s="38">
        <v>6000</v>
      </c>
      <c r="I7" s="38" t="s">
        <v>141</v>
      </c>
    </row>
    <row r="8" spans="1:9" x14ac:dyDescent="0.2">
      <c r="H8" s="38">
        <v>6001</v>
      </c>
      <c r="I8" s="38" t="s">
        <v>142</v>
      </c>
    </row>
    <row r="9" spans="1:9" x14ac:dyDescent="0.2">
      <c r="H9" s="38"/>
      <c r="I9" s="38"/>
    </row>
    <row r="10" spans="1:9" x14ac:dyDescent="0.2">
      <c r="H10" s="38">
        <v>6010</v>
      </c>
      <c r="I10" s="38" t="s">
        <v>160</v>
      </c>
    </row>
    <row r="11" spans="1:9" x14ac:dyDescent="0.2">
      <c r="H11" s="38">
        <v>6011</v>
      </c>
      <c r="I11" s="38" t="s">
        <v>161</v>
      </c>
    </row>
    <row r="12" spans="1:9" x14ac:dyDescent="0.2">
      <c r="H12" s="38">
        <v>6012</v>
      </c>
      <c r="I12" s="38" t="s">
        <v>162</v>
      </c>
    </row>
    <row r="13" spans="1:9" x14ac:dyDescent="0.2">
      <c r="H13" s="38">
        <v>6013</v>
      </c>
      <c r="I13" s="38" t="s">
        <v>177</v>
      </c>
    </row>
    <row r="14" spans="1:9" x14ac:dyDescent="0.2">
      <c r="H14" s="38">
        <v>6014</v>
      </c>
      <c r="I14" s="38" t="s">
        <v>178</v>
      </c>
    </row>
    <row r="15" spans="1:9" x14ac:dyDescent="0.2">
      <c r="H15" s="38"/>
      <c r="I15" s="38"/>
    </row>
    <row r="16" spans="1:9" x14ac:dyDescent="0.2">
      <c r="H16" s="38">
        <v>6020</v>
      </c>
      <c r="I16" s="38" t="s">
        <v>163</v>
      </c>
    </row>
    <row r="17" spans="8:9" x14ac:dyDescent="0.2">
      <c r="H17" s="38">
        <v>6021</v>
      </c>
      <c r="I17" s="38" t="s">
        <v>143</v>
      </c>
    </row>
    <row r="18" spans="8:9" x14ac:dyDescent="0.2">
      <c r="H18" s="38">
        <v>6022</v>
      </c>
      <c r="I18" s="38" t="s">
        <v>164</v>
      </c>
    </row>
    <row r="19" spans="8:9" x14ac:dyDescent="0.2">
      <c r="H19" s="38">
        <v>6023</v>
      </c>
      <c r="I19" s="38" t="s">
        <v>165</v>
      </c>
    </row>
    <row r="20" spans="8:9" x14ac:dyDescent="0.2">
      <c r="H20" s="38"/>
      <c r="I20" s="38"/>
    </row>
    <row r="21" spans="8:9" x14ac:dyDescent="0.2">
      <c r="H21" s="38">
        <v>6030</v>
      </c>
      <c r="I21" s="38" t="s">
        <v>166</v>
      </c>
    </row>
    <row r="22" spans="8:9" x14ac:dyDescent="0.2">
      <c r="H22" s="38">
        <v>6031</v>
      </c>
      <c r="I22" s="38" t="s">
        <v>158</v>
      </c>
    </row>
    <row r="23" spans="8:9" x14ac:dyDescent="0.2">
      <c r="H23" s="38"/>
      <c r="I23" s="38"/>
    </row>
    <row r="24" spans="8:9" x14ac:dyDescent="0.2">
      <c r="H24" s="38">
        <v>6050</v>
      </c>
      <c r="I24" s="38" t="s">
        <v>167</v>
      </c>
    </row>
    <row r="25" spans="8:9" x14ac:dyDescent="0.2">
      <c r="H25" s="38">
        <v>6051</v>
      </c>
      <c r="I25" s="38" t="s">
        <v>168</v>
      </c>
    </row>
    <row r="26" spans="8:9" x14ac:dyDescent="0.2">
      <c r="H26" s="38">
        <v>6052</v>
      </c>
      <c r="I26" s="38" t="s">
        <v>169</v>
      </c>
    </row>
    <row r="27" spans="8:9" x14ac:dyDescent="0.2">
      <c r="H27" s="38">
        <v>6053</v>
      </c>
      <c r="I27" s="38" t="s">
        <v>170</v>
      </c>
    </row>
    <row r="28" spans="8:9" x14ac:dyDescent="0.2">
      <c r="H28" s="38">
        <v>6054</v>
      </c>
      <c r="I28" s="38" t="s">
        <v>171</v>
      </c>
    </row>
    <row r="29" spans="8:9" x14ac:dyDescent="0.2">
      <c r="H29" s="38">
        <v>6055</v>
      </c>
      <c r="I29" s="38" t="s">
        <v>172</v>
      </c>
    </row>
    <row r="30" spans="8:9" x14ac:dyDescent="0.2">
      <c r="H30" s="38">
        <v>6056</v>
      </c>
      <c r="I30" s="38" t="s">
        <v>179</v>
      </c>
    </row>
    <row r="31" spans="8:9" x14ac:dyDescent="0.2">
      <c r="H31" s="38"/>
      <c r="I31" s="38"/>
    </row>
    <row r="32" spans="8:9" x14ac:dyDescent="0.2">
      <c r="H32" s="38">
        <v>6070</v>
      </c>
      <c r="I32" s="38" t="s">
        <v>173</v>
      </c>
    </row>
    <row r="33" spans="8:9" x14ac:dyDescent="0.2">
      <c r="H33" s="38">
        <v>6071</v>
      </c>
      <c r="I33" s="38" t="s">
        <v>174</v>
      </c>
    </row>
    <row r="34" spans="8:9" x14ac:dyDescent="0.2">
      <c r="H34" s="38">
        <v>6072</v>
      </c>
      <c r="I34" s="38" t="s">
        <v>144</v>
      </c>
    </row>
    <row r="35" spans="8:9" x14ac:dyDescent="0.2">
      <c r="H35" s="38">
        <v>6073</v>
      </c>
      <c r="I35" s="38" t="s">
        <v>175</v>
      </c>
    </row>
    <row r="36" spans="8:9" x14ac:dyDescent="0.2">
      <c r="H36" s="38">
        <v>6074</v>
      </c>
      <c r="I36" s="38" t="s">
        <v>176</v>
      </c>
    </row>
  </sheetData>
  <mergeCells count="8">
    <mergeCell ref="C6:D6"/>
    <mergeCell ref="A2:B2"/>
    <mergeCell ref="C2:D2"/>
    <mergeCell ref="E2:F2"/>
    <mergeCell ref="C3:D3"/>
    <mergeCell ref="A5:B5"/>
    <mergeCell ref="C5:D5"/>
    <mergeCell ref="E5:F5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monster</vt:lpstr>
      <vt:lpstr>-loot_list辅助配置表</vt:lpstr>
      <vt:lpstr>sub_monster_car</vt:lpstr>
      <vt:lpstr>monster_group</vt:lpstr>
      <vt:lpstr>-id 配置说明</vt:lpstr>
      <vt:lpstr>ref_loot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2025-03-18T10:26:00Z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