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007E90CF-1485-4C7A-B056-5DA9354466B5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melee_logic" sheetId="4" r:id="rId1"/>
    <sheet name="fire_logic" sheetId="3" r:id="rId2"/>
    <sheet name="hook_logic" sheetId="5" r:id="rId3"/>
    <sheet name="shield_logic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6" l="1"/>
  <c r="O4" i="6"/>
  <c r="R4" i="4"/>
  <c r="S5" i="4"/>
  <c r="S6" i="4"/>
  <c r="S7" i="4"/>
  <c r="S8" i="4"/>
  <c r="S9" i="4"/>
  <c r="S4" i="4"/>
  <c r="R5" i="4"/>
  <c r="R6" i="4"/>
  <c r="R7" i="4"/>
  <c r="R8" i="4"/>
  <c r="R9" i="4"/>
  <c r="G4" i="6" a="1"/>
  <c r="G4" i="6" s="1"/>
  <c r="E4" i="6"/>
  <c r="U10" i="3"/>
  <c r="W10" i="3"/>
  <c r="AA10" i="3"/>
  <c r="Z10" i="3"/>
  <c r="AA9" i="3"/>
  <c r="Z9" i="3"/>
  <c r="U9" i="3"/>
  <c r="AA14" i="3"/>
  <c r="Z14" i="3"/>
  <c r="Y14" i="3" s="1" a="1"/>
  <c r="Y14" i="3" s="1"/>
  <c r="U14" i="3"/>
  <c r="U4" i="3"/>
  <c r="Z5" i="3"/>
  <c r="Z6" i="3"/>
  <c r="X6" i="3" s="1"/>
  <c r="Z7" i="3"/>
  <c r="Z8" i="3"/>
  <c r="AM8" i="3" s="1"/>
  <c r="Z11" i="3"/>
  <c r="Z12" i="3"/>
  <c r="X12" i="3" s="1"/>
  <c r="Z4" i="3"/>
  <c r="X4" i="3" s="1"/>
  <c r="AA5" i="3"/>
  <c r="AA6" i="3"/>
  <c r="AA7" i="3"/>
  <c r="AA8" i="3"/>
  <c r="AA11" i="3"/>
  <c r="AA12" i="3"/>
  <c r="AA4" i="3"/>
  <c r="AM5" i="3"/>
  <c r="AN7" i="3"/>
  <c r="U8" i="3"/>
  <c r="W6" i="3"/>
  <c r="U6" i="3"/>
  <c r="U5" i="3"/>
  <c r="AM11" i="3"/>
  <c r="AN11" i="3"/>
  <c r="AI5" i="3"/>
  <c r="AI6" i="3"/>
  <c r="AI7" i="3"/>
  <c r="AI8" i="3"/>
  <c r="AI9" i="3"/>
  <c r="AI10" i="3"/>
  <c r="AK10" i="3" s="1"/>
  <c r="AI11" i="3"/>
  <c r="AO11" i="3" s="1"/>
  <c r="AI12" i="3"/>
  <c r="AI14" i="3"/>
  <c r="AI4" i="3"/>
  <c r="AL14" i="3"/>
  <c r="AL5" i="3"/>
  <c r="AL6" i="3"/>
  <c r="AL7" i="3"/>
  <c r="AL8" i="3"/>
  <c r="AL9" i="3"/>
  <c r="AL10" i="3"/>
  <c r="AL11" i="3"/>
  <c r="AL12" i="3"/>
  <c r="AL4" i="3"/>
  <c r="AJ5" i="3"/>
  <c r="AJ6" i="3"/>
  <c r="AJ7" i="3"/>
  <c r="AJ8" i="3"/>
  <c r="AJ9" i="3"/>
  <c r="AJ10" i="3"/>
  <c r="AJ11" i="3"/>
  <c r="AJ12" i="3"/>
  <c r="AJ14" i="3"/>
  <c r="AJ17" i="3"/>
  <c r="AJ18" i="3"/>
  <c r="AK18" i="3" s="1"/>
  <c r="AJ19" i="3"/>
  <c r="AK19" i="3" s="1"/>
  <c r="AJ4" i="3"/>
  <c r="AI17" i="3"/>
  <c r="AI18" i="3"/>
  <c r="AI19" i="3"/>
  <c r="U7" i="3"/>
  <c r="X11" i="3"/>
  <c r="U11" i="3"/>
  <c r="U12" i="3"/>
  <c r="W12" i="3"/>
  <c r="W14" i="3"/>
  <c r="W4" i="3"/>
  <c r="W5" i="3"/>
  <c r="W7" i="3"/>
  <c r="W8" i="3"/>
  <c r="W9" i="3"/>
  <c r="W11" i="3"/>
  <c r="K19" i="3"/>
  <c r="H19" i="3"/>
  <c r="G19" i="3"/>
  <c r="K18" i="3"/>
  <c r="H18" i="3"/>
  <c r="G18" i="3"/>
  <c r="K17" i="3"/>
  <c r="H17" i="3"/>
  <c r="G17" i="3"/>
  <c r="K7" i="4" a="1"/>
  <c r="K7" i="4" s="1"/>
  <c r="K4" i="4" a="1"/>
  <c r="K4" i="4" s="1"/>
  <c r="N5" i="5"/>
  <c r="N6" i="5"/>
  <c r="N7" i="5"/>
  <c r="N8" i="5"/>
  <c r="N4" i="5"/>
  <c r="E6" i="5"/>
  <c r="G7" i="4" a="1"/>
  <c r="G7" i="4" s="1"/>
  <c r="E7" i="4"/>
  <c r="Y9" i="3" l="1" a="1"/>
  <c r="Y9" i="3" s="1"/>
  <c r="X9" i="3"/>
  <c r="Y10" i="3" a="1"/>
  <c r="Y10" i="3" s="1"/>
  <c r="X10" i="3"/>
  <c r="AN10" i="3"/>
  <c r="AQ10" i="3" s="1"/>
  <c r="AM10" i="3"/>
  <c r="AP10" i="3" s="1"/>
  <c r="AM9" i="3"/>
  <c r="AP9" i="3" s="1"/>
  <c r="AO9" i="3"/>
  <c r="AN14" i="3"/>
  <c r="AQ14" i="3" s="1"/>
  <c r="AM14" i="3"/>
  <c r="AP14" i="3" s="1"/>
  <c r="AO14" i="3"/>
  <c r="X14" i="3"/>
  <c r="AP11" i="3"/>
  <c r="AR11" i="3" s="1"/>
  <c r="AQ11" i="3"/>
  <c r="AO10" i="3"/>
  <c r="AO7" i="3"/>
  <c r="AK7" i="3"/>
  <c r="AQ7" i="3"/>
  <c r="AO8" i="3"/>
  <c r="AP8" i="3"/>
  <c r="AO12" i="3"/>
  <c r="AK6" i="3"/>
  <c r="AO6" i="3"/>
  <c r="AO5" i="3"/>
  <c r="AP5" i="3"/>
  <c r="AN9" i="3"/>
  <c r="AQ9" i="3" s="1"/>
  <c r="Y8" i="3" a="1"/>
  <c r="Y8" i="3" s="1"/>
  <c r="AM7" i="3"/>
  <c r="AP7" i="3" s="1"/>
  <c r="AN8" i="3"/>
  <c r="AQ8" i="3" s="1"/>
  <c r="Y4" i="3" a="1"/>
  <c r="Y4" i="3" s="1"/>
  <c r="AM4" i="3"/>
  <c r="AP4" i="3" s="1"/>
  <c r="AN4" i="3"/>
  <c r="AQ4" i="3" s="1"/>
  <c r="X8" i="3"/>
  <c r="Y6" i="3" a="1"/>
  <c r="Y6" i="3" s="1"/>
  <c r="AN6" i="3"/>
  <c r="AQ6" i="3" s="1"/>
  <c r="AM6" i="3"/>
  <c r="AP6" i="3" s="1"/>
  <c r="Y5" i="3" a="1"/>
  <c r="Y5" i="3" s="1"/>
  <c r="X5" i="3"/>
  <c r="AN5" i="3"/>
  <c r="AQ5" i="3" s="1"/>
  <c r="AO4" i="3"/>
  <c r="AN12" i="3"/>
  <c r="AQ12" i="3" s="1"/>
  <c r="AM12" i="3"/>
  <c r="AP12" i="3" s="1"/>
  <c r="AK11" i="3"/>
  <c r="AK9" i="3"/>
  <c r="AK12" i="3"/>
  <c r="AK4" i="3"/>
  <c r="AK14" i="3"/>
  <c r="AK5" i="3"/>
  <c r="AK17" i="3"/>
  <c r="AK8" i="3"/>
  <c r="Y7" i="3" a="1"/>
  <c r="Y7" i="3" s="1"/>
  <c r="X7" i="3"/>
  <c r="Y12" i="3" a="1"/>
  <c r="Y12" i="3" s="1"/>
  <c r="Y11" i="3" a="1"/>
  <c r="Y11" i="3" s="1"/>
  <c r="G6" i="4" a="1"/>
  <c r="G6" i="4" s="1"/>
  <c r="E6" i="4"/>
  <c r="AR10" i="3" l="1"/>
  <c r="AR9" i="3"/>
  <c r="AR14" i="3"/>
  <c r="AR8" i="3"/>
  <c r="AR7" i="3"/>
  <c r="AR5" i="3"/>
  <c r="AR12" i="3"/>
  <c r="AR4" i="3"/>
  <c r="AR6" i="3"/>
  <c r="G5" i="4" a="1"/>
  <c r="G5" i="4" s="1"/>
  <c r="E5" i="4"/>
  <c r="G4" i="4" a="1"/>
  <c r="G4" i="4" s="1"/>
  <c r="E4" i="4"/>
  <c r="G8" i="4" a="1"/>
  <c r="G8" i="4" s="1"/>
  <c r="G9" i="4" a="1"/>
  <c r="G9" i="4" s="1"/>
  <c r="E8" i="5"/>
  <c r="E7" i="5"/>
  <c r="E5" i="5" l="1"/>
  <c r="E4" i="5"/>
  <c r="AD12" i="3"/>
  <c r="AC12" i="3"/>
  <c r="K12" i="3"/>
  <c r="H12" i="3"/>
  <c r="G12" i="3"/>
  <c r="AD11" i="3" l="1"/>
  <c r="AC11" i="3"/>
  <c r="K11" i="3"/>
  <c r="H11" i="3"/>
  <c r="G11" i="3"/>
  <c r="AD10" i="3"/>
  <c r="AC10" i="3"/>
  <c r="K10" i="3"/>
  <c r="H10" i="3"/>
  <c r="G10" i="3"/>
  <c r="E9" i="4" l="1"/>
  <c r="E8" i="4"/>
  <c r="AD9" i="3"/>
  <c r="AC9" i="3"/>
  <c r="K9" i="3"/>
  <c r="H9" i="3"/>
  <c r="G9" i="3"/>
  <c r="AD8" i="3"/>
  <c r="AC8" i="3"/>
  <c r="K8" i="3"/>
  <c r="H8" i="3"/>
  <c r="G8" i="3"/>
  <c r="AD7" i="3"/>
  <c r="AC7" i="3"/>
  <c r="K7" i="3"/>
  <c r="H7" i="3"/>
  <c r="G7" i="3"/>
  <c r="AD5" i="3" l="1"/>
  <c r="AD6" i="3"/>
  <c r="AD14" i="3"/>
  <c r="AD4" i="3"/>
  <c r="G5" i="3"/>
  <c r="G6" i="3"/>
  <c r="G14" i="3"/>
  <c r="G4" i="3"/>
  <c r="H5" i="3"/>
  <c r="AC14" i="3"/>
  <c r="K14" i="3"/>
  <c r="H14" i="3"/>
  <c r="K5" i="3"/>
  <c r="K6" i="3"/>
  <c r="K4" i="3"/>
  <c r="AC6" i="3"/>
  <c r="H6" i="3"/>
  <c r="AC5" i="3"/>
  <c r="AC4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<sst xmlns="http://schemas.openxmlformats.org/spreadsheetml/2006/main" count="262" uniqueCount="155">
  <si>
    <t>logic_id</t>
  </si>
  <si>
    <t>projectile_id</t>
  </si>
  <si>
    <t>speed</t>
  </si>
  <si>
    <t>repeat</t>
  </si>
  <si>
    <t>salvo</t>
  </si>
  <si>
    <t>angle</t>
  </si>
  <si>
    <t>bone_name</t>
  </si>
  <si>
    <t>tick_percent</t>
  </si>
  <si>
    <t>damage</t>
  </si>
  <si>
    <t>uint key</t>
  </si>
  <si>
    <t>uint</t>
  </si>
  <si>
    <t>(float,float)</t>
  </si>
  <si>
    <t>float</t>
  </si>
  <si>
    <t>string</t>
  </si>
  <si>
    <t>int</t>
  </si>
  <si>
    <t>发射逻辑id</t>
  </si>
  <si>
    <t>飞射物id</t>
  </si>
  <si>
    <t>初速度</t>
  </si>
  <si>
    <t>散布角度</t>
  </si>
  <si>
    <t>初始骨骼</t>
  </si>
  <si>
    <t>射击帧</t>
  </si>
  <si>
    <t>总帧数</t>
  </si>
  <si>
    <t>伤害</t>
  </si>
  <si>
    <t>proj_muzzel</t>
  </si>
  <si>
    <t>projectile_life_ticks</t>
    <phoneticPr fontId="9" type="noConversion"/>
  </si>
  <si>
    <t>(int,int)</t>
    <phoneticPr fontId="9" type="noConversion"/>
  </si>
  <si>
    <t>飞射物寿命</t>
    <phoneticPr fontId="9" type="noConversion"/>
  </si>
  <si>
    <t>辅助列
初速度
min</t>
    <phoneticPr fontId="9" type="noConversion"/>
  </si>
  <si>
    <t>辅助列
初速度
max</t>
    <phoneticPr fontId="9" type="noConversion"/>
  </si>
  <si>
    <t>辅助列
寿命
min</t>
    <phoneticPr fontId="9" type="noConversion"/>
  </si>
  <si>
    <t>辅助列
寿命
max</t>
    <phoneticPr fontId="9" type="noConversion"/>
  </si>
  <si>
    <t>int</t>
    <phoneticPr fontId="9" type="noConversion"/>
  </si>
  <si>
    <t>cd</t>
    <phoneticPr fontId="9" type="noConversion"/>
  </si>
  <si>
    <r>
      <t xml:space="preserve">攻击间隔
</t>
    </r>
    <r>
      <rPr>
        <sz val="11"/>
        <color theme="1"/>
        <rFont val="等线"/>
        <family val="3"/>
        <charset val="134"/>
        <scheme val="minor"/>
      </rPr>
      <t>(帧)</t>
    </r>
    <phoneticPr fontId="9" type="noConversion"/>
  </si>
  <si>
    <t>备注
(秒)</t>
    <phoneticPr fontId="9" type="noConversion"/>
  </si>
  <si>
    <t>rapid_fire_tick_percent</t>
    <phoneticPr fontId="9" type="noConversion"/>
  </si>
  <si>
    <t>打断帧</t>
    <phoneticPr fontId="9" type="noConversion"/>
  </si>
  <si>
    <r>
      <t xml:space="preserve">齐发数
</t>
    </r>
    <r>
      <rPr>
        <i/>
        <sz val="11"/>
        <color theme="1"/>
        <rFont val="等线"/>
        <family val="3"/>
        <charset val="134"/>
        <scheme val="minor"/>
      </rPr>
      <t>单次射击多个子弹</t>
    </r>
    <phoneticPr fontId="9" type="noConversion"/>
  </si>
  <si>
    <r>
      <t xml:space="preserve">连发数
</t>
    </r>
    <r>
      <rPr>
        <i/>
        <sz val="11"/>
        <color theme="1"/>
        <rFont val="等线"/>
        <family val="3"/>
        <charset val="134"/>
        <scheme val="minor"/>
      </rPr>
      <t>连续射击</t>
    </r>
    <phoneticPr fontId="9" type="noConversion"/>
  </si>
  <si>
    <t>uint</t>
    <phoneticPr fontId="9" type="noConversion"/>
  </si>
  <si>
    <t>备注2
设备/怪物</t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</si>
  <si>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单轮伤害</t>
    </r>
    <phoneticPr fontId="9" type="noConversion"/>
  </si>
  <si>
    <t>弓箭</t>
  </si>
  <si>
    <t>单发火枪</t>
  </si>
  <si>
    <t>百子连珠炮</t>
  </si>
  <si>
    <t>机关箭匣</t>
  </si>
  <si>
    <t>车载投石器</t>
    <phoneticPr fontId="9" type="noConversion"/>
  </si>
  <si>
    <t>火箭爆弹</t>
    <phoneticPr fontId="9" type="noConversion"/>
  </si>
  <si>
    <t>BasicShooter</t>
  </si>
  <si>
    <t>Shooter_Trebuchet</t>
  </si>
  <si>
    <t>备注3
设备/怪物控制脚本</t>
    <phoneticPr fontId="9" type="noConversion"/>
  </si>
  <si>
    <t>设备</t>
    <phoneticPr fontId="9" type="noConversion"/>
  </si>
  <si>
    <t>备注1
名称</t>
    <phoneticPr fontId="9" type="noConversion"/>
  </si>
  <si>
    <t>执刑木棍</t>
  </si>
  <si>
    <t>执刑斧钺</t>
  </si>
  <si>
    <t>BasicMelee</t>
  </si>
  <si>
    <t>hit_period</t>
    <phoneticPr fontId="9" type="noConversion"/>
  </si>
  <si>
    <t>knockback_ft</t>
    <phoneticPr fontId="9" type="noConversion"/>
  </si>
  <si>
    <t>击退力度</t>
    <phoneticPr fontId="9" type="noConversion"/>
  </si>
  <si>
    <t>float</t>
    <phoneticPr fontId="9" type="noConversion"/>
  </si>
  <si>
    <t>近战逻辑id</t>
    <phoneticPr fontId="9" type="noConversion"/>
  </si>
  <si>
    <t>hit_box_offset</t>
    <phoneticPr fontId="9" type="noConversion"/>
  </si>
  <si>
    <r>
      <t xml:space="preserve">碰撞盒偏移
</t>
    </r>
    <r>
      <rPr>
        <i/>
        <sz val="11"/>
        <color theme="1"/>
        <rFont val="等线"/>
        <family val="3"/>
        <charset val="134"/>
        <scheme val="minor"/>
      </rPr>
      <t>碰撞盒到自身坐标的偏移距离，根据动画进行配置</t>
    </r>
    <phoneticPr fontId="9" type="noConversion"/>
  </si>
  <si>
    <t>土制火箭爆弹</t>
    <phoneticPr fontId="9" type="noConversion"/>
  </si>
  <si>
    <t>atk_part_speed</t>
    <phoneticPr fontId="9" type="noConversion"/>
  </si>
  <si>
    <t>攻击部件移速</t>
    <phoneticPr fontId="9" type="noConversion"/>
  </si>
  <si>
    <t>镇暴左轮</t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</si>
  <si>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单轮耗时
（秒）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</si>
  <si>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单轮DPS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</si>
  <si>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平均DPS</t>
    </r>
    <phoneticPr fontId="9" type="noConversion"/>
  </si>
  <si>
    <t>喇叭霰弹枪</t>
    <phoneticPr fontId="9" type="noConversion"/>
  </si>
  <si>
    <t>镇暴霰弹枪</t>
    <phoneticPr fontId="9" type="noConversion"/>
  </si>
  <si>
    <t>拖曳钩索</t>
  </si>
  <si>
    <t>捕奴肉钩</t>
  </si>
  <si>
    <t>执刑人挂钩</t>
  </si>
  <si>
    <t>BasicHook</t>
  </si>
  <si>
    <t>备注1
设备</t>
    <phoneticPr fontId="9" type="noConversion"/>
  </si>
  <si>
    <t>备注2
设备控制脚本</t>
    <phoneticPr fontId="9" type="noConversion"/>
  </si>
  <si>
    <t>damage_hit</t>
    <phoneticPr fontId="15" type="noConversion"/>
  </si>
  <si>
    <t>持续伤害</t>
    <phoneticPr fontId="15" type="noConversion"/>
  </si>
  <si>
    <r>
      <t xml:space="preserve">持续伤害间隔
</t>
    </r>
    <r>
      <rPr>
        <i/>
        <sz val="11"/>
        <color theme="1"/>
        <rFont val="等线"/>
        <family val="3"/>
        <charset val="134"/>
        <scheme val="minor"/>
      </rPr>
      <t>(帧)</t>
    </r>
    <phoneticPr fontId="15" type="noConversion"/>
  </si>
  <si>
    <t>float</t>
    <phoneticPr fontId="15" type="noConversion"/>
  </si>
  <si>
    <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空军时</t>
    </r>
    <phoneticPr fontId="15" type="noConversion"/>
  </si>
  <si>
    <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钩住怪物时</t>
    </r>
    <phoneticPr fontId="15" type="noConversion"/>
  </si>
  <si>
    <r>
      <t xml:space="preserve">发射速度
</t>
    </r>
    <r>
      <rPr>
        <i/>
        <sz val="11"/>
        <color theme="1"/>
        <rFont val="等线"/>
        <family val="3"/>
        <charset val="134"/>
        <scheme val="minor"/>
      </rPr>
      <t>钩爪初始速度</t>
    </r>
    <phoneticPr fontId="15" type="noConversion"/>
  </si>
  <si>
    <t>speed_shooting</t>
    <phoneticPr fontId="15" type="noConversion"/>
  </si>
  <si>
    <t>speed_hooked</t>
    <phoneticPr fontId="15" type="noConversion"/>
  </si>
  <si>
    <t>speed_reeling_in</t>
    <phoneticPr fontId="15" type="noConversion"/>
  </si>
  <si>
    <t>钩索逻辑id</t>
    <phoneticPr fontId="9" type="noConversion"/>
  </si>
  <si>
    <t>备注2
控制脚本</t>
    <phoneticPr fontId="9" type="noConversion"/>
  </si>
  <si>
    <t>damage_by_period</t>
    <phoneticPr fontId="15" type="noConversion"/>
  </si>
  <si>
    <t>damage_interval</t>
    <phoneticPr fontId="15" type="noConversion"/>
  </si>
  <si>
    <t>命中初始伤害</t>
    <phoneticPr fontId="15" type="noConversion"/>
  </si>
  <si>
    <t>elasticity</t>
    <phoneticPr fontId="15" type="noConversion"/>
  </si>
  <si>
    <t>弹性系数</t>
    <phoneticPr fontId="15" type="noConversion"/>
  </si>
  <si>
    <t>breaking_overlength</t>
    <phoneticPr fontId="15" type="noConversion"/>
  </si>
  <si>
    <t>断裂长度（超长）</t>
    <phoneticPr fontId="15" type="noConversion"/>
  </si>
  <si>
    <r>
      <t xml:space="preserve">打击时间段1
</t>
    </r>
    <r>
      <rPr>
        <i/>
        <sz val="11"/>
        <color theme="1"/>
        <rFont val="等线"/>
        <family val="3"/>
        <charset val="134"/>
        <scheme val="minor"/>
      </rPr>
      <t>默认碰撞盒
开启、关闭
的时间段</t>
    </r>
    <phoneticPr fontId="9" type="noConversion"/>
  </si>
  <si>
    <t>碰撞盒
开启帧
attack_1</t>
    <phoneticPr fontId="9" type="noConversion"/>
  </si>
  <si>
    <t>总帧数
attack_1</t>
    <phoneticPr fontId="9" type="noConversion"/>
  </si>
  <si>
    <t>碰撞盒
关闭帧
attack_1</t>
    <phoneticPr fontId="9" type="noConversion"/>
  </si>
  <si>
    <t>短匕</t>
  </si>
  <si>
    <t>砍刀</t>
  </si>
  <si>
    <t>大剑</t>
  </si>
  <si>
    <t>长矛</t>
  </si>
  <si>
    <t>货运吊臂</t>
  </si>
  <si>
    <t>商队塔吊</t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</si>
  <si>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hooking DPS</t>
    </r>
    <phoneticPr fontId="9" type="noConversion"/>
  </si>
  <si>
    <t>hit_period_2</t>
    <phoneticPr fontId="9" type="noConversion"/>
  </si>
  <si>
    <t>(float,float)?</t>
    <phoneticPr fontId="9" type="noConversion"/>
  </si>
  <si>
    <r>
      <t xml:space="preserve">打击时间段2
</t>
    </r>
    <r>
      <rPr>
        <i/>
        <sz val="11"/>
        <color theme="1"/>
        <rFont val="等线"/>
        <family val="3"/>
        <charset val="134"/>
        <scheme val="minor"/>
      </rPr>
      <t>若attack2动画为戳刺而不是挥砍，则需要配置不同的碰撞盒开关时间</t>
    </r>
    <phoneticPr fontId="9" type="noConversion"/>
  </si>
  <si>
    <t>碰撞盒
开启帧
attack_2</t>
    <phoneticPr fontId="9" type="noConversion"/>
  </si>
  <si>
    <t>碰撞盒
关闭帧
attack_2</t>
    <phoneticPr fontId="9" type="noConversion"/>
  </si>
  <si>
    <t>总帧数
attack_2</t>
    <phoneticPr fontId="9" type="noConversion"/>
  </si>
  <si>
    <t>怪物</t>
    <phoneticPr fontId="9" type="noConversion"/>
  </si>
  <si>
    <t>地宫洞穴人</t>
  </si>
  <si>
    <t>地宫跳虫骑手</t>
  </si>
  <si>
    <t>dungeon_caveman</t>
  </si>
  <si>
    <t>dungeon_springtail_rider</t>
  </si>
  <si>
    <t>dungeon_bat_rider</t>
    <phoneticPr fontId="9" type="noConversion"/>
  </si>
  <si>
    <t>地宫蝙蝠骑手</t>
    <phoneticPr fontId="9" type="noConversion"/>
  </si>
  <si>
    <t>capacity</t>
    <phoneticPr fontId="9" type="noConversion"/>
  </si>
  <si>
    <t>备注1
时长(秒)</t>
    <phoneticPr fontId="9" type="noConversion"/>
  </si>
  <si>
    <t>reload_speed</t>
    <phoneticPr fontId="9" type="noConversion"/>
  </si>
  <si>
    <t>装填速率
时长辅助
（帧）</t>
    <phoneticPr fontId="9" type="noConversion"/>
  </si>
  <si>
    <t>bool</t>
    <phoneticPr fontId="9" type="noConversion"/>
  </si>
  <si>
    <t>can_blaze</t>
    <phoneticPr fontId="9" type="noConversion"/>
  </si>
  <si>
    <r>
      <t xml:space="preserve">装填速度
</t>
    </r>
    <r>
      <rPr>
        <i/>
        <sz val="11"/>
        <color theme="1"/>
        <rFont val="等线"/>
        <family val="3"/>
        <charset val="134"/>
        <scheme val="minor"/>
      </rPr>
      <t xml:space="preserve">设备:装填速率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</si>
  <si>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t>(float,float)</t>
    <phoneticPr fontId="9" type="noConversion"/>
  </si>
  <si>
    <t>奖励
时长辅助
（帧）</t>
    <phoneticPr fontId="9" type="noConversion"/>
  </si>
  <si>
    <t>惩罚
时长辅助
（帧）</t>
    <phoneticPr fontId="9" type="noConversion"/>
  </si>
  <si>
    <r>
      <t>设备手动装填奖励</t>
    </r>
    <r>
      <rPr>
        <i/>
        <sz val="11"/>
        <color theme="1"/>
        <rFont val="等线"/>
        <family val="3"/>
        <charset val="134"/>
        <scheme val="minor"/>
      </rPr>
      <t xml:space="preserve">
item1:成功奖励
item2:失败惩罚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</si>
  <si>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t>reload_manual_reward</t>
    <phoneticPr fontId="9" type="noConversion"/>
  </si>
  <si>
    <r>
      <t>设备手动装填阈值</t>
    </r>
    <r>
      <rPr>
        <i/>
        <sz val="11"/>
        <color theme="1"/>
        <rFont val="等线"/>
        <family val="3"/>
        <charset val="134"/>
        <scheme val="minor"/>
      </rPr>
      <t xml:space="preserve">
设备手动装填时的奖励触发阈值进度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</si>
  <si>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t>reload_manual_process</t>
    <phoneticPr fontId="9" type="noConversion"/>
  </si>
  <si>
    <r>
      <t xml:space="preserve">一次性装填
</t>
    </r>
    <r>
      <rPr>
        <i/>
        <sz val="11"/>
        <color theme="1"/>
        <rFont val="等线"/>
        <family val="3"/>
        <charset val="134"/>
        <scheme val="minor"/>
      </rPr>
      <t xml:space="preserve">n&gt;0:n次装填后补满弹夹
n&lt;=0:逐发装填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</si>
  <si>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t>reload_by_stage</t>
    <phoneticPr fontId="9" type="noConversion"/>
  </si>
  <si>
    <r>
      <t>攻击间隔 (帧)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等线"/>
        <family val="3"/>
        <charset val="134"/>
        <scheme val="minor"/>
      </rPr>
      <t>设备:自动攻击间隔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等线"/>
        <family val="3"/>
        <charset val="134"/>
        <scheme val="minor"/>
      </rPr>
      <t>怪物:攻击间隔</t>
    </r>
    <phoneticPr fontId="9" type="noConversion"/>
  </si>
  <si>
    <r>
      <t xml:space="preserve">能否连续射击
</t>
    </r>
    <r>
      <rPr>
        <i/>
        <sz val="11"/>
        <color theme="1"/>
        <rFont val="等线"/>
        <family val="3"/>
        <charset val="134"/>
        <scheme val="minor"/>
      </rPr>
      <t xml:space="preserve">true:连续射击
false:单点射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</si>
  <si>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r>
      <t xml:space="preserve">开火帧（0~1）
</t>
    </r>
    <r>
      <rPr>
        <i/>
        <sz val="11"/>
        <color theme="1"/>
        <rFont val="等线"/>
        <family val="3"/>
        <charset val="134"/>
        <scheme val="minor"/>
      </rPr>
      <t>在这一时刻创造飞射物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</si>
  <si>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r>
      <t xml:space="preserve">后摇帧（0~1）
</t>
    </r>
    <r>
      <rPr>
        <i/>
        <sz val="11"/>
        <color theme="1"/>
        <rFont val="等线"/>
        <family val="3"/>
        <charset val="134"/>
        <scheme val="minor"/>
      </rPr>
      <t>这一时刻过后视为进入可被打断的后摇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</si>
  <si>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r>
      <t xml:space="preserve">备弹数
</t>
    </r>
    <r>
      <rPr>
        <i/>
        <sz val="11"/>
        <color theme="1"/>
        <rFont val="等线"/>
        <family val="3"/>
        <charset val="134"/>
        <scheme val="minor"/>
      </rPr>
      <t>弹匣容量
仅设备使用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</si>
  <si>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装填默认总时长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</si>
  <si>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装填最优总时长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</si>
  <si>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装填保底总时长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</si>
  <si>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
DPS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</si>
  <si>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最优装填
DPS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</si>
  <si>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不装填
DPS</t>
    </r>
    <phoneticPr fontId="9" type="noConversion"/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</si>
  <si>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
平均DPS</t>
    </r>
    <phoneticPr fontId="9" type="noConversion"/>
  </si>
  <si>
    <r>
      <t xml:space="preserve">能否连续攻击
</t>
    </r>
    <r>
      <rPr>
        <i/>
        <sz val="11"/>
        <color theme="1"/>
        <rFont val="等线"/>
        <family val="3"/>
        <charset val="134"/>
        <scheme val="minor"/>
      </rPr>
      <t>true:按住左键可以自动连续攻击</t>
    </r>
    <phoneticPr fontId="9" type="noConversion"/>
  </si>
  <si>
    <t>盾牌逻辑id</t>
    <phoneticPr fontId="9" type="noConversion"/>
  </si>
  <si>
    <t>BasicShield</t>
    <phoneticPr fontId="9" type="noConversion"/>
  </si>
  <si>
    <t>小圆盾</t>
    <phoneticPr fontId="9" type="noConversion"/>
  </si>
  <si>
    <t>def_range</t>
    <phoneticPr fontId="9" type="noConversion"/>
  </si>
  <si>
    <r>
      <t xml:space="preserve">防御距离
</t>
    </r>
    <r>
      <rPr>
        <i/>
        <sz val="11"/>
        <color theme="1"/>
        <rFont val="等线"/>
        <family val="3"/>
        <charset val="134"/>
        <scheme val="minor"/>
      </rPr>
      <t>防御时向前移动的距离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</si>
</sst>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CD1F-7451-4774-A15C-617732162BA3}">
  <dimension ref="A1:T9"/>
  <sheetViews>
    <sheetView workbookViewId="0">
      <pane xSplit="3" ySplit="3" topLeftCell="D4" activePane="bottomRight" state="frozen"/>
      <selection pane="topRight" activeCell="E1" sqref="E1"/>
      <selection pane="bottomLeft" activeCell="A4" sqref="A4"/>
      <selection pane="bottomRight" activeCell="T21" sqref="T21"/>
    </sheetView>
  </sheetViews>
  <sheetFormatPr defaultColWidth="9.125" defaultRowHeight="14.25" x14ac:dyDescent="0.2"/>
  <cols>
    <col min="1" max="1" width="12.5" style="4" customWidth="1"/>
    <col min="2" max="2" width="11.5" style="5" bestFit="1" customWidth="1"/>
    <col min="3" max="3" width="13.625" style="5" bestFit="1" customWidth="1"/>
    <col min="4" max="4" width="11.375" style="4" customWidth="1"/>
    <col min="5" max="5" width="9.25" style="5" customWidth="1"/>
    <col min="6" max="6" width="14.625" style="4" customWidth="1"/>
    <col min="7" max="7" width="20.75" style="4" customWidth="1"/>
    <col min="8" max="10" width="10.875" style="6" customWidth="1"/>
    <col min="11" max="11" width="20.75" style="4" customWidth="1"/>
    <col min="12" max="14" width="10.875" style="6" customWidth="1"/>
    <col min="15" max="15" width="16" style="4" customWidth="1"/>
    <col min="16" max="16" width="14.25" style="4" bestFit="1" customWidth="1"/>
    <col min="17" max="17" width="9.125" style="4"/>
    <col min="18" max="19" width="12.75" style="5" customWidth="1"/>
    <col min="20" max="20" width="12.25" style="4" bestFit="1" customWidth="1"/>
    <col min="21" max="16384" width="9.125" style="4"/>
  </cols>
  <sheetData>
    <row r="1" spans="1:20" s="1" customFormat="1" x14ac:dyDescent="0.2">
      <c r="A1" s="1" t="s">
        <v>0</v>
      </c>
      <c r="B1" s="7"/>
      <c r="C1" s="7"/>
      <c r="D1" s="1" t="s">
        <v>32</v>
      </c>
      <c r="E1" s="7"/>
      <c r="F1" s="1" t="s">
        <v>126</v>
      </c>
      <c r="G1" s="1" t="s">
        <v>56</v>
      </c>
      <c r="H1" s="8"/>
      <c r="I1" s="8"/>
      <c r="J1" s="8"/>
      <c r="K1" s="1" t="s">
        <v>108</v>
      </c>
      <c r="L1" s="8"/>
      <c r="M1" s="8"/>
      <c r="N1" s="8"/>
      <c r="O1" s="1" t="s">
        <v>61</v>
      </c>
      <c r="P1" s="1" t="s">
        <v>64</v>
      </c>
      <c r="Q1" s="1" t="s">
        <v>8</v>
      </c>
      <c r="R1" s="7"/>
      <c r="S1" s="7"/>
      <c r="T1" s="1" t="s">
        <v>57</v>
      </c>
    </row>
    <row r="2" spans="1:20" s="2" customFormat="1" x14ac:dyDescent="0.2">
      <c r="A2" s="2" t="s">
        <v>9</v>
      </c>
      <c r="B2" s="7"/>
      <c r="C2" s="7"/>
      <c r="D2" s="2" t="s">
        <v>31</v>
      </c>
      <c r="E2" s="7"/>
      <c r="F2" s="2" t="s">
        <v>125</v>
      </c>
      <c r="G2" s="2" t="s">
        <v>11</v>
      </c>
      <c r="H2" s="9"/>
      <c r="I2" s="9"/>
      <c r="J2" s="9"/>
      <c r="K2" s="2" t="s">
        <v>109</v>
      </c>
      <c r="L2" s="9"/>
      <c r="M2" s="9"/>
      <c r="N2" s="9"/>
      <c r="O2" s="2" t="s">
        <v>59</v>
      </c>
      <c r="P2" s="2" t="s">
        <v>59</v>
      </c>
      <c r="Q2" s="2" t="s">
        <v>14</v>
      </c>
      <c r="R2" s="7"/>
      <c r="S2" s="7"/>
      <c r="T2" s="2" t="s">
        <v>59</v>
      </c>
    </row>
    <row r="3" spans="1:20" s="3" customFormat="1" ht="57" x14ac:dyDescent="0.2">
      <c r="A3" s="10" t="s">
        <v>60</v>
      </c>
      <c r="B3" s="11" t="s">
        <v>76</v>
      </c>
      <c r="C3" s="11" t="s">
        <v>77</v>
      </c>
      <c r="D3" s="18" t="s">
        <v>33</v>
      </c>
      <c r="E3" s="11" t="s">
        <v>34</v>
      </c>
      <c r="F3" s="18" t="s">
        <v>149</v>
      </c>
      <c r="G3" s="18" t="s">
        <v>97</v>
      </c>
      <c r="H3" s="21" t="s">
        <v>98</v>
      </c>
      <c r="I3" s="21" t="s">
        <v>100</v>
      </c>
      <c r="J3" s="21" t="s">
        <v>99</v>
      </c>
      <c r="K3" s="18" t="s">
        <v>110</v>
      </c>
      <c r="L3" s="21" t="s">
        <v>111</v>
      </c>
      <c r="M3" s="21" t="s">
        <v>112</v>
      </c>
      <c r="N3" s="21" t="s">
        <v>113</v>
      </c>
      <c r="O3" s="18" t="s">
        <v>62</v>
      </c>
      <c r="P3" s="18" t="s">
        <v>65</v>
      </c>
      <c r="Q3" s="3" t="s">
        <v>22</v>
      </c>
      <c r="R3" s="11" t="s">
        <v>68</v>
      </c>
      <c r="S3" s="11" t="s">
        <v>69</v>
      </c>
      <c r="T3" s="10" t="s">
        <v>58</v>
      </c>
    </row>
    <row r="4" spans="1:20" x14ac:dyDescent="0.2">
      <c r="A4" s="4">
        <v>1310101</v>
      </c>
      <c r="B4" s="5" t="s">
        <v>101</v>
      </c>
      <c r="C4" s="5" t="s">
        <v>55</v>
      </c>
      <c r="D4" s="4">
        <v>24</v>
      </c>
      <c r="E4" s="5" t="str">
        <f>TEXT(D4/120,"0.00") &amp; " s"</f>
        <v>0.20 s</v>
      </c>
      <c r="F4" s="4" t="b">
        <v>1</v>
      </c>
      <c r="G4" s="4" t="str" cm="1">
        <f t="array" ref="G4">_xlfn.TEXTJOIN("~",1,H4:I4/J4)</f>
        <v>0.25~0.45</v>
      </c>
      <c r="H4" s="6">
        <v>5</v>
      </c>
      <c r="I4" s="6">
        <v>9</v>
      </c>
      <c r="J4" s="6">
        <v>20</v>
      </c>
      <c r="K4" s="4" t="str" cm="1">
        <f t="array" ref="K4">_xlfn.TEXTJOIN("~",1,L4:M4/N4)</f>
        <v>0.5~0.8</v>
      </c>
      <c r="L4" s="6">
        <v>10</v>
      </c>
      <c r="M4" s="6">
        <v>16</v>
      </c>
      <c r="N4" s="6">
        <v>20</v>
      </c>
      <c r="O4" s="4">
        <v>0.71887000000000001</v>
      </c>
      <c r="P4" s="4">
        <v>12</v>
      </c>
      <c r="Q4" s="4">
        <v>7</v>
      </c>
      <c r="R4" s="5">
        <f>$Q4*30/$J4</f>
        <v>10.5</v>
      </c>
      <c r="S4" s="5">
        <f>$Q4*120/($D4+4*$J4)</f>
        <v>8.0769230769230766</v>
      </c>
      <c r="T4" s="4">
        <v>1</v>
      </c>
    </row>
    <row r="5" spans="1:20" x14ac:dyDescent="0.2">
      <c r="A5" s="4">
        <v>1310102</v>
      </c>
      <c r="B5" s="5" t="s">
        <v>102</v>
      </c>
      <c r="C5" s="5" t="s">
        <v>55</v>
      </c>
      <c r="D5" s="4">
        <v>72</v>
      </c>
      <c r="E5" s="5" t="str">
        <f>TEXT(D5/120,"0.00") &amp; " s"</f>
        <v>0.60 s</v>
      </c>
      <c r="F5" s="4" t="b">
        <v>1</v>
      </c>
      <c r="G5" s="4" t="str" cm="1">
        <f t="array" ref="G5">_xlfn.TEXTJOIN("~",1,H5:I5/J5)</f>
        <v>0.32~0.48</v>
      </c>
      <c r="H5" s="6">
        <v>8</v>
      </c>
      <c r="I5" s="6">
        <v>12</v>
      </c>
      <c r="J5" s="6">
        <v>25</v>
      </c>
      <c r="K5" s="20"/>
      <c r="L5" s="19"/>
      <c r="M5" s="19"/>
      <c r="N5" s="19"/>
      <c r="O5" s="4">
        <v>1.2643</v>
      </c>
      <c r="P5" s="4">
        <v>8</v>
      </c>
      <c r="Q5" s="4">
        <v>13</v>
      </c>
      <c r="R5" s="5">
        <f t="shared" ref="R5:R9" si="0">$Q5*30/$J5</f>
        <v>15.6</v>
      </c>
      <c r="S5" s="5">
        <f t="shared" ref="S5:S9" si="1">$Q5*120/($D5+4*$J5)</f>
        <v>9.0697674418604652</v>
      </c>
      <c r="T5" s="4">
        <v>4</v>
      </c>
    </row>
    <row r="6" spans="1:20" x14ac:dyDescent="0.2">
      <c r="A6" s="4">
        <v>1310103</v>
      </c>
      <c r="B6" s="5" t="s">
        <v>103</v>
      </c>
      <c r="C6" s="5" t="s">
        <v>55</v>
      </c>
      <c r="D6" s="4">
        <v>108</v>
      </c>
      <c r="E6" s="5" t="str">
        <f>TEXT(D6/120,"0.00") &amp; " s"</f>
        <v>0.90 s</v>
      </c>
      <c r="F6" s="4" t="b">
        <v>0</v>
      </c>
      <c r="G6" s="4" t="str" cm="1">
        <f t="array" ref="G6">_xlfn.TEXTJOIN("~",1,H6:I6/J6)</f>
        <v>0.466666666666667~0.6</v>
      </c>
      <c r="H6" s="6">
        <v>14</v>
      </c>
      <c r="I6" s="6">
        <v>18</v>
      </c>
      <c r="J6" s="6">
        <v>30</v>
      </c>
      <c r="K6" s="20"/>
      <c r="L6" s="19"/>
      <c r="M6" s="19"/>
      <c r="N6" s="19"/>
      <c r="O6" s="4">
        <v>1.7058</v>
      </c>
      <c r="P6" s="4">
        <v>5</v>
      </c>
      <c r="Q6" s="4">
        <v>20</v>
      </c>
      <c r="R6" s="5">
        <f t="shared" si="0"/>
        <v>20</v>
      </c>
      <c r="S6" s="5">
        <f t="shared" si="1"/>
        <v>10.526315789473685</v>
      </c>
      <c r="T6" s="4">
        <v>8</v>
      </c>
    </row>
    <row r="7" spans="1:20" x14ac:dyDescent="0.2">
      <c r="A7" s="4">
        <v>1310104</v>
      </c>
      <c r="B7" s="5" t="s">
        <v>104</v>
      </c>
      <c r="C7" s="5" t="s">
        <v>55</v>
      </c>
      <c r="D7" s="4">
        <v>90</v>
      </c>
      <c r="E7" s="5" t="str">
        <f>TEXT(D7/120,"0.00") &amp; " s"</f>
        <v>0.75 s</v>
      </c>
      <c r="F7" s="4" t="b">
        <v>0</v>
      </c>
      <c r="G7" s="4" t="str" cm="1">
        <f t="array" ref="G7">_xlfn.TEXTJOIN("~",1,H7:I7/J7)</f>
        <v>0.333333333333333~0.433333333333333</v>
      </c>
      <c r="H7" s="6">
        <v>10</v>
      </c>
      <c r="I7" s="6">
        <v>13</v>
      </c>
      <c r="J7" s="6">
        <v>30</v>
      </c>
      <c r="K7" s="4" t="str" cm="1">
        <f t="array" ref="K7">_xlfn.TEXTJOIN("~",1,L7:M7/N7)</f>
        <v>0.5~0.666666666666667</v>
      </c>
      <c r="L7" s="6">
        <v>15</v>
      </c>
      <c r="M7" s="6">
        <v>20</v>
      </c>
      <c r="N7" s="6">
        <v>30</v>
      </c>
      <c r="O7" s="4">
        <v>2.097</v>
      </c>
      <c r="P7" s="4">
        <v>6</v>
      </c>
      <c r="Q7" s="4">
        <v>16</v>
      </c>
      <c r="R7" s="5">
        <f t="shared" si="0"/>
        <v>16</v>
      </c>
      <c r="S7" s="5">
        <f t="shared" si="1"/>
        <v>9.1428571428571423</v>
      </c>
      <c r="T7" s="4">
        <v>5</v>
      </c>
    </row>
    <row r="8" spans="1:20" x14ac:dyDescent="0.2">
      <c r="A8" s="4">
        <v>1311101</v>
      </c>
      <c r="B8" s="5" t="s">
        <v>53</v>
      </c>
      <c r="C8" s="5" t="s">
        <v>55</v>
      </c>
      <c r="D8" s="4">
        <v>90</v>
      </c>
      <c r="E8" s="5" t="str">
        <f>TEXT(D8/120,"0.00") &amp; " s"</f>
        <v>0.75 s</v>
      </c>
      <c r="F8" s="4" t="b">
        <v>1</v>
      </c>
      <c r="G8" s="4" t="str" cm="1">
        <f t="array" ref="G8">_xlfn.TEXTJOIN("~",1,H8:I8/J8)</f>
        <v>0.25~0.4</v>
      </c>
      <c r="H8" s="6">
        <v>5</v>
      </c>
      <c r="I8" s="6">
        <v>8</v>
      </c>
      <c r="J8" s="6">
        <v>20</v>
      </c>
      <c r="K8" s="20"/>
      <c r="L8" s="19"/>
      <c r="M8" s="19"/>
      <c r="N8" s="19"/>
      <c r="O8" s="4">
        <v>1.67</v>
      </c>
      <c r="P8" s="22">
        <v>8</v>
      </c>
      <c r="Q8" s="4">
        <v>12</v>
      </c>
      <c r="R8" s="5">
        <f t="shared" si="0"/>
        <v>18</v>
      </c>
      <c r="S8" s="5">
        <f t="shared" si="1"/>
        <v>8.4705882352941178</v>
      </c>
      <c r="T8" s="4">
        <v>12</v>
      </c>
    </row>
    <row r="9" spans="1:20" x14ac:dyDescent="0.2">
      <c r="A9" s="4">
        <v>1311102</v>
      </c>
      <c r="B9" s="5" t="s">
        <v>54</v>
      </c>
      <c r="C9" s="5" t="s">
        <v>55</v>
      </c>
      <c r="D9" s="4">
        <v>160</v>
      </c>
      <c r="E9" s="5" t="str">
        <f t="shared" ref="E9" si="2">TEXT(D9/120,"0.00") &amp; " s"</f>
        <v>1.33 s</v>
      </c>
      <c r="F9" s="4" t="b">
        <v>0</v>
      </c>
      <c r="G9" s="4" t="str" cm="1">
        <f t="array" ref="G9">_xlfn.TEXTJOIN("~",1,H9:I9/J9)</f>
        <v>0.485714285714286~0.571428571428571</v>
      </c>
      <c r="H9" s="6">
        <v>17</v>
      </c>
      <c r="I9" s="6">
        <v>20</v>
      </c>
      <c r="J9" s="6">
        <v>35</v>
      </c>
      <c r="K9" s="20"/>
      <c r="L9" s="19"/>
      <c r="M9" s="19"/>
      <c r="N9" s="19"/>
      <c r="O9" s="4">
        <v>1.75</v>
      </c>
      <c r="P9" s="4">
        <v>2.5</v>
      </c>
      <c r="Q9" s="4">
        <v>26</v>
      </c>
      <c r="R9" s="5">
        <f t="shared" si="0"/>
        <v>22.285714285714285</v>
      </c>
      <c r="S9" s="5">
        <f t="shared" si="1"/>
        <v>10.4</v>
      </c>
      <c r="T9" s="4">
        <v>15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zoomScaleNormal="100" workbookViewId="0">
      <pane xSplit="4" ySplit="3" topLeftCell="V4" activePane="bottomRight" state="frozen"/>
      <selection pane="topRight" activeCell="E1" sqref="E1"/>
      <selection pane="bottomLeft" activeCell="A4" sqref="A4"/>
      <selection pane="bottomRight" activeCell="AM5" sqref="AM5"/>
    </sheetView>
  </sheetViews>
  <sheetFormatPr defaultColWidth="9.125" defaultRowHeight="14.25" x14ac:dyDescent="0.2"/>
  <cols>
    <col min="1" max="1" width="12.5" style="4" customWidth="1"/>
    <col min="2" max="2" width="13.625" style="5" bestFit="1" customWidth="1"/>
    <col min="3" max="3" width="10.25" style="5" bestFit="1" customWidth="1"/>
    <col min="4" max="4" width="23.25" style="5" bestFit="1" customWidth="1"/>
    <col min="5" max="5" width="11.375" style="4" customWidth="1"/>
    <col min="6" max="6" width="17.125" style="4" customWidth="1"/>
    <col min="7" max="7" width="9.25" style="5" customWidth="1"/>
    <col min="8" max="8" width="14.5" style="4" customWidth="1"/>
    <col min="9" max="10" width="10.875" style="6" customWidth="1"/>
    <col min="11" max="11" width="16.75" style="4" customWidth="1"/>
    <col min="12" max="13" width="9.375" style="6" customWidth="1"/>
    <col min="14" max="14" width="3.5" style="4" customWidth="1"/>
    <col min="15" max="15" width="11.875" style="4" customWidth="1"/>
    <col min="16" max="16" width="9" style="4" customWidth="1"/>
    <col min="17" max="17" width="11.375" style="4" customWidth="1"/>
    <col min="18" max="18" width="7.125" style="4" bestFit="1" customWidth="1"/>
    <col min="19" max="19" width="12.375" style="4" customWidth="1"/>
    <col min="20" max="20" width="20.875" style="4" customWidth="1"/>
    <col min="21" max="21" width="13.25" style="4" customWidth="1"/>
    <col min="22" max="22" width="9.25" style="26" customWidth="1"/>
    <col min="23" max="23" width="9.25" style="5" customWidth="1"/>
    <col min="24" max="25" width="16.125" style="4" customWidth="1"/>
    <col min="26" max="27" width="9.25" style="26" customWidth="1"/>
    <col min="28" max="29" width="14.625" style="4" customWidth="1"/>
    <col min="30" max="30" width="20.5" style="4" bestFit="1" customWidth="1"/>
    <col min="31" max="33" width="9.125" style="6"/>
    <col min="34" max="34" width="9.125" style="4"/>
    <col min="35" max="44" width="9.125" style="5"/>
    <col min="45" max="16384" width="9.125" style="4"/>
  </cols>
  <sheetData>
    <row r="1" spans="1:44" s="1" customFormat="1" x14ac:dyDescent="0.2">
      <c r="A1" s="1" t="s">
        <v>0</v>
      </c>
      <c r="B1" s="7"/>
      <c r="C1" s="7"/>
      <c r="D1" s="7"/>
      <c r="E1" s="1" t="s">
        <v>1</v>
      </c>
      <c r="F1" s="1" t="s">
        <v>32</v>
      </c>
      <c r="G1" s="7"/>
      <c r="H1" s="1" t="s">
        <v>2</v>
      </c>
      <c r="I1" s="8"/>
      <c r="J1" s="8"/>
      <c r="K1" s="14" t="s">
        <v>24</v>
      </c>
      <c r="L1" s="8"/>
      <c r="M1" s="8"/>
      <c r="O1" s="1" t="s">
        <v>4</v>
      </c>
      <c r="P1" s="1" t="s">
        <v>5</v>
      </c>
      <c r="Q1" s="1" t="s">
        <v>6</v>
      </c>
      <c r="R1" s="1" t="s">
        <v>3</v>
      </c>
      <c r="S1" s="1" t="s">
        <v>121</v>
      </c>
      <c r="T1" s="1" t="s">
        <v>136</v>
      </c>
      <c r="U1" s="1" t="s">
        <v>123</v>
      </c>
      <c r="V1" s="24"/>
      <c r="W1" s="7"/>
      <c r="X1" s="1" t="s">
        <v>134</v>
      </c>
      <c r="Y1" s="1" t="s">
        <v>132</v>
      </c>
      <c r="Z1" s="24"/>
      <c r="AA1" s="24"/>
      <c r="AB1" s="1" t="s">
        <v>126</v>
      </c>
      <c r="AC1" s="1" t="s">
        <v>7</v>
      </c>
      <c r="AD1" s="1" t="s">
        <v>35</v>
      </c>
      <c r="AE1" s="8"/>
      <c r="AF1" s="8"/>
      <c r="AG1" s="8"/>
      <c r="AH1" s="1" t="s">
        <v>8</v>
      </c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2" customFormat="1" x14ac:dyDescent="0.2">
      <c r="A2" s="2" t="s">
        <v>9</v>
      </c>
      <c r="B2" s="7"/>
      <c r="C2" s="7"/>
      <c r="D2" s="7"/>
      <c r="E2" s="2" t="s">
        <v>10</v>
      </c>
      <c r="F2" s="2" t="s">
        <v>31</v>
      </c>
      <c r="G2" s="7"/>
      <c r="H2" s="2" t="s">
        <v>11</v>
      </c>
      <c r="I2" s="9"/>
      <c r="J2" s="9"/>
      <c r="K2" s="15" t="s">
        <v>25</v>
      </c>
      <c r="L2" s="9"/>
      <c r="M2" s="9"/>
      <c r="O2" s="2" t="s">
        <v>10</v>
      </c>
      <c r="P2" s="2" t="s">
        <v>12</v>
      </c>
      <c r="Q2" s="2" t="s">
        <v>13</v>
      </c>
      <c r="R2" s="2" t="s">
        <v>39</v>
      </c>
      <c r="S2" s="2" t="s">
        <v>39</v>
      </c>
      <c r="T2" s="2" t="s">
        <v>31</v>
      </c>
      <c r="U2" s="2" t="s">
        <v>59</v>
      </c>
      <c r="V2" s="24"/>
      <c r="W2" s="7"/>
      <c r="X2" s="2" t="s">
        <v>59</v>
      </c>
      <c r="Y2" s="2" t="s">
        <v>128</v>
      </c>
      <c r="Z2" s="24"/>
      <c r="AA2" s="24"/>
      <c r="AB2" s="2" t="s">
        <v>125</v>
      </c>
      <c r="AC2" s="2" t="s">
        <v>12</v>
      </c>
      <c r="AD2" s="2" t="s">
        <v>12</v>
      </c>
      <c r="AE2" s="9"/>
      <c r="AF2" s="9"/>
      <c r="AG2" s="9"/>
      <c r="AH2" s="2" t="s">
        <v>14</v>
      </c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3" customFormat="1" ht="57" x14ac:dyDescent="0.2">
      <c r="A3" s="10" t="s">
        <v>15</v>
      </c>
      <c r="B3" s="11" t="s">
        <v>52</v>
      </c>
      <c r="C3" s="11" t="s">
        <v>40</v>
      </c>
      <c r="D3" s="11" t="s">
        <v>50</v>
      </c>
      <c r="E3" s="3" t="s">
        <v>16</v>
      </c>
      <c r="F3" s="18" t="s">
        <v>137</v>
      </c>
      <c r="G3" s="11" t="s">
        <v>34</v>
      </c>
      <c r="H3" s="10" t="s">
        <v>17</v>
      </c>
      <c r="I3" s="17" t="s">
        <v>27</v>
      </c>
      <c r="J3" s="17" t="s">
        <v>28</v>
      </c>
      <c r="K3" s="16" t="s">
        <v>26</v>
      </c>
      <c r="L3" s="17" t="s">
        <v>29</v>
      </c>
      <c r="M3" s="17" t="s">
        <v>30</v>
      </c>
      <c r="O3" s="18" t="s">
        <v>37</v>
      </c>
      <c r="P3" s="10" t="s">
        <v>18</v>
      </c>
      <c r="Q3" s="10" t="s">
        <v>19</v>
      </c>
      <c r="R3" s="27" t="s">
        <v>38</v>
      </c>
      <c r="S3" s="18" t="s">
        <v>141</v>
      </c>
      <c r="T3" s="18" t="s">
        <v>135</v>
      </c>
      <c r="U3" s="18" t="s">
        <v>127</v>
      </c>
      <c r="V3" s="25" t="s">
        <v>124</v>
      </c>
      <c r="W3" s="11" t="s">
        <v>122</v>
      </c>
      <c r="X3" s="18" t="s">
        <v>133</v>
      </c>
      <c r="Y3" s="18" t="s">
        <v>131</v>
      </c>
      <c r="Z3" s="25" t="s">
        <v>129</v>
      </c>
      <c r="AA3" s="25" t="s">
        <v>130</v>
      </c>
      <c r="AB3" s="18" t="s">
        <v>138</v>
      </c>
      <c r="AC3" s="18" t="s">
        <v>139</v>
      </c>
      <c r="AD3" s="18" t="s">
        <v>140</v>
      </c>
      <c r="AE3" s="13" t="s">
        <v>20</v>
      </c>
      <c r="AF3" s="13" t="s">
        <v>36</v>
      </c>
      <c r="AG3" s="13" t="s">
        <v>21</v>
      </c>
      <c r="AH3" s="3" t="s">
        <v>22</v>
      </c>
      <c r="AI3" s="11" t="s">
        <v>41</v>
      </c>
      <c r="AJ3" s="11" t="s">
        <v>67</v>
      </c>
      <c r="AK3" s="11" t="s">
        <v>68</v>
      </c>
      <c r="AL3" s="11" t="s">
        <v>142</v>
      </c>
      <c r="AM3" s="11" t="s">
        <v>144</v>
      </c>
      <c r="AN3" s="11" t="s">
        <v>143</v>
      </c>
      <c r="AO3" s="11" t="s">
        <v>147</v>
      </c>
      <c r="AP3" s="11" t="s">
        <v>145</v>
      </c>
      <c r="AQ3" s="11" t="s">
        <v>146</v>
      </c>
      <c r="AR3" s="11" t="s">
        <v>148</v>
      </c>
    </row>
    <row r="4" spans="1:44" x14ac:dyDescent="0.2">
      <c r="A4" s="4">
        <v>1320101</v>
      </c>
      <c r="B4" s="5" t="s">
        <v>42</v>
      </c>
      <c r="C4" s="5" t="s">
        <v>51</v>
      </c>
      <c r="D4" s="5" t="s">
        <v>48</v>
      </c>
      <c r="E4" s="4">
        <v>1101</v>
      </c>
      <c r="F4" s="4">
        <v>1</v>
      </c>
      <c r="G4" s="5" t="str">
        <f>TEXT(F4/120,"0.00") &amp; " s"</f>
        <v>0.01 s</v>
      </c>
      <c r="H4" s="4" t="str">
        <f>_xlfn.TEXTJOIN("~",1,I4:J4)</f>
        <v>25~0</v>
      </c>
      <c r="I4" s="6">
        <v>25</v>
      </c>
      <c r="J4" s="6">
        <v>0</v>
      </c>
      <c r="K4" s="4" t="str">
        <f>_xlfn.TEXTJOIN("~",1,L4:M4)</f>
        <v>2400~0</v>
      </c>
      <c r="L4" s="6">
        <v>2400</v>
      </c>
      <c r="M4" s="6">
        <v>0</v>
      </c>
      <c r="O4" s="4">
        <v>1</v>
      </c>
      <c r="P4" s="4">
        <v>3</v>
      </c>
      <c r="Q4" s="4" t="s">
        <v>23</v>
      </c>
      <c r="R4" s="4">
        <v>1</v>
      </c>
      <c r="S4" s="4">
        <v>1</v>
      </c>
      <c r="T4" s="4">
        <v>1</v>
      </c>
      <c r="U4" s="4">
        <f t="shared" ref="U4:U12" si="0">1/V4</f>
        <v>1.6666666666666666E-2</v>
      </c>
      <c r="V4" s="26">
        <v>60</v>
      </c>
      <c r="W4" s="5" t="str">
        <f t="shared" ref="W4:W12" si="1">TEXT(V4/120,"0.00") &amp; " s"</f>
        <v>0.50 s</v>
      </c>
      <c r="X4" s="4">
        <f t="shared" ref="X4:X12" si="2">(V4-Z4)/3/V4</f>
        <v>0.19444444444444445</v>
      </c>
      <c r="Y4" s="4" t="str" cm="1">
        <f t="array" ref="Y4">_xlfn.TEXTJOIN("~",1,Z4:AA4/V4)</f>
        <v>0.416666666666667~-0.583333333333333</v>
      </c>
      <c r="Z4" s="26">
        <f>IF($V4&lt;10*4/3,0,$V4/4+10)</f>
        <v>25</v>
      </c>
      <c r="AA4" s="26">
        <f>IF($V4&lt;30*12/11,0,-($V4/12+30))</f>
        <v>-35</v>
      </c>
      <c r="AC4" s="4">
        <f t="shared" ref="AC4:AC6" si="3">AE4/AG4</f>
        <v>0.88</v>
      </c>
      <c r="AD4" s="4">
        <f>AF4/AG4</f>
        <v>0.96</v>
      </c>
      <c r="AE4" s="6">
        <v>22</v>
      </c>
      <c r="AF4" s="6">
        <v>24</v>
      </c>
      <c r="AG4" s="6">
        <v>25</v>
      </c>
      <c r="AH4" s="4">
        <v>15</v>
      </c>
      <c r="AI4" s="5">
        <f>$AH4*$O4*$S4</f>
        <v>15</v>
      </c>
      <c r="AJ4" s="5">
        <f>(($S4-1)*$AF4+$AG4)/30</f>
        <v>0.83333333333333337</v>
      </c>
      <c r="AK4" s="5">
        <f>$AI4/$AJ4</f>
        <v>18</v>
      </c>
      <c r="AL4" s="5">
        <f>$V4*IF($T4&lt;=0,$S4,$T4)/120</f>
        <v>0.5</v>
      </c>
      <c r="AM4" s="5">
        <f>($V4-$Z4*1)*IF($T4&lt;=0,$S4,$T4)/120</f>
        <v>0.29166666666666669</v>
      </c>
      <c r="AN4" s="5">
        <f>($V4-$Z4*2)*IF($T4&lt;=0,$S4,$T4)/120</f>
        <v>8.3333333333333329E-2</v>
      </c>
      <c r="AO4" s="5">
        <f>$AI4/($AL4+$AJ4)</f>
        <v>11.249999999999998</v>
      </c>
      <c r="AP4" s="5">
        <f>$AI4/($AM4+$AJ4)</f>
        <v>13.333333333333334</v>
      </c>
      <c r="AQ4" s="5">
        <f>$AI4/($AN4+$AJ4)</f>
        <v>16.363636363636363</v>
      </c>
      <c r="AR4" s="5">
        <f>($AP4+$AQ4)*0.5</f>
        <v>14.848484848484848</v>
      </c>
    </row>
    <row r="5" spans="1:44" x14ac:dyDescent="0.2">
      <c r="A5" s="4">
        <v>1320102</v>
      </c>
      <c r="B5" s="5" t="s">
        <v>43</v>
      </c>
      <c r="C5" s="5" t="s">
        <v>51</v>
      </c>
      <c r="D5" s="5" t="s">
        <v>48</v>
      </c>
      <c r="E5" s="4">
        <v>1201</v>
      </c>
      <c r="F5" s="4">
        <v>1</v>
      </c>
      <c r="G5" s="5" t="str">
        <f t="shared" ref="G5:G6" si="4">TEXT(F5/120,"0.00") &amp; " s"</f>
        <v>0.01 s</v>
      </c>
      <c r="H5" s="4" t="str">
        <f>_xlfn.TEXTJOIN("~",1,I5:J5)</f>
        <v>160~0</v>
      </c>
      <c r="I5" s="6">
        <v>160</v>
      </c>
      <c r="J5" s="6">
        <v>0</v>
      </c>
      <c r="K5" s="4" t="str">
        <f t="shared" ref="K5:K6" si="5">_xlfn.TEXTJOIN("~",1,L5:M5)</f>
        <v>360~0</v>
      </c>
      <c r="L5" s="6">
        <v>360</v>
      </c>
      <c r="M5" s="6">
        <v>0</v>
      </c>
      <c r="O5" s="4">
        <v>1</v>
      </c>
      <c r="P5" s="4">
        <v>4</v>
      </c>
      <c r="Q5" s="4" t="s">
        <v>23</v>
      </c>
      <c r="R5" s="4">
        <v>1</v>
      </c>
      <c r="S5" s="4">
        <v>1</v>
      </c>
      <c r="T5" s="4">
        <v>0</v>
      </c>
      <c r="U5" s="4">
        <f t="shared" si="0"/>
        <v>2.5000000000000001E-3</v>
      </c>
      <c r="V5" s="26">
        <v>400</v>
      </c>
      <c r="W5" s="5" t="str">
        <f t="shared" si="1"/>
        <v>3.33 s</v>
      </c>
      <c r="X5" s="4">
        <f t="shared" si="2"/>
        <v>0.24166666666666667</v>
      </c>
      <c r="Y5" s="4" t="str" cm="1">
        <f t="array" ref="Y5">_xlfn.TEXTJOIN("~",1,Z5:AA5/V5)</f>
        <v>0.275~-0.158333333333333</v>
      </c>
      <c r="Z5" s="26">
        <f t="shared" ref="Z5:Z14" si="6">IF($V5&lt;10*4/3,0,$V5/4+10)</f>
        <v>110</v>
      </c>
      <c r="AA5" s="26">
        <f t="shared" ref="AA5:AA14" si="7">IF($V5&lt;30*12/11,0,-($V5/12+30))</f>
        <v>-63.333333333333336</v>
      </c>
      <c r="AB5" s="4" t="b">
        <v>0</v>
      </c>
      <c r="AC5" s="4">
        <f t="shared" si="3"/>
        <v>0.6</v>
      </c>
      <c r="AD5" s="4">
        <f t="shared" ref="AD5:AD6" si="8">AF5/AG5</f>
        <v>0.8</v>
      </c>
      <c r="AE5" s="6">
        <v>6</v>
      </c>
      <c r="AF5" s="6">
        <v>8</v>
      </c>
      <c r="AG5" s="6">
        <v>10</v>
      </c>
      <c r="AH5" s="4">
        <v>36</v>
      </c>
      <c r="AI5" s="5">
        <f t="shared" ref="AI5:AI14" si="9">$AH5*$O5*$S5</f>
        <v>36</v>
      </c>
      <c r="AJ5" s="5">
        <f t="shared" ref="AJ5:AJ19" si="10">(($S5-1)*$AF5+$AG5)/30</f>
        <v>0.33333333333333331</v>
      </c>
      <c r="AK5" s="5">
        <f t="shared" ref="AK5:AK14" si="11">$AI5/$AJ5</f>
        <v>108</v>
      </c>
      <c r="AL5" s="5">
        <f t="shared" ref="AL5:AL14" si="12">$V5*IF($T5&lt;=0,$S5,$T5)/120</f>
        <v>3.3333333333333335</v>
      </c>
      <c r="AM5" s="5">
        <f t="shared" ref="AM5:AM14" si="13">($V5-$Z5*1)*IF($T5&lt;=0,$S5,$T5)/120</f>
        <v>2.4166666666666665</v>
      </c>
      <c r="AN5" s="5">
        <f t="shared" ref="AN5:AN14" si="14">($V5-$Z5*2)*IF($T5&lt;=0,$S5,$T5)/120</f>
        <v>1.5</v>
      </c>
      <c r="AO5" s="5">
        <f t="shared" ref="AO5:AO14" si="15">$AI5/($AL5+$AJ5)</f>
        <v>9.8181818181818166</v>
      </c>
      <c r="AP5" s="5">
        <f t="shared" ref="AP5:AP14" si="16">$AI5/($AM5+$AJ5)</f>
        <v>13.090909090909092</v>
      </c>
      <c r="AQ5" s="5">
        <f t="shared" ref="AQ5:AQ14" si="17">$AI5/($AN5+$AJ5)</f>
        <v>19.636363636363637</v>
      </c>
      <c r="AR5" s="5">
        <f t="shared" ref="AR5:AR14" si="18">($AP5+$AQ5)*0.5</f>
        <v>16.363636363636363</v>
      </c>
    </row>
    <row r="6" spans="1:44" x14ac:dyDescent="0.2">
      <c r="A6" s="4">
        <v>1320103</v>
      </c>
      <c r="B6" s="5" t="s">
        <v>70</v>
      </c>
      <c r="C6" s="5" t="s">
        <v>51</v>
      </c>
      <c r="D6" s="5" t="s">
        <v>48</v>
      </c>
      <c r="E6" s="4">
        <v>1202</v>
      </c>
      <c r="F6" s="4">
        <v>1</v>
      </c>
      <c r="G6" s="5" t="str">
        <f t="shared" si="4"/>
        <v>0.01 s</v>
      </c>
      <c r="H6" s="4" t="str">
        <f t="shared" ref="H6" si="19">_xlfn.TEXTJOIN("~",1,I6:J6)</f>
        <v>50~110</v>
      </c>
      <c r="I6" s="6">
        <v>50</v>
      </c>
      <c r="J6" s="6">
        <v>110</v>
      </c>
      <c r="K6" s="4" t="str">
        <f t="shared" si="5"/>
        <v>4~22</v>
      </c>
      <c r="L6" s="6">
        <v>4</v>
      </c>
      <c r="M6" s="6">
        <v>22</v>
      </c>
      <c r="O6" s="4">
        <v>20</v>
      </c>
      <c r="P6" s="4">
        <v>24</v>
      </c>
      <c r="Q6" s="4" t="s">
        <v>23</v>
      </c>
      <c r="R6" s="4">
        <v>1</v>
      </c>
      <c r="S6" s="4">
        <v>1</v>
      </c>
      <c r="T6" s="4">
        <v>0</v>
      </c>
      <c r="U6" s="4">
        <f t="shared" si="0"/>
        <v>2.0833333333333333E-3</v>
      </c>
      <c r="V6" s="26">
        <v>480</v>
      </c>
      <c r="W6" s="5" t="str">
        <f t="shared" ref="W6" si="20">TEXT(V6/120,"0.00") &amp; " s"</f>
        <v>4.00 s</v>
      </c>
      <c r="X6" s="4">
        <f t="shared" si="2"/>
        <v>0.24305555555555555</v>
      </c>
      <c r="Y6" s="4" t="str" cm="1">
        <f t="array" ref="Y6">_xlfn.TEXTJOIN("~",1,Z6:AA6/V6)</f>
        <v>0.270833333333333~-0.145833333333333</v>
      </c>
      <c r="Z6" s="26">
        <f t="shared" si="6"/>
        <v>130</v>
      </c>
      <c r="AA6" s="26">
        <f t="shared" si="7"/>
        <v>-70</v>
      </c>
      <c r="AB6" s="4" t="b">
        <v>0</v>
      </c>
      <c r="AC6" s="4">
        <f t="shared" si="3"/>
        <v>0.7</v>
      </c>
      <c r="AD6" s="4">
        <f t="shared" si="8"/>
        <v>0.9</v>
      </c>
      <c r="AE6" s="6">
        <v>7</v>
      </c>
      <c r="AF6" s="6">
        <v>9</v>
      </c>
      <c r="AG6" s="6">
        <v>10</v>
      </c>
      <c r="AH6" s="4">
        <v>5</v>
      </c>
      <c r="AI6" s="5">
        <f t="shared" si="9"/>
        <v>100</v>
      </c>
      <c r="AJ6" s="5">
        <f t="shared" si="10"/>
        <v>0.33333333333333331</v>
      </c>
      <c r="AK6" s="5">
        <f t="shared" si="11"/>
        <v>300</v>
      </c>
      <c r="AL6" s="5">
        <f t="shared" si="12"/>
        <v>4</v>
      </c>
      <c r="AM6" s="5">
        <f t="shared" si="13"/>
        <v>2.9166666666666665</v>
      </c>
      <c r="AN6" s="5">
        <f t="shared" si="14"/>
        <v>1.8333333333333333</v>
      </c>
      <c r="AO6" s="5">
        <f t="shared" si="15"/>
        <v>23.07692307692308</v>
      </c>
      <c r="AP6" s="5">
        <f t="shared" si="16"/>
        <v>30.76923076923077</v>
      </c>
      <c r="AQ6" s="5">
        <f t="shared" si="17"/>
        <v>46.15384615384616</v>
      </c>
      <c r="AR6" s="5">
        <f t="shared" si="18"/>
        <v>38.461538461538467</v>
      </c>
    </row>
    <row r="7" spans="1:44" x14ac:dyDescent="0.2">
      <c r="A7" s="4">
        <v>1320104</v>
      </c>
      <c r="B7" s="5" t="s">
        <v>44</v>
      </c>
      <c r="C7" s="5" t="s">
        <v>51</v>
      </c>
      <c r="D7" s="5" t="s">
        <v>48</v>
      </c>
      <c r="E7" s="4">
        <v>1204</v>
      </c>
      <c r="F7" s="4">
        <v>1</v>
      </c>
      <c r="G7" s="5" t="str">
        <f t="shared" ref="G7" si="21">TEXT(F7/120,"0.00") &amp; " s"</f>
        <v>0.01 s</v>
      </c>
      <c r="H7" s="4" t="str">
        <f>_xlfn.TEXTJOIN("~",1,I7:J7)</f>
        <v>120~0</v>
      </c>
      <c r="I7" s="6">
        <v>120</v>
      </c>
      <c r="J7" s="6">
        <v>0</v>
      </c>
      <c r="K7" s="4" t="str">
        <f t="shared" ref="K7" si="22">_xlfn.TEXTJOIN("~",1,L7:M7)</f>
        <v>360~0</v>
      </c>
      <c r="L7" s="6">
        <v>360</v>
      </c>
      <c r="M7" s="6">
        <v>0</v>
      </c>
      <c r="O7" s="4">
        <v>1</v>
      </c>
      <c r="P7" s="4">
        <v>7.5</v>
      </c>
      <c r="Q7" s="4" t="s">
        <v>23</v>
      </c>
      <c r="R7" s="4">
        <v>9</v>
      </c>
      <c r="S7" s="4">
        <v>19</v>
      </c>
      <c r="T7" s="4">
        <v>4</v>
      </c>
      <c r="U7" s="4">
        <f t="shared" si="0"/>
        <v>2.2222222222222222E-3</v>
      </c>
      <c r="V7" s="26">
        <v>450</v>
      </c>
      <c r="W7" s="5" t="str">
        <f t="shared" si="1"/>
        <v>3.75 s</v>
      </c>
      <c r="X7" s="4">
        <f t="shared" si="2"/>
        <v>0.24259259259259261</v>
      </c>
      <c r="Y7" s="4" t="str" cm="1">
        <f t="array" ref="Y7">_xlfn.TEXTJOIN("~",1,Z7:AA7/V7)</f>
        <v>0.272222222222222~-0.15</v>
      </c>
      <c r="Z7" s="26">
        <f t="shared" si="6"/>
        <v>122.5</v>
      </c>
      <c r="AA7" s="26">
        <f t="shared" si="7"/>
        <v>-67.5</v>
      </c>
      <c r="AB7" s="4" t="b">
        <v>1</v>
      </c>
      <c r="AC7" s="4">
        <f>AE7/AG7</f>
        <v>0.33333333333333331</v>
      </c>
      <c r="AD7" s="4">
        <f t="shared" ref="AD7" si="23">AF7/AG7</f>
        <v>0.83333333333333337</v>
      </c>
      <c r="AE7" s="6">
        <v>2</v>
      </c>
      <c r="AF7" s="6">
        <v>5</v>
      </c>
      <c r="AG7" s="6">
        <v>6</v>
      </c>
      <c r="AH7" s="4">
        <v>14</v>
      </c>
      <c r="AI7" s="5">
        <f t="shared" si="9"/>
        <v>266</v>
      </c>
      <c r="AJ7" s="5">
        <f t="shared" si="10"/>
        <v>3.2</v>
      </c>
      <c r="AK7" s="5">
        <f t="shared" si="11"/>
        <v>83.125</v>
      </c>
      <c r="AL7" s="5">
        <f t="shared" si="12"/>
        <v>15</v>
      </c>
      <c r="AM7" s="5">
        <f t="shared" si="13"/>
        <v>10.916666666666666</v>
      </c>
      <c r="AN7" s="5">
        <f t="shared" si="14"/>
        <v>6.833333333333333</v>
      </c>
      <c r="AO7" s="5">
        <f t="shared" si="15"/>
        <v>14.615384615384617</v>
      </c>
      <c r="AP7" s="5">
        <f t="shared" si="16"/>
        <v>18.84297520661157</v>
      </c>
      <c r="AQ7" s="5">
        <f t="shared" si="17"/>
        <v>26.511627906976745</v>
      </c>
      <c r="AR7" s="5">
        <f t="shared" si="18"/>
        <v>22.677301556794156</v>
      </c>
    </row>
    <row r="8" spans="1:44" x14ac:dyDescent="0.2">
      <c r="A8" s="4">
        <v>1320105</v>
      </c>
      <c r="B8" s="5" t="s">
        <v>45</v>
      </c>
      <c r="C8" s="5" t="s">
        <v>51</v>
      </c>
      <c r="D8" s="5" t="s">
        <v>48</v>
      </c>
      <c r="E8" s="4">
        <v>1101</v>
      </c>
      <c r="F8" s="4">
        <v>1</v>
      </c>
      <c r="G8" s="5" t="str">
        <f>TEXT(F8/120,"0.00") &amp; " s"</f>
        <v>0.01 s</v>
      </c>
      <c r="H8" s="4" t="str">
        <f>_xlfn.TEXTJOIN("~",1,I8:J8)</f>
        <v>20~25</v>
      </c>
      <c r="I8" s="6">
        <v>20</v>
      </c>
      <c r="J8" s="6">
        <v>25</v>
      </c>
      <c r="K8" s="4" t="str">
        <f>_xlfn.TEXTJOIN("~",1,L8:M8)</f>
        <v>2400~0</v>
      </c>
      <c r="L8" s="6">
        <v>2400</v>
      </c>
      <c r="M8" s="6">
        <v>0</v>
      </c>
      <c r="O8" s="4">
        <v>1</v>
      </c>
      <c r="P8" s="4">
        <v>6</v>
      </c>
      <c r="Q8" s="4" t="s">
        <v>23</v>
      </c>
      <c r="R8" s="4">
        <v>4</v>
      </c>
      <c r="S8" s="4">
        <v>4</v>
      </c>
      <c r="T8" s="4">
        <v>1</v>
      </c>
      <c r="U8" s="4">
        <f t="shared" si="0"/>
        <v>4.3859649122807015E-3</v>
      </c>
      <c r="V8" s="26">
        <v>228</v>
      </c>
      <c r="W8" s="5" t="str">
        <f t="shared" si="1"/>
        <v>1.90 s</v>
      </c>
      <c r="X8" s="4">
        <f t="shared" si="2"/>
        <v>0.23538011695906433</v>
      </c>
      <c r="Y8" s="4" t="str" cm="1">
        <f t="array" ref="Y8">_xlfn.TEXTJOIN("~",1,Z8:AA8/V8)</f>
        <v>0.293859649122807~-0.214912280701754</v>
      </c>
      <c r="Z8" s="26">
        <f t="shared" si="6"/>
        <v>67</v>
      </c>
      <c r="AA8" s="26">
        <f t="shared" si="7"/>
        <v>-49</v>
      </c>
      <c r="AB8" s="4" t="b">
        <v>1</v>
      </c>
      <c r="AC8" s="4">
        <f>AE8/AG8</f>
        <v>0.66666666666666663</v>
      </c>
      <c r="AD8" s="4">
        <f>AF8/AG8</f>
        <v>0.83333333333333337</v>
      </c>
      <c r="AE8" s="6">
        <v>8</v>
      </c>
      <c r="AF8" s="6">
        <v>10</v>
      </c>
      <c r="AG8" s="6">
        <v>12</v>
      </c>
      <c r="AH8" s="4">
        <v>18</v>
      </c>
      <c r="AI8" s="5">
        <f t="shared" si="9"/>
        <v>72</v>
      </c>
      <c r="AJ8" s="5">
        <f t="shared" si="10"/>
        <v>1.4</v>
      </c>
      <c r="AK8" s="5">
        <f t="shared" si="11"/>
        <v>51.428571428571431</v>
      </c>
      <c r="AL8" s="5">
        <f t="shared" si="12"/>
        <v>1.9</v>
      </c>
      <c r="AM8" s="5">
        <f t="shared" si="13"/>
        <v>1.3416666666666666</v>
      </c>
      <c r="AN8" s="5">
        <f t="shared" si="14"/>
        <v>0.78333333333333333</v>
      </c>
      <c r="AO8" s="5">
        <f t="shared" si="15"/>
        <v>21.81818181818182</v>
      </c>
      <c r="AP8" s="5">
        <f t="shared" si="16"/>
        <v>26.261398176291799</v>
      </c>
      <c r="AQ8" s="5">
        <f t="shared" si="17"/>
        <v>32.977099236641223</v>
      </c>
      <c r="AR8" s="5">
        <f t="shared" si="18"/>
        <v>29.619248706466511</v>
      </c>
    </row>
    <row r="9" spans="1:44" x14ac:dyDescent="0.2">
      <c r="A9" s="4">
        <v>1320106</v>
      </c>
      <c r="B9" s="5" t="s">
        <v>47</v>
      </c>
      <c r="C9" s="5" t="s">
        <v>51</v>
      </c>
      <c r="D9" s="5" t="s">
        <v>48</v>
      </c>
      <c r="E9" s="4">
        <v>1205</v>
      </c>
      <c r="F9" s="4">
        <v>1</v>
      </c>
      <c r="G9" s="5" t="str">
        <f t="shared" ref="G9" si="24">TEXT(F9/120,"0.00") &amp; " s"</f>
        <v>0.01 s</v>
      </c>
      <c r="H9" s="20" t="str">
        <f t="shared" ref="H9" si="25">_xlfn.TEXTJOIN("~",1,I9:J9)</f>
        <v/>
      </c>
      <c r="I9" s="19"/>
      <c r="J9" s="19"/>
      <c r="K9" s="4" t="str">
        <f t="shared" ref="K9" si="26">_xlfn.TEXTJOIN("~",1,L9:M9)</f>
        <v>135~0</v>
      </c>
      <c r="L9" s="6">
        <v>135</v>
      </c>
      <c r="M9" s="6">
        <v>0</v>
      </c>
      <c r="O9" s="4">
        <v>1</v>
      </c>
      <c r="P9" s="4">
        <v>3</v>
      </c>
      <c r="Q9" s="4" t="s">
        <v>23</v>
      </c>
      <c r="R9" s="4">
        <v>1</v>
      </c>
      <c r="S9" s="4">
        <v>1</v>
      </c>
      <c r="T9" s="4">
        <v>1</v>
      </c>
      <c r="U9" s="4">
        <f t="shared" si="0"/>
        <v>6.6666666666666671E-3</v>
      </c>
      <c r="V9" s="26">
        <v>150</v>
      </c>
      <c r="W9" s="5" t="str">
        <f t="shared" si="1"/>
        <v>1.25 s</v>
      </c>
      <c r="X9" s="4">
        <f t="shared" si="2"/>
        <v>0.22777777777777777</v>
      </c>
      <c r="Y9" s="4" t="str" cm="1">
        <f t="array" ref="Y9">_xlfn.TEXTJOIN("~",1,Z9:AA9/V9)</f>
        <v>0.316666666666667~-0.283333333333333</v>
      </c>
      <c r="Z9" s="26">
        <f t="shared" si="6"/>
        <v>47.5</v>
      </c>
      <c r="AA9" s="26">
        <f t="shared" si="7"/>
        <v>-42.5</v>
      </c>
      <c r="AB9" s="4" t="b">
        <v>1</v>
      </c>
      <c r="AC9" s="4">
        <f t="shared" ref="AC9" si="27">AE9/AG9</f>
        <v>0.19230769230769232</v>
      </c>
      <c r="AD9" s="4">
        <f t="shared" ref="AD9" si="28">AF9/AG9</f>
        <v>0.96153846153846156</v>
      </c>
      <c r="AE9" s="6">
        <v>5</v>
      </c>
      <c r="AF9" s="6">
        <v>25</v>
      </c>
      <c r="AG9" s="6">
        <v>26</v>
      </c>
      <c r="AH9" s="4">
        <v>1</v>
      </c>
      <c r="AI9" s="5">
        <f t="shared" si="9"/>
        <v>1</v>
      </c>
      <c r="AJ9" s="5">
        <f t="shared" si="10"/>
        <v>0.8666666666666667</v>
      </c>
      <c r="AK9" s="5">
        <f t="shared" si="11"/>
        <v>1.1538461538461537</v>
      </c>
      <c r="AL9" s="5">
        <f t="shared" si="12"/>
        <v>1.25</v>
      </c>
      <c r="AM9" s="5">
        <f t="shared" si="13"/>
        <v>0.85416666666666663</v>
      </c>
      <c r="AN9" s="5">
        <f t="shared" si="14"/>
        <v>0.45833333333333331</v>
      </c>
      <c r="AO9" s="5">
        <f t="shared" si="15"/>
        <v>0.47244094488188976</v>
      </c>
      <c r="AP9" s="5">
        <f t="shared" si="16"/>
        <v>0.58111380145278457</v>
      </c>
      <c r="AQ9" s="5">
        <f t="shared" si="17"/>
        <v>0.75471698113207553</v>
      </c>
      <c r="AR9" s="5">
        <f t="shared" si="18"/>
        <v>0.66791539129243005</v>
      </c>
    </row>
    <row r="10" spans="1:44" x14ac:dyDescent="0.2">
      <c r="A10" s="4">
        <v>1320107</v>
      </c>
      <c r="B10" s="5" t="s">
        <v>63</v>
      </c>
      <c r="C10" s="5" t="s">
        <v>51</v>
      </c>
      <c r="D10" s="5" t="s">
        <v>48</v>
      </c>
      <c r="E10" s="4">
        <v>1206</v>
      </c>
      <c r="F10" s="4">
        <v>1</v>
      </c>
      <c r="G10" s="5" t="str">
        <f t="shared" ref="G10:G12" si="29">TEXT(F10/120,"0.00") &amp; " s"</f>
        <v>0.01 s</v>
      </c>
      <c r="H10" s="20" t="str">
        <f t="shared" ref="H10" si="30">_xlfn.TEXTJOIN("~",1,I10:J10)</f>
        <v/>
      </c>
      <c r="I10" s="19"/>
      <c r="J10" s="19"/>
      <c r="K10" s="4" t="str">
        <f t="shared" ref="K10:K12" si="31">_xlfn.TEXTJOIN("~",1,L10:M10)</f>
        <v>105~480</v>
      </c>
      <c r="L10" s="6">
        <v>105</v>
      </c>
      <c r="M10" s="6">
        <v>480</v>
      </c>
      <c r="O10" s="4">
        <v>1</v>
      </c>
      <c r="P10" s="4">
        <v>5</v>
      </c>
      <c r="Q10" s="4" t="s">
        <v>23</v>
      </c>
      <c r="R10" s="4">
        <v>1</v>
      </c>
      <c r="S10" s="4">
        <v>1</v>
      </c>
      <c r="T10" s="4">
        <v>1</v>
      </c>
      <c r="U10" s="4">
        <f t="shared" si="0"/>
        <v>6.6666666666666671E-3</v>
      </c>
      <c r="V10" s="26">
        <v>150</v>
      </c>
      <c r="W10" s="5" t="str">
        <f t="shared" si="1"/>
        <v>1.25 s</v>
      </c>
      <c r="X10" s="4">
        <f t="shared" si="2"/>
        <v>0.22777777777777777</v>
      </c>
      <c r="Y10" s="4" t="str" cm="1">
        <f t="array" ref="Y10">_xlfn.TEXTJOIN("~",1,Z10:AA10/V10)</f>
        <v>0.316666666666667~-0.283333333333333</v>
      </c>
      <c r="Z10" s="26">
        <f t="shared" si="6"/>
        <v>47.5</v>
      </c>
      <c r="AA10" s="26">
        <f t="shared" si="7"/>
        <v>-42.5</v>
      </c>
      <c r="AB10" s="4" t="b">
        <v>1</v>
      </c>
      <c r="AC10" s="4">
        <f t="shared" ref="AC10:AC12" si="32">AE10/AG10</f>
        <v>0.19230769230769232</v>
      </c>
      <c r="AD10" s="4">
        <f t="shared" ref="AD10:AD12" si="33">AF10/AG10</f>
        <v>0.96153846153846156</v>
      </c>
      <c r="AE10" s="6">
        <v>5</v>
      </c>
      <c r="AF10" s="6">
        <v>25</v>
      </c>
      <c r="AG10" s="6">
        <v>26</v>
      </c>
      <c r="AH10" s="4">
        <v>1</v>
      </c>
      <c r="AI10" s="5">
        <f t="shared" si="9"/>
        <v>1</v>
      </c>
      <c r="AJ10" s="5">
        <f t="shared" si="10"/>
        <v>0.8666666666666667</v>
      </c>
      <c r="AK10" s="5">
        <f t="shared" si="11"/>
        <v>1.1538461538461537</v>
      </c>
      <c r="AL10" s="5">
        <f t="shared" si="12"/>
        <v>1.25</v>
      </c>
      <c r="AM10" s="5">
        <f t="shared" si="13"/>
        <v>0.85416666666666663</v>
      </c>
      <c r="AN10" s="5">
        <f t="shared" si="14"/>
        <v>0.45833333333333331</v>
      </c>
      <c r="AO10" s="5">
        <f t="shared" si="15"/>
        <v>0.47244094488188976</v>
      </c>
      <c r="AP10" s="5">
        <f t="shared" si="16"/>
        <v>0.58111380145278457</v>
      </c>
      <c r="AQ10" s="5">
        <f t="shared" si="17"/>
        <v>0.75471698113207553</v>
      </c>
      <c r="AR10" s="5">
        <f t="shared" si="18"/>
        <v>0.66791539129243005</v>
      </c>
    </row>
    <row r="11" spans="1:44" x14ac:dyDescent="0.2">
      <c r="A11" s="4">
        <v>1321101</v>
      </c>
      <c r="B11" s="5" t="s">
        <v>66</v>
      </c>
      <c r="C11" s="5" t="s">
        <v>51</v>
      </c>
      <c r="D11" s="5" t="s">
        <v>48</v>
      </c>
      <c r="E11" s="4">
        <v>1201</v>
      </c>
      <c r="F11" s="4">
        <v>1</v>
      </c>
      <c r="G11" s="5" t="str">
        <f t="shared" si="29"/>
        <v>0.01 s</v>
      </c>
      <c r="H11" s="4" t="str">
        <f>_xlfn.TEXTJOIN("~",1,I11:J11)</f>
        <v>99~0</v>
      </c>
      <c r="I11" s="6">
        <v>99</v>
      </c>
      <c r="J11" s="6">
        <v>0</v>
      </c>
      <c r="K11" s="4" t="str">
        <f t="shared" si="31"/>
        <v>180~0</v>
      </c>
      <c r="L11" s="6">
        <v>180</v>
      </c>
      <c r="M11" s="6">
        <v>0</v>
      </c>
      <c r="O11" s="4">
        <v>1</v>
      </c>
      <c r="P11" s="4">
        <v>6</v>
      </c>
      <c r="Q11" s="4" t="s">
        <v>23</v>
      </c>
      <c r="R11" s="4">
        <v>1</v>
      </c>
      <c r="S11" s="4">
        <v>6</v>
      </c>
      <c r="T11" s="4">
        <v>0</v>
      </c>
      <c r="U11" s="4">
        <f t="shared" si="0"/>
        <v>8.3333333333333332E-3</v>
      </c>
      <c r="V11" s="26">
        <v>120</v>
      </c>
      <c r="W11" s="5" t="str">
        <f t="shared" si="1"/>
        <v>1.00 s</v>
      </c>
      <c r="X11" s="4">
        <f t="shared" si="2"/>
        <v>0.22222222222222224</v>
      </c>
      <c r="Y11" s="4" t="str" cm="1">
        <f t="array" ref="Y11">_xlfn.TEXTJOIN("~",1,Z11:AA11/V11)</f>
        <v>0.333333333333333~-0.333333333333333</v>
      </c>
      <c r="Z11" s="26">
        <f t="shared" si="6"/>
        <v>40</v>
      </c>
      <c r="AA11" s="26">
        <f t="shared" si="7"/>
        <v>-40</v>
      </c>
      <c r="AB11" s="4" t="b">
        <v>0</v>
      </c>
      <c r="AC11" s="4">
        <f t="shared" si="32"/>
        <v>0.25</v>
      </c>
      <c r="AD11" s="4">
        <f t="shared" si="33"/>
        <v>0.33333333333333331</v>
      </c>
      <c r="AE11" s="6">
        <v>3</v>
      </c>
      <c r="AF11" s="6">
        <v>4</v>
      </c>
      <c r="AG11" s="6">
        <v>12</v>
      </c>
      <c r="AH11" s="4">
        <v>19</v>
      </c>
      <c r="AI11" s="5">
        <f t="shared" si="9"/>
        <v>114</v>
      </c>
      <c r="AJ11" s="5">
        <f t="shared" si="10"/>
        <v>1.0666666666666667</v>
      </c>
      <c r="AK11" s="5">
        <f t="shared" si="11"/>
        <v>106.875</v>
      </c>
      <c r="AL11" s="5">
        <f t="shared" si="12"/>
        <v>6</v>
      </c>
      <c r="AM11" s="5">
        <f t="shared" si="13"/>
        <v>4</v>
      </c>
      <c r="AN11" s="5">
        <f t="shared" si="14"/>
        <v>2</v>
      </c>
      <c r="AO11" s="5">
        <f t="shared" si="15"/>
        <v>16.132075471698112</v>
      </c>
      <c r="AP11" s="5">
        <f t="shared" si="16"/>
        <v>22.5</v>
      </c>
      <c r="AQ11" s="5">
        <f t="shared" si="17"/>
        <v>37.173913043478265</v>
      </c>
      <c r="AR11" s="5">
        <f t="shared" si="18"/>
        <v>29.836956521739133</v>
      </c>
    </row>
    <row r="12" spans="1:44" x14ac:dyDescent="0.2">
      <c r="A12" s="4">
        <v>1321102</v>
      </c>
      <c r="B12" s="5" t="s">
        <v>71</v>
      </c>
      <c r="C12" s="5" t="s">
        <v>51</v>
      </c>
      <c r="D12" s="5" t="s">
        <v>48</v>
      </c>
      <c r="E12" s="4">
        <v>1202</v>
      </c>
      <c r="F12" s="4">
        <v>1</v>
      </c>
      <c r="G12" s="5" t="str">
        <f t="shared" si="29"/>
        <v>0.01 s</v>
      </c>
      <c r="H12" s="4" t="str">
        <f t="shared" ref="H12" si="34">_xlfn.TEXTJOIN("~",1,I12:J12)</f>
        <v>60~100</v>
      </c>
      <c r="I12" s="6">
        <v>60</v>
      </c>
      <c r="J12" s="6">
        <v>100</v>
      </c>
      <c r="K12" s="4" t="str">
        <f t="shared" si="31"/>
        <v>12~24</v>
      </c>
      <c r="L12" s="6">
        <v>12</v>
      </c>
      <c r="M12" s="6">
        <v>24</v>
      </c>
      <c r="O12" s="4">
        <v>12</v>
      </c>
      <c r="P12" s="4">
        <v>12.5</v>
      </c>
      <c r="Q12" s="4" t="s">
        <v>23</v>
      </c>
      <c r="R12" s="4">
        <v>1</v>
      </c>
      <c r="S12" s="4">
        <v>2</v>
      </c>
      <c r="T12" s="4">
        <v>0</v>
      </c>
      <c r="U12" s="4">
        <f t="shared" si="0"/>
        <v>4.1666666666666666E-3</v>
      </c>
      <c r="V12" s="26">
        <v>240</v>
      </c>
      <c r="W12" s="5" t="str">
        <f t="shared" si="1"/>
        <v>2.00 s</v>
      </c>
      <c r="X12" s="4">
        <f t="shared" si="2"/>
        <v>0.2361111111111111</v>
      </c>
      <c r="Y12" s="4" t="str" cm="1">
        <f t="array" ref="Y12">_xlfn.TEXTJOIN("~",1,Z12:AA12/V12)</f>
        <v>0.291666666666667~-0.208333333333333</v>
      </c>
      <c r="Z12" s="26">
        <f t="shared" si="6"/>
        <v>70</v>
      </c>
      <c r="AA12" s="26">
        <f t="shared" si="7"/>
        <v>-50</v>
      </c>
      <c r="AB12" s="4" t="b">
        <v>0</v>
      </c>
      <c r="AC12" s="4">
        <f t="shared" si="32"/>
        <v>0.2</v>
      </c>
      <c r="AD12" s="4">
        <f t="shared" si="33"/>
        <v>0.25</v>
      </c>
      <c r="AE12" s="6">
        <v>4</v>
      </c>
      <c r="AF12" s="6">
        <v>5</v>
      </c>
      <c r="AG12" s="6">
        <v>20</v>
      </c>
      <c r="AH12" s="4">
        <v>7</v>
      </c>
      <c r="AI12" s="5">
        <f t="shared" si="9"/>
        <v>168</v>
      </c>
      <c r="AJ12" s="5">
        <f t="shared" si="10"/>
        <v>0.83333333333333337</v>
      </c>
      <c r="AK12" s="5">
        <f t="shared" si="11"/>
        <v>201.6</v>
      </c>
      <c r="AL12" s="5">
        <f t="shared" si="12"/>
        <v>4</v>
      </c>
      <c r="AM12" s="5">
        <f t="shared" si="13"/>
        <v>2.8333333333333335</v>
      </c>
      <c r="AN12" s="5">
        <f t="shared" si="14"/>
        <v>1.6666666666666667</v>
      </c>
      <c r="AO12" s="5">
        <f t="shared" si="15"/>
        <v>34.758620689655174</v>
      </c>
      <c r="AP12" s="5">
        <f t="shared" si="16"/>
        <v>45.818181818181813</v>
      </c>
      <c r="AQ12" s="5">
        <f t="shared" si="17"/>
        <v>67.2</v>
      </c>
      <c r="AR12" s="5">
        <f t="shared" si="18"/>
        <v>56.509090909090908</v>
      </c>
    </row>
    <row r="13" spans="1:44" x14ac:dyDescent="0.2">
      <c r="A13" s="12"/>
    </row>
    <row r="14" spans="1:44" x14ac:dyDescent="0.2">
      <c r="A14" s="12">
        <v>1330101</v>
      </c>
      <c r="B14" s="5" t="s">
        <v>46</v>
      </c>
      <c r="C14" s="5" t="s">
        <v>51</v>
      </c>
      <c r="D14" s="5" t="s">
        <v>49</v>
      </c>
      <c r="E14" s="4">
        <v>1203</v>
      </c>
      <c r="F14" s="4">
        <v>400</v>
      </c>
      <c r="G14" s="5" t="str">
        <f>TEXT(F14/120,"0.00") &amp; " s"</f>
        <v>3.33 s</v>
      </c>
      <c r="H14" s="4" t="str">
        <f>_xlfn.TEXTJOIN("~",1,I14:J14)</f>
        <v>8~12</v>
      </c>
      <c r="I14" s="6">
        <v>8</v>
      </c>
      <c r="J14" s="6">
        <v>12</v>
      </c>
      <c r="K14" s="4" t="str">
        <f>_xlfn.TEXTJOIN("~",1,L14:M14)</f>
        <v>2000~0</v>
      </c>
      <c r="L14" s="6">
        <v>2000</v>
      </c>
      <c r="M14" s="6">
        <v>0</v>
      </c>
      <c r="O14" s="4">
        <v>1</v>
      </c>
      <c r="P14" s="4">
        <v>8</v>
      </c>
      <c r="Q14" s="4" t="s">
        <v>23</v>
      </c>
      <c r="R14" s="4">
        <v>1</v>
      </c>
      <c r="S14" s="4">
        <v>1</v>
      </c>
      <c r="T14" s="4">
        <v>2</v>
      </c>
      <c r="U14" s="4">
        <f>1/V14</f>
        <v>2.5000000000000001E-3</v>
      </c>
      <c r="V14" s="26">
        <v>400</v>
      </c>
      <c r="W14" s="5" t="str">
        <f>TEXT(V14/120,"0.00") &amp; " s"</f>
        <v>3.33 s</v>
      </c>
      <c r="X14" s="4">
        <f>(V14-Z14)/3/V14</f>
        <v>0.24166666666666667</v>
      </c>
      <c r="Y14" s="4" t="str" cm="1">
        <f t="array" ref="Y14">_xlfn.TEXTJOIN("~",1,Z14:AA14/V14)</f>
        <v>0.275~-0.158333333333333</v>
      </c>
      <c r="Z14" s="26">
        <f t="shared" si="6"/>
        <v>110</v>
      </c>
      <c r="AA14" s="26">
        <f t="shared" si="7"/>
        <v>-63.333333333333336</v>
      </c>
      <c r="AB14" s="4" t="b">
        <v>0</v>
      </c>
      <c r="AC14" s="4">
        <f>AE14/AG14</f>
        <v>0.53125</v>
      </c>
      <c r="AD14" s="4">
        <f>AF14/AG14</f>
        <v>0.875</v>
      </c>
      <c r="AE14" s="6">
        <v>17</v>
      </c>
      <c r="AF14" s="6">
        <v>28</v>
      </c>
      <c r="AG14" s="6">
        <v>32</v>
      </c>
      <c r="AH14" s="4">
        <v>199</v>
      </c>
      <c r="AI14" s="5">
        <f t="shared" si="9"/>
        <v>199</v>
      </c>
      <c r="AJ14" s="5">
        <f t="shared" si="10"/>
        <v>1.0666666666666667</v>
      </c>
      <c r="AK14" s="5">
        <f t="shared" si="11"/>
        <v>186.5625</v>
      </c>
      <c r="AL14" s="5">
        <f t="shared" si="12"/>
        <v>6.666666666666667</v>
      </c>
      <c r="AM14" s="5">
        <f t="shared" si="13"/>
        <v>4.833333333333333</v>
      </c>
      <c r="AN14" s="5">
        <f t="shared" si="14"/>
        <v>3</v>
      </c>
      <c r="AO14" s="5">
        <f t="shared" si="15"/>
        <v>25.732758620689655</v>
      </c>
      <c r="AP14" s="5">
        <f t="shared" si="16"/>
        <v>33.728813559322035</v>
      </c>
      <c r="AQ14" s="5">
        <f t="shared" si="17"/>
        <v>48.934426229508198</v>
      </c>
      <c r="AR14" s="5">
        <f t="shared" si="18"/>
        <v>41.331619894415113</v>
      </c>
    </row>
    <row r="16" spans="1:44" x14ac:dyDescent="0.2">
      <c r="A16" s="12"/>
    </row>
    <row r="17" spans="1:37" x14ac:dyDescent="0.2">
      <c r="A17" s="4">
        <v>201104</v>
      </c>
      <c r="B17" s="5" t="s">
        <v>115</v>
      </c>
      <c r="C17" s="5" t="s">
        <v>114</v>
      </c>
      <c r="D17" s="5" t="s">
        <v>117</v>
      </c>
      <c r="E17" s="4">
        <v>2101</v>
      </c>
      <c r="F17" s="4">
        <v>360</v>
      </c>
      <c r="G17" s="5" t="str">
        <f t="shared" ref="G17" si="35">TEXT(F17/120,"0.00") &amp; " s"</f>
        <v>3.00 s</v>
      </c>
      <c r="H17" s="4" t="str">
        <f>_xlfn.TEXTJOIN("~",1,I17:J17)</f>
        <v>8~0</v>
      </c>
      <c r="I17" s="6">
        <v>8</v>
      </c>
      <c r="J17" s="6">
        <v>0</v>
      </c>
      <c r="K17" s="4" t="str">
        <f t="shared" ref="K17" si="36">_xlfn.TEXTJOIN("~",1,L17:M17)</f>
        <v>1500~0</v>
      </c>
      <c r="L17" s="6">
        <v>1500</v>
      </c>
      <c r="M17" s="6">
        <v>0</v>
      </c>
      <c r="O17" s="4">
        <v>1</v>
      </c>
      <c r="P17" s="4">
        <v>4</v>
      </c>
      <c r="Q17" s="4" t="s">
        <v>23</v>
      </c>
      <c r="R17" s="23">
        <v>1</v>
      </c>
      <c r="S17" s="23">
        <v>1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>
        <v>30</v>
      </c>
      <c r="AH17" s="4">
        <v>5</v>
      </c>
      <c r="AI17" s="5">
        <f t="shared" ref="AI17:AI19" si="37">AH17*O17*S17</f>
        <v>5</v>
      </c>
      <c r="AJ17" s="5">
        <f t="shared" si="10"/>
        <v>1</v>
      </c>
      <c r="AK17" s="5">
        <f t="shared" ref="AK17:AK19" si="38">$AH17*$S17/$AJ17</f>
        <v>5</v>
      </c>
    </row>
    <row r="18" spans="1:37" x14ac:dyDescent="0.2">
      <c r="A18" s="4">
        <v>201105</v>
      </c>
      <c r="B18" s="5" t="s">
        <v>116</v>
      </c>
      <c r="C18" s="5" t="s">
        <v>114</v>
      </c>
      <c r="D18" s="5" t="s">
        <v>118</v>
      </c>
      <c r="E18" s="4">
        <v>2101</v>
      </c>
      <c r="F18" s="4">
        <v>240</v>
      </c>
      <c r="G18" s="5" t="str">
        <f t="shared" ref="G18" si="39">TEXT(F18/120,"0.00") &amp; " s"</f>
        <v>2.00 s</v>
      </c>
      <c r="H18" s="4" t="str">
        <f>_xlfn.TEXTJOIN("~",1,I18:J18)</f>
        <v>8~0</v>
      </c>
      <c r="I18" s="6">
        <v>8</v>
      </c>
      <c r="J18" s="6">
        <v>0</v>
      </c>
      <c r="K18" s="4" t="str">
        <f t="shared" ref="K18" si="40">_xlfn.TEXTJOIN("~",1,L18:M18)</f>
        <v>1500~0</v>
      </c>
      <c r="L18" s="6">
        <v>1500</v>
      </c>
      <c r="M18" s="6">
        <v>0</v>
      </c>
      <c r="O18" s="4">
        <v>1</v>
      </c>
      <c r="P18" s="4">
        <v>5</v>
      </c>
      <c r="Q18" s="4" t="s">
        <v>23</v>
      </c>
      <c r="R18" s="23">
        <v>1</v>
      </c>
      <c r="S18" s="23">
        <v>1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>
        <v>30</v>
      </c>
      <c r="AH18" s="4">
        <v>6</v>
      </c>
      <c r="AI18" s="5">
        <f t="shared" si="37"/>
        <v>6</v>
      </c>
      <c r="AJ18" s="5">
        <f t="shared" si="10"/>
        <v>1</v>
      </c>
      <c r="AK18" s="5">
        <f t="shared" si="38"/>
        <v>6</v>
      </c>
    </row>
    <row r="19" spans="1:37" x14ac:dyDescent="0.2">
      <c r="A19" s="4">
        <v>201106</v>
      </c>
      <c r="B19" s="5" t="s">
        <v>120</v>
      </c>
      <c r="C19" s="5" t="s">
        <v>114</v>
      </c>
      <c r="D19" s="5" t="s">
        <v>119</v>
      </c>
      <c r="E19" s="4">
        <v>2101</v>
      </c>
      <c r="F19" s="4">
        <v>480</v>
      </c>
      <c r="G19" s="5" t="str">
        <f t="shared" ref="G19" si="41">TEXT(F19/120,"0.00") &amp; " s"</f>
        <v>4.00 s</v>
      </c>
      <c r="H19" s="4" t="str">
        <f>_xlfn.TEXTJOIN("~",1,I19:J19)</f>
        <v>7~0</v>
      </c>
      <c r="I19" s="6">
        <v>7</v>
      </c>
      <c r="J19" s="6">
        <v>0</v>
      </c>
      <c r="K19" s="4" t="str">
        <f t="shared" ref="K19" si="42">_xlfn.TEXTJOIN("~",1,L19:M19)</f>
        <v>1500~0</v>
      </c>
      <c r="L19" s="6">
        <v>1500</v>
      </c>
      <c r="M19" s="6">
        <v>0</v>
      </c>
      <c r="O19" s="4">
        <v>1</v>
      </c>
      <c r="P19" s="4">
        <v>6</v>
      </c>
      <c r="Q19" s="4" t="s">
        <v>23</v>
      </c>
      <c r="R19" s="23">
        <v>1</v>
      </c>
      <c r="S19" s="23">
        <v>1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>
        <v>35</v>
      </c>
      <c r="AH19" s="4">
        <v>8</v>
      </c>
      <c r="AI19" s="5">
        <f t="shared" si="37"/>
        <v>8</v>
      </c>
      <c r="AJ19" s="5">
        <f t="shared" si="10"/>
        <v>1.1666666666666667</v>
      </c>
      <c r="AK19" s="5">
        <f t="shared" si="38"/>
        <v>6.8571428571428568</v>
      </c>
    </row>
  </sheetData>
  <phoneticPr fontId="9" type="noConversion"/>
  <conditionalFormatting sqref="AI1:AI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{0C572639-578B-4D28-B810-CE91C1953474}</x14:id>
        </ext>
      </extLst>
    </cfRule>
  </conditionalFormatting>
  <conditionalFormatting sqref="AO1:AO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{BD30F37F-BF7F-4344-AB3A-297D14F0C21E}</x14:id>
        </ext>
      </extLst>
    </cfRule>
  </conditionalFormatting>
  <conditionalFormatting sqref="AP1:AP104857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{D8AA8191-F23C-420D-A9D3-C5DE1E5C1842}</x14:id>
        </ext>
      </extLst>
    </cfRule>
  </conditionalFormatting>
  <conditionalFormatting sqref="AQ1:AQ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{379AD721-32CD-4D30-A954-3B5150C7A500}</x14:id>
        </ext>
      </extLst>
    </cfRule>
  </conditionalFormatting>
  <conditionalFormatting sqref="AR1:AR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{21B6F560-B60A-46B8-A5D6-22AB2A889A97}</x14:id>
        </ext>
      </extLst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572639-578B-4D28-B810-CE91C19534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BD30F37F-BF7F-4344-AB3A-297D14F0C2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D8AA8191-F23C-420D-A9D3-C5DE1E5C18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AP1:AP1048576</xm:sqref>
        </x14:conditionalFormatting>
        <x14:conditionalFormatting xmlns:xm="http://schemas.microsoft.com/office/excel/2006/main">
          <x14:cfRule type="dataBar" id="{379AD721-32CD-4D30-A954-3B5150C7A5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AQ1:AQ1048576</xm:sqref>
        </x14:conditionalFormatting>
        <x14:conditionalFormatting xmlns:xm="http://schemas.microsoft.com/office/excel/2006/main">
          <x14:cfRule type="dataBar" id="{21B6F560-B60A-46B8-A5D6-22AB2A889A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AR1:AR1048576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AE68-3AEF-436E-9451-12CF6E32CD82}">
  <dimension ref="A1:N8"/>
  <sheetViews>
    <sheetView workbookViewId="0">
      <pane xSplit="3" ySplit="3" topLeftCell="D4" activePane="bottomRight" state="frozen"/>
      <selection pane="topRight" activeCell="E1" sqref="E1"/>
      <selection pane="bottomLeft" activeCell="A4" sqref="A4"/>
      <selection pane="bottomRight" activeCell="L13" sqref="L13"/>
    </sheetView>
  </sheetViews>
  <sheetFormatPr defaultColWidth="9.125" defaultRowHeight="14.25" x14ac:dyDescent="0.2"/>
  <cols>
    <col min="1" max="1" width="12.5" style="4" customWidth="1"/>
    <col min="2" max="2" width="11.5" style="5" bestFit="1" customWidth="1"/>
    <col min="3" max="3" width="18.25" style="5" bestFit="1" customWidth="1"/>
    <col min="4" max="4" width="11.375" style="4" customWidth="1"/>
    <col min="5" max="5" width="9.25" style="5" customWidth="1"/>
    <col min="6" max="9" width="14.875" style="4" customWidth="1"/>
    <col min="10" max="10" width="19" style="4" bestFit="1" customWidth="1"/>
    <col min="11" max="13" width="17.875" style="4" customWidth="1"/>
    <col min="14" max="14" width="12.75" style="5" customWidth="1"/>
    <col min="15" max="16384" width="9.125" style="4"/>
  </cols>
  <sheetData>
    <row r="1" spans="1:14" s="1" customFormat="1" x14ac:dyDescent="0.2">
      <c r="A1" s="1" t="s">
        <v>0</v>
      </c>
      <c r="B1" s="7"/>
      <c r="C1" s="7"/>
      <c r="D1" s="1" t="s">
        <v>32</v>
      </c>
      <c r="E1" s="7"/>
      <c r="F1" s="1" t="s">
        <v>85</v>
      </c>
      <c r="G1" s="1" t="s">
        <v>86</v>
      </c>
      <c r="H1" s="1" t="s">
        <v>87</v>
      </c>
      <c r="I1" s="1" t="s">
        <v>93</v>
      </c>
      <c r="J1" s="1" t="s">
        <v>95</v>
      </c>
      <c r="K1" s="1" t="s">
        <v>78</v>
      </c>
      <c r="L1" s="1" t="s">
        <v>90</v>
      </c>
      <c r="M1" s="1" t="s">
        <v>91</v>
      </c>
      <c r="N1" s="7"/>
    </row>
    <row r="2" spans="1:14" s="2" customFormat="1" x14ac:dyDescent="0.2">
      <c r="A2" s="2" t="s">
        <v>9</v>
      </c>
      <c r="B2" s="7"/>
      <c r="C2" s="7"/>
      <c r="D2" s="2" t="s">
        <v>31</v>
      </c>
      <c r="E2" s="7"/>
      <c r="F2" s="2" t="s">
        <v>81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14</v>
      </c>
      <c r="L2" s="2" t="s">
        <v>14</v>
      </c>
      <c r="M2" s="2" t="s">
        <v>14</v>
      </c>
      <c r="N2" s="7"/>
    </row>
    <row r="3" spans="1:14" s="3" customFormat="1" ht="28.5" x14ac:dyDescent="0.2">
      <c r="A3" s="10" t="s">
        <v>88</v>
      </c>
      <c r="B3" s="11" t="s">
        <v>76</v>
      </c>
      <c r="C3" s="11" t="s">
        <v>89</v>
      </c>
      <c r="D3" s="18" t="s">
        <v>33</v>
      </c>
      <c r="E3" s="11" t="s">
        <v>34</v>
      </c>
      <c r="F3" s="18" t="s">
        <v>84</v>
      </c>
      <c r="G3" s="18" t="s">
        <v>83</v>
      </c>
      <c r="H3" s="18" t="s">
        <v>82</v>
      </c>
      <c r="I3" s="18" t="s">
        <v>94</v>
      </c>
      <c r="J3" s="18" t="s">
        <v>96</v>
      </c>
      <c r="K3" s="10" t="s">
        <v>92</v>
      </c>
      <c r="L3" s="10" t="s">
        <v>79</v>
      </c>
      <c r="M3" s="18" t="s">
        <v>80</v>
      </c>
      <c r="N3" s="11" t="s">
        <v>107</v>
      </c>
    </row>
    <row r="4" spans="1:14" x14ac:dyDescent="0.2">
      <c r="A4" s="4">
        <v>1350101</v>
      </c>
      <c r="B4" s="5" t="s">
        <v>72</v>
      </c>
      <c r="C4" s="5" t="s">
        <v>75</v>
      </c>
      <c r="D4" s="4">
        <v>120</v>
      </c>
      <c r="E4" s="5" t="str">
        <f>TEXT(D4/120,"0.00") &amp; " s"</f>
        <v>1.00 s</v>
      </c>
      <c r="F4" s="4">
        <v>15</v>
      </c>
      <c r="G4" s="4">
        <v>6</v>
      </c>
      <c r="H4" s="4">
        <v>16</v>
      </c>
      <c r="I4" s="4">
        <v>100</v>
      </c>
      <c r="J4" s="4">
        <v>3</v>
      </c>
      <c r="K4" s="4">
        <v>2</v>
      </c>
      <c r="L4" s="4">
        <v>1</v>
      </c>
      <c r="M4" s="4">
        <v>60</v>
      </c>
      <c r="N4" s="5">
        <f>$L4*120/$M4</f>
        <v>2</v>
      </c>
    </row>
    <row r="5" spans="1:14" x14ac:dyDescent="0.2">
      <c r="A5" s="4">
        <v>1350102</v>
      </c>
      <c r="B5" s="5" t="s">
        <v>105</v>
      </c>
      <c r="C5" s="5" t="s">
        <v>75</v>
      </c>
      <c r="D5" s="4">
        <v>120</v>
      </c>
      <c r="E5" s="5" t="str">
        <f t="shared" ref="E5" si="0">TEXT(D5/120,"0.00") &amp; " s"</f>
        <v>1.00 s</v>
      </c>
      <c r="F5" s="4">
        <v>12.5</v>
      </c>
      <c r="G5" s="4">
        <v>3</v>
      </c>
      <c r="H5" s="4">
        <v>12</v>
      </c>
      <c r="I5" s="4">
        <v>100</v>
      </c>
      <c r="J5" s="4">
        <v>3</v>
      </c>
      <c r="K5" s="4">
        <v>1</v>
      </c>
      <c r="L5" s="4">
        <v>1</v>
      </c>
      <c r="M5" s="4">
        <v>60</v>
      </c>
      <c r="N5" s="5">
        <f t="shared" ref="N5:N8" si="1">$L5*120/$M5</f>
        <v>2</v>
      </c>
    </row>
    <row r="6" spans="1:14" x14ac:dyDescent="0.2">
      <c r="A6" s="4">
        <v>1350103</v>
      </c>
      <c r="B6" s="5" t="s">
        <v>106</v>
      </c>
      <c r="C6" s="5" t="s">
        <v>75</v>
      </c>
      <c r="D6" s="4">
        <v>120</v>
      </c>
      <c r="E6" s="5" t="str">
        <f t="shared" ref="E6" si="2">TEXT(D6/120,"0.00") &amp; " s"</f>
        <v>1.00 s</v>
      </c>
      <c r="F6" s="4">
        <v>12.5</v>
      </c>
      <c r="G6" s="4">
        <v>3</v>
      </c>
      <c r="H6" s="4">
        <v>12</v>
      </c>
      <c r="I6" s="4">
        <v>100</v>
      </c>
      <c r="J6" s="4">
        <v>3</v>
      </c>
      <c r="K6" s="4">
        <v>1</v>
      </c>
      <c r="L6" s="4">
        <v>1</v>
      </c>
      <c r="M6" s="4">
        <v>60</v>
      </c>
      <c r="N6" s="5">
        <f t="shared" si="1"/>
        <v>2</v>
      </c>
    </row>
    <row r="7" spans="1:14" x14ac:dyDescent="0.2">
      <c r="A7" s="4">
        <v>1351101</v>
      </c>
      <c r="B7" s="5" t="s">
        <v>73</v>
      </c>
      <c r="C7" s="5" t="s">
        <v>75</v>
      </c>
      <c r="D7" s="4">
        <v>5</v>
      </c>
      <c r="E7" s="5" t="str">
        <f>TEXT(D7/120,"0.00") &amp; " s"</f>
        <v>0.04 s</v>
      </c>
      <c r="F7" s="4">
        <v>17.5</v>
      </c>
      <c r="G7" s="4">
        <v>7</v>
      </c>
      <c r="H7" s="4">
        <v>8</v>
      </c>
      <c r="I7" s="4">
        <v>120</v>
      </c>
      <c r="J7" s="4">
        <v>3</v>
      </c>
      <c r="K7" s="4">
        <v>15</v>
      </c>
      <c r="L7" s="4">
        <v>1</v>
      </c>
      <c r="M7" s="4">
        <v>120</v>
      </c>
      <c r="N7" s="5">
        <f t="shared" si="1"/>
        <v>1</v>
      </c>
    </row>
    <row r="8" spans="1:14" x14ac:dyDescent="0.2">
      <c r="A8" s="4">
        <v>1351102</v>
      </c>
      <c r="B8" s="5" t="s">
        <v>74</v>
      </c>
      <c r="C8" s="5" t="s">
        <v>75</v>
      </c>
      <c r="D8" s="4">
        <v>60</v>
      </c>
      <c r="E8" s="5" t="str">
        <f t="shared" ref="E8" si="3">TEXT(D8/120,"0.00") &amp; " s"</f>
        <v>0.50 s</v>
      </c>
      <c r="F8" s="4">
        <v>10</v>
      </c>
      <c r="G8" s="4">
        <v>2.5</v>
      </c>
      <c r="H8" s="4">
        <v>3</v>
      </c>
      <c r="I8" s="4">
        <v>150</v>
      </c>
      <c r="J8" s="4">
        <v>3</v>
      </c>
      <c r="K8" s="4">
        <v>5</v>
      </c>
      <c r="L8" s="4">
        <v>4</v>
      </c>
      <c r="M8" s="4">
        <v>60</v>
      </c>
      <c r="N8" s="5">
        <f t="shared" si="1"/>
        <v>8</v>
      </c>
    </row>
  </sheetData>
  <phoneticPr fontId="1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95D1-9D3F-4612-A64F-FD707D575DFC}">
  <dimension ref="A1:Q4"/>
  <sheetViews>
    <sheetView tabSelected="1" workbookViewId="0">
      <pane xSplit="3" ySplit="3" topLeftCell="D4" activePane="bottomRight" state="frozen"/>
      <selection pane="topRight" activeCell="E1" sqref="E1"/>
      <selection pane="bottomLeft" activeCell="A4" sqref="A4"/>
      <selection pane="bottomRight" activeCell="H5" sqref="H5"/>
    </sheetView>
  </sheetViews>
  <sheetFormatPr defaultColWidth="9.125" defaultRowHeight="14.25" x14ac:dyDescent="0.2"/>
  <cols>
    <col min="1" max="1" width="12.5" style="4" customWidth="1"/>
    <col min="2" max="2" width="11.5" style="5" bestFit="1" customWidth="1"/>
    <col min="3" max="3" width="13.625" style="5" bestFit="1" customWidth="1"/>
    <col min="4" max="4" width="11.375" style="4" customWidth="1"/>
    <col min="5" max="5" width="9.25" style="5" customWidth="1"/>
    <col min="6" max="6" width="14.625" style="4" customWidth="1"/>
    <col min="7" max="7" width="20.75" style="4" customWidth="1"/>
    <col min="8" max="10" width="10.875" style="6" customWidth="1"/>
    <col min="11" max="11" width="11.375" style="4" customWidth="1"/>
    <col min="12" max="12" width="16" style="4" customWidth="1"/>
    <col min="13" max="13" width="14.25" style="4" bestFit="1" customWidth="1"/>
    <col min="14" max="14" width="9.125" style="4"/>
    <col min="15" max="16" width="12.75" style="5" customWidth="1"/>
    <col min="17" max="17" width="12.25" style="4" bestFit="1" customWidth="1"/>
    <col min="18" max="16384" width="9.125" style="4"/>
  </cols>
  <sheetData>
    <row r="1" spans="1:17" s="1" customFormat="1" x14ac:dyDescent="0.2">
      <c r="A1" s="1" t="s">
        <v>0</v>
      </c>
      <c r="B1" s="7"/>
      <c r="C1" s="7"/>
      <c r="D1" s="1" t="s">
        <v>32</v>
      </c>
      <c r="E1" s="7"/>
      <c r="F1" s="1" t="s">
        <v>126</v>
      </c>
      <c r="G1" s="1" t="s">
        <v>56</v>
      </c>
      <c r="H1" s="8"/>
      <c r="I1" s="8"/>
      <c r="J1" s="8"/>
      <c r="K1" s="1" t="s">
        <v>153</v>
      </c>
      <c r="L1" s="1" t="s">
        <v>61</v>
      </c>
      <c r="M1" s="1" t="s">
        <v>64</v>
      </c>
      <c r="N1" s="1" t="s">
        <v>8</v>
      </c>
      <c r="O1" s="7"/>
      <c r="P1" s="7"/>
      <c r="Q1" s="1" t="s">
        <v>57</v>
      </c>
    </row>
    <row r="2" spans="1:17" s="2" customFormat="1" x14ac:dyDescent="0.2">
      <c r="A2" s="2" t="s">
        <v>9</v>
      </c>
      <c r="B2" s="7"/>
      <c r="C2" s="7"/>
      <c r="D2" s="2" t="s">
        <v>31</v>
      </c>
      <c r="E2" s="7"/>
      <c r="F2" s="2" t="s">
        <v>125</v>
      </c>
      <c r="G2" s="2" t="s">
        <v>11</v>
      </c>
      <c r="H2" s="9"/>
      <c r="I2" s="9"/>
      <c r="J2" s="9"/>
      <c r="K2" s="2" t="s">
        <v>59</v>
      </c>
      <c r="L2" s="2" t="s">
        <v>59</v>
      </c>
      <c r="M2" s="2" t="s">
        <v>59</v>
      </c>
      <c r="N2" s="2" t="s">
        <v>14</v>
      </c>
      <c r="O2" s="7"/>
      <c r="P2" s="7"/>
      <c r="Q2" s="2" t="s">
        <v>59</v>
      </c>
    </row>
    <row r="3" spans="1:17" s="3" customFormat="1" ht="57" x14ac:dyDescent="0.2">
      <c r="A3" s="10" t="s">
        <v>150</v>
      </c>
      <c r="B3" s="11" t="s">
        <v>76</v>
      </c>
      <c r="C3" s="11" t="s">
        <v>77</v>
      </c>
      <c r="D3" s="18" t="s">
        <v>33</v>
      </c>
      <c r="E3" s="11" t="s">
        <v>34</v>
      </c>
      <c r="F3" s="18" t="s">
        <v>149</v>
      </c>
      <c r="G3" s="18" t="s">
        <v>97</v>
      </c>
      <c r="H3" s="21" t="s">
        <v>98</v>
      </c>
      <c r="I3" s="21" t="s">
        <v>100</v>
      </c>
      <c r="J3" s="21" t="s">
        <v>99</v>
      </c>
      <c r="K3" s="18" t="s">
        <v>154</v>
      </c>
      <c r="L3" s="28" t="s">
        <v>62</v>
      </c>
      <c r="M3" s="18" t="s">
        <v>65</v>
      </c>
      <c r="N3" s="10" t="s">
        <v>22</v>
      </c>
      <c r="O3" s="11" t="s">
        <v>68</v>
      </c>
      <c r="P3" s="11" t="s">
        <v>69</v>
      </c>
      <c r="Q3" s="10" t="s">
        <v>58</v>
      </c>
    </row>
    <row r="4" spans="1:17" x14ac:dyDescent="0.2">
      <c r="A4" s="4">
        <v>1340101</v>
      </c>
      <c r="B4" s="5" t="s">
        <v>152</v>
      </c>
      <c r="C4" s="5" t="s">
        <v>151</v>
      </c>
      <c r="D4" s="4">
        <v>150</v>
      </c>
      <c r="E4" s="5" t="str">
        <f>TEXT(D4/120,"0.00") &amp; " s"</f>
        <v>1.25 s</v>
      </c>
      <c r="F4" s="4" t="b">
        <v>0</v>
      </c>
      <c r="G4" s="4" t="str" cm="1">
        <f t="array" ref="G4">_xlfn.TEXTJOIN("~",1,H4:I4/J4)</f>
        <v>0~0.75</v>
      </c>
      <c r="H4" s="6">
        <v>0</v>
      </c>
      <c r="I4" s="6">
        <v>4.5</v>
      </c>
      <c r="J4" s="6">
        <v>6</v>
      </c>
      <c r="K4" s="4">
        <v>2</v>
      </c>
      <c r="L4" s="4">
        <v>0.71887000000000001</v>
      </c>
      <c r="M4" s="4">
        <v>25</v>
      </c>
      <c r="N4" s="4">
        <v>3</v>
      </c>
      <c r="O4" s="5">
        <f>$N4*30/$J4</f>
        <v>15</v>
      </c>
      <c r="P4" s="5">
        <f>$N4*120/($D4+4*$J4)</f>
        <v>2.0689655172413794</v>
      </c>
      <c r="Q4" s="4">
        <v>15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melee_logic</vt:lpstr>
      <vt:lpstr>fire_logic</vt:lpstr>
      <vt:lpstr>hook_logic</vt:lpstr>
      <vt:lpstr>shield_logic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2025-03-06T06:10:50Z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