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Hoja1" sheetId="1" r:id="rId1"/>
    <sheet name="Hoja2" sheetId="2" r:id="rId2"/>
    <sheet name="Hoja3" sheetId="3" r:id="rId3"/>
  </sheets>
  <externalReferences>
    <externalReference r:id="rId4"/>
  </externalReferences>
  <definedNames>
    <definedName name="Concepto">'[1]Plan de Cuentas'!$A$1:$A$4</definedName>
    <definedName name="mes">'[1]Plan de Cuentas'!$B$46:$M$46</definedName>
  </definedNames>
  <calcPr calcId="145621"/>
</workbook>
</file>

<file path=xl/calcChain.xml><?xml version="1.0" encoding="utf-8"?>
<calcChain xmlns="http://schemas.openxmlformats.org/spreadsheetml/2006/main">
  <c r="P1398" i="1" l="1"/>
  <c r="O1398" i="1"/>
  <c r="P1397" i="1"/>
  <c r="O1397" i="1"/>
  <c r="P1396" i="1"/>
  <c r="O1396" i="1"/>
  <c r="P1395" i="1"/>
  <c r="O1395" i="1"/>
  <c r="P1394" i="1"/>
  <c r="O1394" i="1"/>
  <c r="P1393" i="1"/>
  <c r="O1393" i="1"/>
  <c r="P1392" i="1"/>
  <c r="O1392" i="1"/>
  <c r="P1391" i="1"/>
  <c r="O1391" i="1"/>
  <c r="P1390" i="1"/>
  <c r="O1390" i="1"/>
  <c r="P1389" i="1"/>
  <c r="O1389" i="1"/>
  <c r="P1388" i="1"/>
  <c r="O1388" i="1"/>
  <c r="P1387" i="1"/>
  <c r="O1387" i="1"/>
  <c r="P1386" i="1"/>
  <c r="O1386" i="1"/>
  <c r="P1385" i="1"/>
  <c r="O1385" i="1"/>
  <c r="P1384" i="1"/>
  <c r="O1384" i="1"/>
  <c r="P1383" i="1"/>
  <c r="O1383" i="1"/>
  <c r="P1382" i="1"/>
  <c r="O1382" i="1"/>
  <c r="I1382" i="1"/>
  <c r="P1381" i="1"/>
  <c r="O1381" i="1"/>
  <c r="P1380" i="1"/>
  <c r="O1380" i="1"/>
  <c r="P1379" i="1"/>
  <c r="O1379" i="1"/>
  <c r="P1378" i="1"/>
  <c r="O1378" i="1"/>
  <c r="P1377" i="1"/>
  <c r="O1377" i="1"/>
  <c r="P1376" i="1"/>
  <c r="O1376" i="1"/>
  <c r="P1375" i="1"/>
  <c r="O1375" i="1"/>
  <c r="P1374" i="1"/>
  <c r="O1374" i="1"/>
  <c r="P1373" i="1"/>
  <c r="O1373" i="1"/>
  <c r="P1372" i="1"/>
  <c r="O1372" i="1"/>
  <c r="P1371" i="1"/>
  <c r="O1371" i="1"/>
  <c r="P1370" i="1"/>
  <c r="O1370" i="1"/>
  <c r="P1369" i="1"/>
  <c r="O1369" i="1"/>
  <c r="P1368" i="1"/>
  <c r="O1368" i="1"/>
  <c r="P1367" i="1"/>
  <c r="O1367" i="1"/>
  <c r="P1366" i="1"/>
  <c r="O1366" i="1"/>
  <c r="P1365" i="1"/>
  <c r="O1365" i="1"/>
  <c r="P1364" i="1"/>
  <c r="O1364" i="1"/>
  <c r="P1363" i="1"/>
  <c r="O1363" i="1"/>
  <c r="P1362" i="1"/>
  <c r="O1362" i="1"/>
  <c r="P1361" i="1"/>
  <c r="O1361" i="1"/>
  <c r="P1360" i="1"/>
  <c r="O1360" i="1"/>
  <c r="P1359" i="1"/>
  <c r="O1359" i="1"/>
  <c r="I1359" i="1"/>
  <c r="P1358" i="1"/>
  <c r="I1358" i="1"/>
  <c r="O1358" i="1" s="1"/>
  <c r="P1357" i="1"/>
  <c r="O1357" i="1"/>
  <c r="P1356" i="1"/>
  <c r="O1356" i="1"/>
  <c r="P1355" i="1"/>
  <c r="O1355" i="1"/>
  <c r="P1354" i="1"/>
  <c r="O1354" i="1"/>
  <c r="P1353" i="1"/>
  <c r="O1353" i="1"/>
  <c r="P1352" i="1"/>
  <c r="O1352" i="1"/>
  <c r="P1351" i="1"/>
  <c r="O1351" i="1"/>
  <c r="P1350" i="1"/>
  <c r="O1350" i="1"/>
  <c r="P1349" i="1"/>
  <c r="O1349" i="1"/>
  <c r="P1348" i="1"/>
  <c r="O1348" i="1"/>
  <c r="P1347" i="1"/>
  <c r="O1347" i="1"/>
  <c r="P1346" i="1"/>
  <c r="O1346" i="1"/>
  <c r="P1345" i="1"/>
  <c r="O1345" i="1"/>
  <c r="P1344" i="1"/>
  <c r="O1344" i="1"/>
  <c r="P1343" i="1"/>
  <c r="O1343" i="1"/>
  <c r="P1342" i="1"/>
  <c r="I1342" i="1"/>
  <c r="O1342" i="1" s="1"/>
  <c r="P1341" i="1"/>
  <c r="O1341" i="1"/>
  <c r="P1340" i="1"/>
  <c r="O1340" i="1"/>
  <c r="P1339" i="1"/>
  <c r="O1339" i="1"/>
  <c r="P1338" i="1"/>
  <c r="O1338" i="1"/>
  <c r="P1337" i="1"/>
  <c r="O1337" i="1"/>
  <c r="P1336" i="1"/>
  <c r="O1336" i="1"/>
  <c r="P1335" i="1"/>
  <c r="O1335" i="1"/>
  <c r="P1334" i="1"/>
  <c r="O1334" i="1"/>
  <c r="P1333" i="1"/>
  <c r="O1333" i="1"/>
  <c r="P1332" i="1"/>
  <c r="O1332" i="1"/>
  <c r="P1331" i="1"/>
  <c r="O1331" i="1"/>
  <c r="P1330" i="1"/>
  <c r="O1330" i="1"/>
  <c r="P1329" i="1"/>
  <c r="O1329" i="1"/>
  <c r="P1328" i="1"/>
  <c r="O1328" i="1"/>
  <c r="P1327" i="1"/>
  <c r="O1327" i="1"/>
  <c r="P1326" i="1"/>
  <c r="O1326" i="1"/>
  <c r="P1325" i="1"/>
  <c r="O1325" i="1"/>
  <c r="P1324" i="1"/>
  <c r="O1324" i="1"/>
  <c r="P1323" i="1"/>
  <c r="O1323" i="1"/>
  <c r="P1322" i="1"/>
  <c r="O1322" i="1"/>
  <c r="P1321" i="1"/>
  <c r="O1321" i="1"/>
  <c r="P1320" i="1"/>
  <c r="O1320" i="1"/>
  <c r="P1319" i="1"/>
  <c r="O1319" i="1"/>
  <c r="P1318" i="1"/>
  <c r="O1318" i="1"/>
  <c r="P1317" i="1"/>
  <c r="O1317" i="1"/>
  <c r="P1316" i="1"/>
  <c r="O1316" i="1"/>
  <c r="P1315" i="1"/>
  <c r="O1315" i="1"/>
  <c r="P1314" i="1"/>
  <c r="O1314" i="1"/>
  <c r="P1313" i="1"/>
  <c r="O1313" i="1"/>
  <c r="P1312" i="1"/>
  <c r="O1312" i="1"/>
  <c r="P1311" i="1"/>
  <c r="O1311" i="1"/>
  <c r="I1311" i="1"/>
  <c r="P1310" i="1"/>
  <c r="O1310" i="1"/>
  <c r="P1309" i="1"/>
  <c r="O1309" i="1"/>
  <c r="P1308" i="1"/>
  <c r="O1308" i="1"/>
  <c r="P1307" i="1"/>
  <c r="O1307" i="1"/>
  <c r="P1306" i="1"/>
  <c r="O1306" i="1"/>
  <c r="P1305" i="1"/>
  <c r="I1305" i="1"/>
  <c r="O1305" i="1" s="1"/>
  <c r="P1304" i="1"/>
  <c r="O1304" i="1"/>
  <c r="P1303" i="1"/>
  <c r="O1303" i="1"/>
  <c r="P1302" i="1"/>
  <c r="O1302" i="1"/>
  <c r="P1301" i="1"/>
  <c r="O1301" i="1"/>
  <c r="P1300" i="1"/>
  <c r="I1300" i="1"/>
  <c r="O1300" i="1" s="1"/>
  <c r="P1299" i="1"/>
  <c r="O1299" i="1"/>
  <c r="P1298" i="1"/>
  <c r="O1298" i="1"/>
  <c r="P1297" i="1"/>
  <c r="O1297" i="1"/>
  <c r="P1296" i="1"/>
  <c r="O1296" i="1"/>
  <c r="P1295" i="1"/>
  <c r="I1295" i="1"/>
  <c r="O1295" i="1" s="1"/>
  <c r="P1294" i="1"/>
  <c r="O1294" i="1"/>
  <c r="P1293" i="1"/>
  <c r="O1293" i="1"/>
  <c r="P1292" i="1"/>
  <c r="O1292" i="1"/>
  <c r="P1291" i="1"/>
  <c r="O1291" i="1"/>
  <c r="P1290" i="1"/>
  <c r="O1290" i="1"/>
  <c r="P1289" i="1"/>
  <c r="O1289" i="1"/>
  <c r="P1288" i="1"/>
  <c r="O1288" i="1"/>
  <c r="P1287" i="1"/>
  <c r="O1287" i="1"/>
  <c r="P1286" i="1"/>
  <c r="O1286" i="1"/>
  <c r="P1285" i="1"/>
  <c r="O1285" i="1"/>
  <c r="P1284" i="1"/>
  <c r="O1284" i="1"/>
  <c r="I1284" i="1"/>
  <c r="P1283" i="1"/>
  <c r="I1283" i="1"/>
  <c r="O1283" i="1" s="1"/>
  <c r="P1282" i="1"/>
  <c r="O1282" i="1"/>
  <c r="P1281" i="1"/>
  <c r="O1281" i="1"/>
  <c r="P1280" i="1"/>
  <c r="O1280" i="1"/>
  <c r="P1279" i="1"/>
  <c r="O1279" i="1"/>
  <c r="P1278" i="1"/>
  <c r="O1278" i="1"/>
  <c r="P1277" i="1"/>
  <c r="O1277" i="1"/>
  <c r="P1276" i="1"/>
  <c r="O1276" i="1"/>
  <c r="P1275" i="1"/>
  <c r="I1275" i="1"/>
  <c r="O1275" i="1" s="1"/>
  <c r="P1274" i="1"/>
  <c r="O1274" i="1"/>
  <c r="P1273" i="1"/>
  <c r="O1273" i="1"/>
  <c r="P1272" i="1"/>
  <c r="O1272" i="1"/>
  <c r="P1271" i="1"/>
  <c r="O1271" i="1"/>
  <c r="P1270" i="1"/>
  <c r="O1270" i="1"/>
  <c r="P1269" i="1"/>
  <c r="O1269" i="1"/>
  <c r="P1268" i="1"/>
  <c r="O1268" i="1"/>
  <c r="P1267" i="1"/>
  <c r="O1267" i="1"/>
  <c r="P1266" i="1"/>
  <c r="O1266" i="1"/>
  <c r="P1265" i="1"/>
  <c r="O1265" i="1"/>
  <c r="P1264" i="1"/>
  <c r="O1264" i="1"/>
  <c r="P1263" i="1"/>
  <c r="O1263" i="1"/>
  <c r="P1262" i="1"/>
  <c r="O1262" i="1"/>
  <c r="P1261" i="1"/>
  <c r="O1261" i="1"/>
  <c r="P1260" i="1"/>
  <c r="O1260" i="1"/>
  <c r="P1259" i="1"/>
  <c r="O1259" i="1"/>
  <c r="P1258" i="1"/>
  <c r="O1258" i="1"/>
  <c r="P1257" i="1"/>
  <c r="O1257" i="1"/>
  <c r="P1256" i="1"/>
  <c r="O1256" i="1"/>
  <c r="P1255" i="1"/>
  <c r="I1255" i="1"/>
  <c r="O1255" i="1" s="1"/>
  <c r="P1254" i="1"/>
  <c r="O1254" i="1"/>
  <c r="P1253" i="1"/>
  <c r="O1253" i="1"/>
  <c r="I1253" i="1"/>
  <c r="P1252" i="1"/>
  <c r="O1252" i="1"/>
  <c r="P1251" i="1"/>
  <c r="O1251" i="1"/>
  <c r="P1250" i="1"/>
  <c r="O1250" i="1"/>
  <c r="P1249" i="1"/>
  <c r="O1249" i="1"/>
  <c r="P1248" i="1"/>
  <c r="O1248" i="1"/>
  <c r="P1247" i="1"/>
  <c r="O1247" i="1"/>
  <c r="P1246" i="1"/>
  <c r="O1246" i="1"/>
  <c r="P1245" i="1"/>
  <c r="O1245" i="1"/>
  <c r="P1244" i="1"/>
  <c r="O1244" i="1"/>
  <c r="P1243" i="1"/>
  <c r="I1243" i="1"/>
  <c r="O1243" i="1" s="1"/>
  <c r="P1242" i="1"/>
  <c r="O1242" i="1"/>
  <c r="P1241" i="1"/>
  <c r="O1241" i="1"/>
  <c r="P1240" i="1"/>
  <c r="O1240" i="1"/>
  <c r="P1239" i="1"/>
  <c r="O1239" i="1"/>
  <c r="P1238" i="1"/>
  <c r="O1238" i="1"/>
  <c r="P1237" i="1"/>
  <c r="O1237" i="1"/>
  <c r="P1236" i="1"/>
  <c r="O1236" i="1"/>
  <c r="P1235" i="1"/>
  <c r="O1235" i="1"/>
  <c r="P1234" i="1"/>
  <c r="O1234" i="1"/>
  <c r="P1233" i="1"/>
  <c r="O1233" i="1"/>
  <c r="P1232" i="1"/>
  <c r="O1232" i="1"/>
  <c r="P1231" i="1"/>
  <c r="O1231" i="1"/>
  <c r="P1230" i="1"/>
  <c r="O1230" i="1"/>
  <c r="P1229" i="1"/>
  <c r="O1229" i="1"/>
  <c r="P1228" i="1"/>
  <c r="O1228" i="1"/>
  <c r="P1227" i="1"/>
  <c r="O1227" i="1"/>
  <c r="P1226" i="1"/>
  <c r="O1226" i="1"/>
  <c r="P1225" i="1"/>
  <c r="O1225" i="1"/>
  <c r="P1224" i="1"/>
  <c r="O1224" i="1"/>
  <c r="P1223" i="1"/>
  <c r="O1223" i="1"/>
  <c r="P1222" i="1"/>
  <c r="O1222" i="1"/>
  <c r="P1221" i="1"/>
  <c r="O1221" i="1"/>
  <c r="P1220" i="1"/>
  <c r="O1220" i="1"/>
  <c r="P1219" i="1"/>
  <c r="O1219" i="1"/>
  <c r="P1218" i="1"/>
  <c r="O1218" i="1"/>
  <c r="P1217" i="1"/>
  <c r="O1217" i="1"/>
  <c r="P1216" i="1"/>
  <c r="O1216" i="1"/>
  <c r="P1215" i="1"/>
  <c r="O1215" i="1"/>
  <c r="P1214" i="1"/>
  <c r="O1214" i="1"/>
  <c r="P1213" i="1"/>
  <c r="O1213" i="1"/>
  <c r="P1212" i="1"/>
  <c r="O1212" i="1"/>
  <c r="I1212" i="1"/>
  <c r="P1211" i="1"/>
  <c r="O1211" i="1"/>
  <c r="P1210" i="1"/>
  <c r="O1210" i="1"/>
  <c r="P1209" i="1"/>
  <c r="O1209" i="1"/>
  <c r="P1208" i="1"/>
  <c r="O1208" i="1"/>
  <c r="P1207" i="1"/>
  <c r="O1207" i="1"/>
  <c r="P1206" i="1"/>
  <c r="O1206" i="1"/>
  <c r="P1205" i="1"/>
  <c r="O1205" i="1"/>
  <c r="P1204" i="1"/>
  <c r="O1204" i="1"/>
  <c r="P1203" i="1"/>
  <c r="O1203" i="1"/>
  <c r="P1202" i="1"/>
  <c r="O1202" i="1"/>
  <c r="P1201" i="1"/>
  <c r="O1201" i="1"/>
  <c r="P1200" i="1"/>
  <c r="O1200" i="1"/>
  <c r="P1199" i="1"/>
  <c r="O1199" i="1"/>
  <c r="P1198" i="1"/>
  <c r="O1198" i="1"/>
  <c r="P1197" i="1"/>
  <c r="O1197" i="1"/>
  <c r="P1196" i="1"/>
  <c r="O1196" i="1"/>
  <c r="P1195" i="1"/>
  <c r="O1195" i="1"/>
  <c r="P1194" i="1"/>
  <c r="O1194" i="1"/>
  <c r="P1193" i="1"/>
  <c r="O1193" i="1"/>
  <c r="P1192" i="1"/>
  <c r="O1192" i="1"/>
  <c r="P1191" i="1"/>
  <c r="O1191" i="1"/>
  <c r="P1190" i="1"/>
  <c r="I1190" i="1"/>
  <c r="O1190" i="1" s="1"/>
  <c r="P1189" i="1"/>
  <c r="O1189" i="1"/>
  <c r="P1188" i="1"/>
  <c r="O1188" i="1"/>
  <c r="P1187" i="1"/>
  <c r="O1187" i="1"/>
  <c r="P1186" i="1"/>
  <c r="O1186" i="1"/>
  <c r="P1185" i="1"/>
  <c r="O1185" i="1"/>
  <c r="P1184" i="1"/>
  <c r="O1184" i="1"/>
  <c r="P1183" i="1"/>
  <c r="O1183" i="1"/>
  <c r="P1182" i="1"/>
  <c r="I1182" i="1"/>
  <c r="O1182" i="1" s="1"/>
  <c r="P1181" i="1"/>
  <c r="O1181" i="1"/>
  <c r="P1180" i="1"/>
  <c r="I1180" i="1"/>
  <c r="O1180" i="1" s="1"/>
  <c r="P1179" i="1"/>
  <c r="O1179" i="1"/>
  <c r="P1178" i="1"/>
  <c r="O1178" i="1"/>
  <c r="P1177" i="1"/>
  <c r="O1177" i="1"/>
  <c r="P1176" i="1"/>
  <c r="O1176" i="1"/>
  <c r="P1175" i="1"/>
  <c r="O1175" i="1"/>
  <c r="P1174" i="1"/>
  <c r="O1174" i="1"/>
  <c r="P1173" i="1"/>
  <c r="O1173" i="1"/>
  <c r="P1172" i="1"/>
  <c r="O1172" i="1"/>
  <c r="P1171" i="1"/>
  <c r="O1171" i="1"/>
  <c r="P1170" i="1"/>
  <c r="O1170" i="1"/>
  <c r="P1169" i="1"/>
  <c r="O1169" i="1"/>
  <c r="P1168" i="1"/>
  <c r="O1168" i="1"/>
  <c r="P1167" i="1"/>
  <c r="O1167" i="1"/>
  <c r="P1166" i="1"/>
  <c r="O1166" i="1"/>
  <c r="P1165" i="1"/>
  <c r="O1165" i="1"/>
  <c r="I1165" i="1"/>
  <c r="P1164" i="1"/>
  <c r="I1164" i="1"/>
  <c r="O1164" i="1" s="1"/>
  <c r="P1163" i="1"/>
  <c r="O1163" i="1"/>
  <c r="P1162" i="1"/>
  <c r="O1162" i="1"/>
  <c r="P1161" i="1"/>
  <c r="O1161" i="1"/>
  <c r="P1160" i="1"/>
  <c r="O1160" i="1"/>
  <c r="P1159" i="1"/>
  <c r="O1159" i="1"/>
  <c r="P1158" i="1"/>
  <c r="O1158" i="1"/>
  <c r="P1157" i="1"/>
  <c r="O1157" i="1"/>
  <c r="P1156" i="1"/>
  <c r="O1156" i="1"/>
  <c r="P1155" i="1"/>
  <c r="O1155" i="1"/>
  <c r="P1154" i="1"/>
  <c r="O1154" i="1"/>
  <c r="P1153" i="1"/>
  <c r="O1153" i="1"/>
  <c r="P1152" i="1"/>
  <c r="O1152" i="1"/>
  <c r="P1151" i="1"/>
  <c r="O1151" i="1"/>
  <c r="P1150" i="1"/>
  <c r="O1150" i="1"/>
  <c r="P1149" i="1"/>
  <c r="O1149" i="1"/>
  <c r="P1148" i="1"/>
  <c r="O1148" i="1"/>
  <c r="P1147" i="1"/>
  <c r="O1147" i="1"/>
  <c r="P1146" i="1"/>
  <c r="O1146" i="1"/>
  <c r="P1145" i="1"/>
  <c r="O1145" i="1"/>
  <c r="P1144" i="1"/>
  <c r="O1144" i="1"/>
  <c r="P1143" i="1"/>
  <c r="O1143" i="1"/>
  <c r="P1142" i="1"/>
  <c r="O1142" i="1"/>
  <c r="P1141" i="1"/>
  <c r="O1141" i="1"/>
  <c r="P1140" i="1"/>
  <c r="O1140" i="1"/>
  <c r="P1139" i="1"/>
  <c r="O1139" i="1"/>
  <c r="P1138" i="1"/>
  <c r="I1138" i="1"/>
  <c r="O1138" i="1" s="1"/>
  <c r="P1137" i="1"/>
  <c r="O1137" i="1"/>
  <c r="P1136" i="1"/>
  <c r="O1136" i="1"/>
  <c r="P1135" i="1"/>
  <c r="O1135" i="1"/>
  <c r="P1134" i="1"/>
  <c r="O1134" i="1"/>
  <c r="P1133" i="1"/>
  <c r="O1133" i="1"/>
  <c r="P1132" i="1"/>
  <c r="O1132" i="1"/>
  <c r="P1131" i="1"/>
  <c r="O1131" i="1"/>
  <c r="P1130" i="1"/>
  <c r="O1130" i="1"/>
  <c r="P1129" i="1"/>
  <c r="O1129" i="1"/>
  <c r="P1128" i="1"/>
  <c r="O1128" i="1"/>
  <c r="P1127" i="1"/>
  <c r="O1127" i="1"/>
  <c r="P1126" i="1"/>
  <c r="O1126" i="1"/>
  <c r="P1125" i="1"/>
  <c r="O1125" i="1"/>
  <c r="P1124" i="1"/>
  <c r="O1124" i="1"/>
  <c r="P1123" i="1"/>
  <c r="O1123" i="1"/>
  <c r="P1122" i="1"/>
  <c r="O1122" i="1"/>
  <c r="P1121" i="1"/>
  <c r="O1121" i="1"/>
  <c r="P1120" i="1"/>
  <c r="O1120" i="1"/>
  <c r="P1119" i="1"/>
  <c r="O1119" i="1"/>
  <c r="P1118" i="1"/>
  <c r="O1118" i="1"/>
  <c r="P1117" i="1"/>
  <c r="O1117" i="1"/>
  <c r="P1116" i="1"/>
  <c r="O1116" i="1"/>
  <c r="P1115" i="1"/>
  <c r="O1115" i="1"/>
  <c r="P1114" i="1"/>
  <c r="O1114" i="1"/>
  <c r="P1113" i="1"/>
  <c r="O1113" i="1"/>
  <c r="P1112" i="1"/>
  <c r="O1112" i="1"/>
  <c r="P1111" i="1"/>
  <c r="O1111" i="1"/>
  <c r="P1110" i="1"/>
  <c r="O1110" i="1"/>
  <c r="P1109" i="1"/>
  <c r="I1109" i="1"/>
  <c r="O1109" i="1" s="1"/>
  <c r="P1108" i="1"/>
  <c r="O1108" i="1"/>
  <c r="P1107" i="1"/>
  <c r="O1107" i="1"/>
  <c r="I1107" i="1"/>
  <c r="P1106" i="1"/>
  <c r="O1106" i="1"/>
  <c r="P1105" i="1"/>
  <c r="I1105" i="1"/>
  <c r="O1105" i="1" s="1"/>
  <c r="P1104" i="1"/>
  <c r="O1104" i="1"/>
  <c r="P1103" i="1"/>
  <c r="O1103" i="1"/>
  <c r="P1102" i="1"/>
  <c r="O1102" i="1"/>
  <c r="P1101" i="1"/>
  <c r="O1101" i="1"/>
  <c r="P1100" i="1"/>
  <c r="O1100" i="1"/>
  <c r="P1099" i="1"/>
  <c r="O1099" i="1"/>
  <c r="P1098" i="1"/>
  <c r="O1098" i="1"/>
  <c r="P1097" i="1"/>
  <c r="O1097" i="1"/>
  <c r="P1096" i="1"/>
  <c r="O1096" i="1"/>
  <c r="P1095" i="1"/>
  <c r="I1095" i="1"/>
  <c r="O1095" i="1" s="1"/>
  <c r="P1094" i="1"/>
  <c r="O1094" i="1"/>
  <c r="P1093" i="1"/>
  <c r="O1093" i="1"/>
  <c r="P1092" i="1"/>
  <c r="O1092" i="1"/>
  <c r="P1091" i="1"/>
  <c r="O1091" i="1"/>
  <c r="P1090" i="1"/>
  <c r="O1090" i="1"/>
  <c r="P1089" i="1"/>
  <c r="O1089" i="1"/>
  <c r="P1088" i="1"/>
  <c r="O1088" i="1"/>
  <c r="P1087" i="1"/>
  <c r="O1087" i="1"/>
  <c r="P1086" i="1"/>
  <c r="O1086" i="1"/>
  <c r="P1085" i="1"/>
  <c r="I1085" i="1"/>
  <c r="O1085" i="1" s="1"/>
  <c r="P1084" i="1"/>
  <c r="O1084" i="1"/>
  <c r="P1083" i="1"/>
  <c r="O1083" i="1"/>
  <c r="P1082" i="1"/>
  <c r="O1082" i="1"/>
  <c r="P1081" i="1"/>
  <c r="O1081" i="1"/>
  <c r="I1081" i="1"/>
  <c r="P1080" i="1"/>
  <c r="O1080" i="1"/>
  <c r="P1079" i="1"/>
  <c r="O1079" i="1"/>
  <c r="P1078" i="1"/>
  <c r="O1078" i="1"/>
  <c r="P1077" i="1"/>
  <c r="O1077" i="1"/>
  <c r="P1076" i="1"/>
  <c r="O1076" i="1"/>
  <c r="P1075" i="1"/>
  <c r="O1075" i="1"/>
  <c r="P1074" i="1"/>
  <c r="O1074" i="1"/>
  <c r="P1073" i="1"/>
  <c r="I1073" i="1"/>
  <c r="O1073" i="1" s="1"/>
  <c r="P1072" i="1"/>
  <c r="O1072" i="1"/>
  <c r="P1071" i="1"/>
  <c r="I1071" i="1"/>
  <c r="O1071" i="1" s="1"/>
  <c r="P1070" i="1"/>
  <c r="O1070" i="1"/>
  <c r="P1069" i="1"/>
  <c r="O1069" i="1"/>
  <c r="P1068" i="1"/>
  <c r="O1068" i="1"/>
  <c r="P1067" i="1"/>
  <c r="O1067" i="1"/>
  <c r="P1066" i="1"/>
  <c r="O1066" i="1"/>
  <c r="P1065" i="1"/>
  <c r="O1065" i="1"/>
  <c r="P1064" i="1"/>
  <c r="O1064" i="1"/>
  <c r="P1063" i="1"/>
  <c r="I1063" i="1"/>
  <c r="O1063" i="1" s="1"/>
  <c r="P1062" i="1"/>
  <c r="O1062" i="1"/>
  <c r="P1061" i="1"/>
  <c r="O1061" i="1"/>
  <c r="P1060" i="1"/>
  <c r="O1060" i="1"/>
  <c r="P1059" i="1"/>
  <c r="O1059" i="1"/>
  <c r="I1059" i="1"/>
  <c r="P1058" i="1"/>
  <c r="O1058" i="1"/>
  <c r="P1057" i="1"/>
  <c r="O1057" i="1"/>
  <c r="P1056" i="1"/>
  <c r="O1056" i="1"/>
  <c r="P1055" i="1"/>
  <c r="O1055" i="1"/>
  <c r="P1054" i="1"/>
  <c r="O1054" i="1"/>
  <c r="P1053" i="1"/>
  <c r="O1053" i="1"/>
  <c r="P1052" i="1"/>
  <c r="I1052" i="1"/>
  <c r="O1052" i="1" s="1"/>
  <c r="P1051" i="1"/>
  <c r="O1051" i="1"/>
  <c r="P1050" i="1"/>
  <c r="O1050" i="1"/>
  <c r="P1049" i="1"/>
  <c r="O1049" i="1"/>
  <c r="P1048" i="1"/>
  <c r="O1048" i="1"/>
  <c r="P1047" i="1"/>
  <c r="O1047" i="1"/>
  <c r="I1047" i="1"/>
  <c r="P1046" i="1"/>
  <c r="O1046" i="1"/>
  <c r="P1045" i="1"/>
  <c r="O1045" i="1"/>
  <c r="P1044" i="1"/>
  <c r="O1044" i="1"/>
  <c r="P1043" i="1"/>
  <c r="O1043" i="1"/>
  <c r="P1042" i="1"/>
  <c r="I1042" i="1"/>
  <c r="O1042" i="1" s="1"/>
  <c r="P1041" i="1"/>
  <c r="O1041" i="1"/>
  <c r="P1040" i="1"/>
  <c r="O1040" i="1"/>
  <c r="P1039" i="1"/>
  <c r="O1039" i="1"/>
  <c r="P1038" i="1"/>
  <c r="O1038" i="1"/>
  <c r="P1037" i="1"/>
  <c r="O1037" i="1"/>
  <c r="P1036" i="1"/>
  <c r="O1036" i="1"/>
  <c r="P1035" i="1"/>
  <c r="O1035" i="1"/>
  <c r="P1034" i="1"/>
  <c r="O1034" i="1"/>
  <c r="P1033" i="1"/>
  <c r="O1033" i="1"/>
  <c r="P1032" i="1"/>
  <c r="O1032" i="1"/>
  <c r="P1031" i="1"/>
  <c r="O1031" i="1"/>
  <c r="P1030" i="1"/>
  <c r="O1030" i="1"/>
  <c r="P1029" i="1"/>
  <c r="O1029" i="1"/>
  <c r="P1028" i="1"/>
  <c r="O1028" i="1"/>
  <c r="I1028" i="1"/>
  <c r="P1027" i="1"/>
  <c r="O1027" i="1"/>
  <c r="P1026" i="1"/>
  <c r="I1026" i="1"/>
  <c r="O1026" i="1" s="1"/>
  <c r="P1025" i="1"/>
  <c r="I1025" i="1"/>
  <c r="O1025" i="1" s="1"/>
  <c r="P1024" i="1"/>
  <c r="I1024" i="1"/>
  <c r="O1024" i="1" s="1"/>
  <c r="P1023" i="1"/>
  <c r="O1023" i="1"/>
  <c r="P1022" i="1"/>
  <c r="O1022" i="1"/>
  <c r="I1022" i="1"/>
  <c r="P1021" i="1"/>
  <c r="O1021" i="1"/>
  <c r="P1020" i="1"/>
  <c r="O1020" i="1"/>
  <c r="P1019" i="1"/>
  <c r="O1019" i="1"/>
  <c r="P1018" i="1"/>
  <c r="O1018" i="1"/>
  <c r="P1017" i="1"/>
  <c r="O1017" i="1"/>
  <c r="P1016" i="1"/>
  <c r="O1016" i="1"/>
  <c r="P1015" i="1"/>
  <c r="O1015" i="1"/>
  <c r="P1014" i="1"/>
  <c r="O1014" i="1"/>
  <c r="P1013" i="1"/>
  <c r="O1013" i="1"/>
  <c r="P1012" i="1"/>
  <c r="O1012" i="1"/>
  <c r="P1011" i="1"/>
  <c r="O1011" i="1"/>
  <c r="P1010" i="1"/>
  <c r="O1010" i="1"/>
  <c r="P1009" i="1"/>
  <c r="I1009" i="1"/>
  <c r="O1009" i="1" s="1"/>
  <c r="P1008" i="1"/>
  <c r="O1008" i="1"/>
  <c r="P1007" i="1"/>
  <c r="O1007" i="1"/>
  <c r="P1006" i="1"/>
  <c r="O1006" i="1"/>
  <c r="P1005" i="1"/>
  <c r="O1005" i="1"/>
  <c r="P1004" i="1"/>
  <c r="O1004" i="1"/>
  <c r="P1003" i="1"/>
  <c r="O1003" i="1"/>
  <c r="P1002" i="1"/>
  <c r="O1002" i="1"/>
  <c r="P1001" i="1"/>
  <c r="O1001" i="1"/>
  <c r="P1000" i="1"/>
  <c r="O1000" i="1"/>
  <c r="P999" i="1"/>
  <c r="O999" i="1"/>
  <c r="P998" i="1"/>
  <c r="O998" i="1"/>
  <c r="P997" i="1"/>
  <c r="O997" i="1"/>
  <c r="P996" i="1"/>
  <c r="O996" i="1"/>
  <c r="P995" i="1"/>
  <c r="O995" i="1"/>
  <c r="P994" i="1"/>
  <c r="O994" i="1"/>
  <c r="P993" i="1"/>
  <c r="O993" i="1"/>
  <c r="P992" i="1"/>
  <c r="O992" i="1"/>
  <c r="P991" i="1"/>
  <c r="O991" i="1"/>
  <c r="P990" i="1"/>
  <c r="O990" i="1"/>
  <c r="P989" i="1"/>
  <c r="O989" i="1"/>
  <c r="P988" i="1"/>
  <c r="O988" i="1"/>
  <c r="P987" i="1"/>
  <c r="O987" i="1"/>
  <c r="P986" i="1"/>
  <c r="O986" i="1"/>
  <c r="P985" i="1"/>
  <c r="O985" i="1"/>
  <c r="P984" i="1"/>
  <c r="O984" i="1"/>
  <c r="P983" i="1"/>
  <c r="O983" i="1"/>
  <c r="P982" i="1"/>
  <c r="O982" i="1"/>
  <c r="P981" i="1"/>
  <c r="O981" i="1"/>
  <c r="P980" i="1"/>
  <c r="O980" i="1"/>
  <c r="P979" i="1"/>
  <c r="O979" i="1"/>
  <c r="I979" i="1"/>
  <c r="P978" i="1"/>
  <c r="O978" i="1"/>
  <c r="P977" i="1"/>
  <c r="O977" i="1"/>
  <c r="P976" i="1"/>
  <c r="O976" i="1"/>
  <c r="P975" i="1"/>
  <c r="O975" i="1"/>
  <c r="P974" i="1"/>
  <c r="O974" i="1"/>
  <c r="P973" i="1"/>
  <c r="O973" i="1"/>
  <c r="P972" i="1"/>
  <c r="O972" i="1"/>
  <c r="P971" i="1"/>
  <c r="O971" i="1"/>
  <c r="P970" i="1"/>
  <c r="O970" i="1"/>
  <c r="P969" i="1"/>
  <c r="O969" i="1"/>
  <c r="P968" i="1"/>
  <c r="O968" i="1"/>
  <c r="P967" i="1"/>
  <c r="O967" i="1"/>
  <c r="P966" i="1"/>
  <c r="O966" i="1"/>
  <c r="P965" i="1"/>
  <c r="O965" i="1"/>
  <c r="P964" i="1"/>
  <c r="I964" i="1"/>
  <c r="O964" i="1" s="1"/>
  <c r="P963" i="1"/>
  <c r="O963" i="1"/>
  <c r="P962" i="1"/>
  <c r="O962" i="1"/>
  <c r="P961" i="1"/>
  <c r="I961" i="1"/>
  <c r="O961" i="1" s="1"/>
  <c r="P960" i="1"/>
  <c r="O960" i="1"/>
  <c r="P959" i="1"/>
  <c r="O959" i="1"/>
  <c r="P958" i="1"/>
  <c r="I958" i="1"/>
  <c r="O958" i="1" s="1"/>
  <c r="P957" i="1"/>
  <c r="O957" i="1"/>
  <c r="I957" i="1"/>
  <c r="P956" i="1"/>
  <c r="I956" i="1"/>
  <c r="O956" i="1" s="1"/>
  <c r="P955" i="1"/>
  <c r="I955" i="1"/>
  <c r="O955" i="1" s="1"/>
  <c r="P954" i="1"/>
  <c r="O954" i="1"/>
  <c r="P953" i="1"/>
  <c r="O953" i="1"/>
  <c r="P952" i="1"/>
  <c r="O952" i="1"/>
  <c r="P951" i="1"/>
  <c r="O951" i="1"/>
  <c r="P950" i="1"/>
  <c r="O950" i="1"/>
  <c r="P949" i="1"/>
  <c r="O949" i="1"/>
  <c r="P948" i="1"/>
  <c r="O948" i="1"/>
  <c r="P947" i="1"/>
  <c r="O947" i="1"/>
  <c r="P946" i="1"/>
  <c r="O946" i="1"/>
  <c r="P945" i="1"/>
  <c r="O945" i="1"/>
  <c r="P944" i="1"/>
  <c r="O944" i="1"/>
  <c r="P943" i="1"/>
  <c r="O943" i="1"/>
  <c r="P942" i="1"/>
  <c r="O942" i="1"/>
  <c r="P941" i="1"/>
  <c r="O941" i="1"/>
  <c r="P940" i="1"/>
  <c r="O940" i="1"/>
  <c r="P939" i="1"/>
  <c r="O939" i="1"/>
  <c r="P938" i="1"/>
  <c r="O938" i="1"/>
  <c r="P937" i="1"/>
  <c r="O937" i="1"/>
  <c r="P936" i="1"/>
  <c r="O936" i="1"/>
  <c r="P935" i="1"/>
  <c r="O935" i="1"/>
  <c r="P934" i="1"/>
  <c r="O934" i="1"/>
  <c r="P933" i="1"/>
  <c r="O933" i="1"/>
  <c r="P932" i="1"/>
  <c r="O932" i="1"/>
  <c r="P931" i="1"/>
  <c r="O931" i="1"/>
  <c r="P930" i="1"/>
  <c r="O930" i="1"/>
  <c r="P929" i="1"/>
  <c r="O929" i="1"/>
  <c r="P928" i="1"/>
  <c r="O928" i="1"/>
  <c r="P927" i="1"/>
  <c r="O927" i="1"/>
  <c r="I927" i="1"/>
  <c r="P926" i="1"/>
  <c r="I926" i="1"/>
  <c r="O926" i="1" s="1"/>
  <c r="P925" i="1"/>
  <c r="I925" i="1"/>
  <c r="O925" i="1" s="1"/>
  <c r="P924" i="1"/>
  <c r="O924" i="1"/>
  <c r="P923" i="1"/>
  <c r="O923" i="1"/>
  <c r="P922" i="1"/>
  <c r="O922" i="1"/>
  <c r="P921" i="1"/>
  <c r="O921" i="1"/>
  <c r="P920" i="1"/>
  <c r="O920" i="1"/>
  <c r="P919" i="1"/>
  <c r="O919" i="1"/>
  <c r="P918" i="1"/>
  <c r="O918" i="1"/>
  <c r="P917" i="1"/>
  <c r="O917" i="1"/>
  <c r="P916" i="1"/>
  <c r="O916" i="1"/>
  <c r="P915" i="1"/>
  <c r="O915" i="1"/>
  <c r="P914" i="1"/>
  <c r="O914" i="1"/>
  <c r="P913" i="1"/>
  <c r="O913" i="1"/>
  <c r="P912" i="1"/>
  <c r="O912" i="1"/>
  <c r="P911" i="1"/>
  <c r="O911" i="1"/>
  <c r="P910" i="1"/>
  <c r="O910" i="1"/>
  <c r="P909" i="1"/>
  <c r="O909" i="1"/>
  <c r="P908" i="1"/>
  <c r="O908" i="1"/>
  <c r="P907" i="1"/>
  <c r="O907" i="1"/>
  <c r="P906" i="1"/>
  <c r="O906" i="1"/>
  <c r="P905" i="1"/>
  <c r="O905" i="1"/>
  <c r="P904" i="1"/>
  <c r="O904" i="1"/>
  <c r="P903" i="1"/>
  <c r="O903" i="1"/>
  <c r="P902" i="1"/>
  <c r="O902" i="1"/>
  <c r="P901" i="1"/>
  <c r="O901" i="1"/>
  <c r="P900" i="1"/>
  <c r="O900" i="1"/>
  <c r="P899" i="1"/>
  <c r="O899" i="1"/>
  <c r="P898" i="1"/>
  <c r="O898" i="1"/>
  <c r="P897" i="1"/>
  <c r="O897" i="1"/>
  <c r="P896" i="1"/>
  <c r="O896" i="1"/>
  <c r="P895" i="1"/>
  <c r="O895" i="1"/>
  <c r="I895" i="1"/>
  <c r="P894" i="1"/>
  <c r="O894" i="1"/>
  <c r="P893" i="1"/>
  <c r="O893" i="1"/>
  <c r="P892" i="1"/>
  <c r="O892" i="1"/>
  <c r="P891" i="1"/>
  <c r="O891" i="1"/>
  <c r="P890" i="1"/>
  <c r="O890" i="1"/>
  <c r="P889" i="1"/>
  <c r="O889" i="1"/>
  <c r="P888" i="1"/>
  <c r="O888" i="1"/>
  <c r="P887" i="1"/>
  <c r="O887" i="1"/>
  <c r="P886" i="1"/>
  <c r="O886" i="1"/>
  <c r="P885" i="1"/>
  <c r="I885" i="1"/>
  <c r="O885" i="1" s="1"/>
  <c r="P884" i="1"/>
  <c r="I884" i="1"/>
  <c r="O884" i="1" s="1"/>
  <c r="P883" i="1"/>
  <c r="O883" i="1"/>
  <c r="P882" i="1"/>
  <c r="O882" i="1"/>
  <c r="P881" i="1"/>
  <c r="O881" i="1"/>
  <c r="P880" i="1"/>
  <c r="O880" i="1"/>
  <c r="P879" i="1"/>
  <c r="O879" i="1"/>
  <c r="P878" i="1"/>
  <c r="O878" i="1"/>
  <c r="P877" i="1"/>
  <c r="O877" i="1"/>
  <c r="P876" i="1"/>
  <c r="O876" i="1"/>
  <c r="P875" i="1"/>
  <c r="O875" i="1"/>
  <c r="P874" i="1"/>
  <c r="O874" i="1"/>
  <c r="P873" i="1"/>
  <c r="O873" i="1"/>
  <c r="P872" i="1"/>
  <c r="O872" i="1"/>
  <c r="P871" i="1"/>
  <c r="O871" i="1"/>
  <c r="P870" i="1"/>
  <c r="O870" i="1"/>
  <c r="P869" i="1"/>
  <c r="O869" i="1"/>
  <c r="P868" i="1"/>
  <c r="O868" i="1"/>
  <c r="P867" i="1"/>
  <c r="O867" i="1"/>
  <c r="P866" i="1"/>
  <c r="O866" i="1"/>
  <c r="P865" i="1"/>
  <c r="O865" i="1"/>
  <c r="P864" i="1"/>
  <c r="O864" i="1"/>
  <c r="P863" i="1"/>
  <c r="O863" i="1"/>
  <c r="P862" i="1"/>
  <c r="O862" i="1"/>
  <c r="P861" i="1"/>
  <c r="O861" i="1"/>
  <c r="P860" i="1"/>
  <c r="O860" i="1"/>
  <c r="P859" i="1"/>
  <c r="O859" i="1"/>
  <c r="P858" i="1"/>
  <c r="O858" i="1"/>
  <c r="P857" i="1"/>
  <c r="O857" i="1"/>
  <c r="P856" i="1"/>
  <c r="O856" i="1"/>
  <c r="P855" i="1"/>
  <c r="O855" i="1"/>
  <c r="P854" i="1"/>
  <c r="O854" i="1"/>
  <c r="I854" i="1"/>
  <c r="O853" i="1"/>
  <c r="P852" i="1"/>
  <c r="O852" i="1"/>
  <c r="P851" i="1"/>
  <c r="O851" i="1"/>
  <c r="P850" i="1"/>
  <c r="O850" i="1"/>
  <c r="P849" i="1"/>
  <c r="O849" i="1"/>
  <c r="P848" i="1"/>
  <c r="O848" i="1"/>
  <c r="P847" i="1"/>
  <c r="O847" i="1"/>
  <c r="P846" i="1"/>
  <c r="O846" i="1"/>
  <c r="P845" i="1"/>
  <c r="O845" i="1"/>
  <c r="P844" i="1"/>
  <c r="O844" i="1"/>
  <c r="P843" i="1"/>
  <c r="O843" i="1"/>
  <c r="P842" i="1"/>
  <c r="O842" i="1"/>
  <c r="I842" i="1"/>
  <c r="P841" i="1"/>
  <c r="O841" i="1"/>
  <c r="P840" i="1"/>
  <c r="O840" i="1"/>
  <c r="P839" i="1"/>
  <c r="O839" i="1"/>
  <c r="P838" i="1"/>
  <c r="O838" i="1"/>
  <c r="P837" i="1"/>
  <c r="I837" i="1"/>
  <c r="O837" i="1" s="1"/>
  <c r="P836" i="1"/>
  <c r="O836" i="1"/>
  <c r="P835" i="1"/>
  <c r="O835" i="1"/>
  <c r="P834" i="1"/>
  <c r="O834" i="1"/>
  <c r="P833" i="1"/>
  <c r="O833" i="1"/>
  <c r="P832" i="1"/>
  <c r="O832" i="1"/>
  <c r="P831" i="1"/>
  <c r="O831" i="1"/>
  <c r="P830" i="1"/>
  <c r="O830" i="1"/>
  <c r="P829" i="1"/>
  <c r="O829" i="1"/>
  <c r="P828" i="1"/>
  <c r="O828" i="1"/>
  <c r="P827" i="1"/>
  <c r="O827" i="1"/>
  <c r="P826" i="1"/>
  <c r="I826" i="1"/>
  <c r="O826" i="1" s="1"/>
  <c r="P825" i="1"/>
  <c r="I825" i="1"/>
  <c r="O825" i="1" s="1"/>
  <c r="P824" i="1"/>
  <c r="O824" i="1"/>
  <c r="P823" i="1"/>
  <c r="O823" i="1"/>
  <c r="P822" i="1"/>
  <c r="O822" i="1"/>
  <c r="P821" i="1"/>
  <c r="O821" i="1"/>
  <c r="I821" i="1"/>
  <c r="P820" i="1"/>
  <c r="O820" i="1"/>
  <c r="P819" i="1"/>
  <c r="O819" i="1"/>
  <c r="P818" i="1"/>
  <c r="O818" i="1"/>
  <c r="P817" i="1"/>
  <c r="O817" i="1"/>
  <c r="P816" i="1"/>
  <c r="O816" i="1"/>
  <c r="P815" i="1"/>
  <c r="O815" i="1"/>
  <c r="P814" i="1"/>
  <c r="O814" i="1"/>
  <c r="P813" i="1"/>
  <c r="O813" i="1"/>
  <c r="P812" i="1"/>
  <c r="O812" i="1"/>
  <c r="P811" i="1"/>
  <c r="O811" i="1"/>
  <c r="P810" i="1"/>
  <c r="O810" i="1"/>
  <c r="P809" i="1"/>
  <c r="O809" i="1"/>
  <c r="P808" i="1"/>
  <c r="O808" i="1"/>
  <c r="P807" i="1"/>
  <c r="I807" i="1"/>
  <c r="O807" i="1" s="1"/>
  <c r="P806" i="1"/>
  <c r="O806" i="1"/>
  <c r="P805" i="1"/>
  <c r="O805" i="1"/>
  <c r="P804" i="1"/>
  <c r="O804" i="1"/>
  <c r="P803" i="1"/>
  <c r="I803" i="1"/>
  <c r="O803" i="1" s="1"/>
  <c r="P802" i="1"/>
  <c r="O802" i="1"/>
  <c r="P801" i="1"/>
  <c r="O801" i="1"/>
  <c r="P800" i="1"/>
  <c r="O800" i="1"/>
  <c r="P799" i="1"/>
  <c r="O799" i="1"/>
  <c r="P798" i="1"/>
  <c r="O798" i="1"/>
  <c r="P797" i="1"/>
  <c r="O797" i="1"/>
  <c r="P796" i="1"/>
  <c r="O796" i="1"/>
  <c r="P795" i="1"/>
  <c r="I795" i="1"/>
  <c r="O795" i="1" s="1"/>
  <c r="P794" i="1"/>
  <c r="O794" i="1"/>
  <c r="I794" i="1"/>
  <c r="P793" i="1"/>
  <c r="O793" i="1"/>
  <c r="P792" i="1"/>
  <c r="O792" i="1"/>
  <c r="P791" i="1"/>
  <c r="O791" i="1"/>
  <c r="P790" i="1"/>
  <c r="O790" i="1"/>
  <c r="P789" i="1"/>
  <c r="O789" i="1"/>
  <c r="P788" i="1"/>
  <c r="O788" i="1"/>
  <c r="P787" i="1"/>
  <c r="O787" i="1"/>
  <c r="P786" i="1"/>
  <c r="O786" i="1"/>
  <c r="P785" i="1"/>
  <c r="O785" i="1"/>
  <c r="P784" i="1"/>
  <c r="O784" i="1"/>
  <c r="P783" i="1"/>
  <c r="O783" i="1"/>
  <c r="P782" i="1"/>
  <c r="O782" i="1"/>
  <c r="P781" i="1"/>
  <c r="O781" i="1"/>
  <c r="P780" i="1"/>
  <c r="O780" i="1"/>
  <c r="P779" i="1"/>
  <c r="O779" i="1"/>
  <c r="P778" i="1"/>
  <c r="O778" i="1"/>
  <c r="P777" i="1"/>
  <c r="O777" i="1"/>
  <c r="O776" i="1"/>
  <c r="O775" i="1"/>
  <c r="O774" i="1"/>
  <c r="O773" i="1"/>
  <c r="O772" i="1"/>
  <c r="O771" i="1"/>
  <c r="P770" i="1"/>
  <c r="O770" i="1"/>
  <c r="P769" i="1"/>
  <c r="O769" i="1"/>
  <c r="P768" i="1"/>
  <c r="O768" i="1"/>
  <c r="P767" i="1"/>
  <c r="I767" i="1"/>
  <c r="O767" i="1" s="1"/>
  <c r="P766" i="1"/>
  <c r="O766" i="1"/>
  <c r="P765" i="1"/>
  <c r="O765" i="1"/>
  <c r="P764" i="1"/>
  <c r="O764" i="1"/>
  <c r="P763" i="1"/>
  <c r="O763" i="1"/>
  <c r="P762" i="1"/>
  <c r="O762" i="1"/>
  <c r="P761" i="1"/>
  <c r="O761" i="1"/>
  <c r="P760" i="1"/>
  <c r="O760" i="1"/>
  <c r="P759" i="1"/>
  <c r="O759" i="1"/>
  <c r="P758" i="1"/>
  <c r="O758" i="1"/>
  <c r="P757" i="1"/>
  <c r="O757" i="1"/>
  <c r="P756" i="1"/>
  <c r="O756" i="1"/>
  <c r="P755" i="1"/>
  <c r="O755" i="1"/>
  <c r="P754" i="1"/>
  <c r="O754" i="1"/>
  <c r="P753" i="1"/>
  <c r="O753" i="1"/>
  <c r="P752" i="1"/>
  <c r="O752" i="1"/>
  <c r="P751" i="1"/>
  <c r="I751" i="1"/>
  <c r="O751" i="1" s="1"/>
  <c r="P750" i="1"/>
  <c r="O750" i="1"/>
  <c r="P749" i="1"/>
  <c r="O749" i="1"/>
  <c r="P748" i="1"/>
  <c r="O748" i="1"/>
  <c r="P747" i="1"/>
  <c r="O747" i="1"/>
  <c r="P746" i="1"/>
  <c r="O746" i="1"/>
  <c r="P745" i="1"/>
  <c r="O745" i="1"/>
  <c r="P744" i="1"/>
  <c r="O744" i="1"/>
  <c r="P743" i="1"/>
  <c r="O743" i="1"/>
  <c r="P742" i="1"/>
  <c r="I742" i="1"/>
  <c r="O742" i="1" s="1"/>
  <c r="P741" i="1"/>
  <c r="O741" i="1"/>
  <c r="P740" i="1"/>
  <c r="O740" i="1"/>
  <c r="I740" i="1"/>
  <c r="P739" i="1"/>
  <c r="O739" i="1"/>
  <c r="P738" i="1"/>
  <c r="O738" i="1"/>
  <c r="P737" i="1"/>
  <c r="I737" i="1"/>
  <c r="O737" i="1" s="1"/>
  <c r="P736" i="1"/>
  <c r="O736" i="1"/>
  <c r="P735" i="1"/>
  <c r="O735" i="1"/>
  <c r="P734" i="1"/>
  <c r="O734" i="1"/>
  <c r="P733" i="1"/>
  <c r="O733" i="1"/>
  <c r="P732" i="1"/>
  <c r="O732" i="1"/>
  <c r="P731" i="1"/>
  <c r="O731" i="1"/>
  <c r="P730" i="1"/>
  <c r="O730" i="1"/>
  <c r="P729" i="1"/>
  <c r="O729" i="1"/>
  <c r="P728" i="1"/>
  <c r="O728" i="1"/>
  <c r="P727" i="1"/>
  <c r="O727" i="1"/>
  <c r="P726" i="1"/>
  <c r="I726" i="1"/>
  <c r="O726" i="1" s="1"/>
  <c r="P725" i="1"/>
  <c r="O725" i="1"/>
  <c r="P724" i="1"/>
  <c r="O724" i="1"/>
  <c r="P723" i="1"/>
  <c r="O723" i="1"/>
  <c r="P722" i="1"/>
  <c r="O722" i="1"/>
  <c r="P721" i="1"/>
  <c r="O721" i="1"/>
  <c r="P720" i="1"/>
  <c r="O720" i="1"/>
  <c r="P719" i="1"/>
  <c r="O719" i="1"/>
  <c r="P718" i="1"/>
  <c r="O718" i="1"/>
  <c r="P717" i="1"/>
  <c r="I717" i="1"/>
  <c r="O717" i="1" s="1"/>
  <c r="P716" i="1"/>
  <c r="O716" i="1"/>
  <c r="P715" i="1"/>
  <c r="O715" i="1"/>
  <c r="P714" i="1"/>
  <c r="O714" i="1"/>
  <c r="P713" i="1"/>
  <c r="O713" i="1"/>
  <c r="P712" i="1"/>
  <c r="O712" i="1"/>
  <c r="P711" i="1"/>
  <c r="O711" i="1"/>
  <c r="P710" i="1"/>
  <c r="O710" i="1"/>
  <c r="P709" i="1"/>
  <c r="O709" i="1"/>
  <c r="P708" i="1"/>
  <c r="O708" i="1"/>
  <c r="P707" i="1"/>
  <c r="O707" i="1"/>
  <c r="P706" i="1"/>
  <c r="O706" i="1"/>
  <c r="P705" i="1"/>
  <c r="O705" i="1"/>
  <c r="P704" i="1"/>
  <c r="O704" i="1"/>
  <c r="I704" i="1"/>
  <c r="P703" i="1"/>
  <c r="O703" i="1"/>
  <c r="P702" i="1"/>
  <c r="O702" i="1"/>
  <c r="P701" i="1"/>
  <c r="O701" i="1"/>
  <c r="P700" i="1"/>
  <c r="I700" i="1"/>
  <c r="O700" i="1" s="1"/>
  <c r="P699" i="1"/>
  <c r="I699" i="1"/>
  <c r="O699" i="1" s="1"/>
  <c r="P698" i="1"/>
  <c r="O698" i="1"/>
  <c r="P697" i="1"/>
  <c r="O697" i="1"/>
  <c r="P696" i="1"/>
  <c r="O696" i="1"/>
  <c r="P695" i="1"/>
  <c r="O695" i="1"/>
  <c r="P694" i="1"/>
  <c r="O694" i="1"/>
  <c r="P693" i="1"/>
  <c r="O693" i="1"/>
  <c r="P692" i="1"/>
  <c r="O692" i="1"/>
  <c r="P691" i="1"/>
  <c r="I691" i="1"/>
  <c r="O691" i="1" s="1"/>
  <c r="P690" i="1"/>
  <c r="O690" i="1"/>
  <c r="P689" i="1"/>
  <c r="O689" i="1"/>
  <c r="P688" i="1"/>
  <c r="O688" i="1"/>
  <c r="I688" i="1"/>
  <c r="P687" i="1"/>
  <c r="O687" i="1"/>
  <c r="P686" i="1"/>
  <c r="I686" i="1"/>
  <c r="O686" i="1" s="1"/>
  <c r="P685" i="1"/>
  <c r="O685" i="1"/>
  <c r="P684" i="1"/>
  <c r="O684" i="1"/>
  <c r="P683" i="1"/>
  <c r="O683" i="1"/>
  <c r="P682" i="1"/>
  <c r="O682" i="1"/>
  <c r="P681" i="1"/>
  <c r="O681" i="1"/>
  <c r="P680" i="1"/>
  <c r="O680" i="1"/>
  <c r="P679" i="1"/>
  <c r="O679" i="1"/>
  <c r="P678" i="1"/>
  <c r="O678" i="1"/>
  <c r="P677" i="1"/>
  <c r="I677" i="1"/>
  <c r="O677" i="1" s="1"/>
  <c r="P676" i="1"/>
  <c r="I676" i="1"/>
  <c r="O676" i="1" s="1"/>
  <c r="P675" i="1"/>
  <c r="O675" i="1"/>
  <c r="P674" i="1"/>
  <c r="O674" i="1"/>
  <c r="P673" i="1"/>
  <c r="O673" i="1"/>
  <c r="I673" i="1"/>
  <c r="P672" i="1"/>
  <c r="O672" i="1"/>
  <c r="P671" i="1"/>
  <c r="O671" i="1"/>
  <c r="P670" i="1"/>
  <c r="O670" i="1"/>
  <c r="P669" i="1"/>
  <c r="O669" i="1"/>
  <c r="P668" i="1"/>
  <c r="O668" i="1"/>
  <c r="P667" i="1"/>
  <c r="I667" i="1"/>
  <c r="O667" i="1" s="1"/>
  <c r="P666" i="1"/>
  <c r="O666" i="1"/>
  <c r="P665" i="1"/>
  <c r="O665" i="1"/>
  <c r="P664" i="1"/>
  <c r="O664" i="1"/>
  <c r="P663" i="1"/>
  <c r="O663" i="1"/>
  <c r="P662" i="1"/>
  <c r="O662" i="1"/>
  <c r="P661" i="1"/>
  <c r="O661" i="1"/>
  <c r="P660" i="1"/>
  <c r="O660" i="1"/>
  <c r="P659" i="1"/>
  <c r="O659" i="1"/>
  <c r="P658" i="1"/>
  <c r="O658" i="1"/>
  <c r="P657" i="1"/>
  <c r="O657" i="1"/>
  <c r="P656" i="1"/>
  <c r="O656" i="1"/>
  <c r="P655" i="1"/>
  <c r="O655" i="1"/>
  <c r="P654" i="1"/>
  <c r="O654" i="1"/>
  <c r="P653" i="1"/>
  <c r="O653" i="1"/>
  <c r="P652" i="1"/>
  <c r="O652" i="1"/>
  <c r="P651" i="1"/>
  <c r="O651" i="1"/>
  <c r="P650" i="1"/>
  <c r="O650" i="1"/>
  <c r="P649" i="1"/>
  <c r="O649" i="1"/>
  <c r="P648" i="1"/>
  <c r="O648" i="1"/>
  <c r="P647" i="1"/>
  <c r="O647" i="1"/>
  <c r="P646" i="1"/>
  <c r="I646" i="1"/>
  <c r="O646" i="1" s="1"/>
  <c r="P645" i="1"/>
  <c r="O645" i="1"/>
  <c r="P644" i="1"/>
  <c r="O644" i="1"/>
  <c r="P643" i="1"/>
  <c r="O643" i="1"/>
  <c r="P642" i="1"/>
  <c r="I642" i="1"/>
  <c r="O642" i="1" s="1"/>
  <c r="P641" i="1"/>
  <c r="O641" i="1"/>
  <c r="P640" i="1"/>
  <c r="O640" i="1"/>
  <c r="P639" i="1"/>
  <c r="O639" i="1"/>
  <c r="I639" i="1"/>
  <c r="P638" i="1"/>
  <c r="O638" i="1"/>
  <c r="P637" i="1"/>
  <c r="O637" i="1"/>
  <c r="P636" i="1"/>
  <c r="O636" i="1"/>
  <c r="P635" i="1"/>
  <c r="O635" i="1"/>
  <c r="P634" i="1"/>
  <c r="I634" i="1"/>
  <c r="O634" i="1" s="1"/>
  <c r="P633" i="1"/>
  <c r="O633" i="1"/>
  <c r="P632" i="1"/>
  <c r="I632" i="1"/>
  <c r="O632" i="1" s="1"/>
  <c r="P631" i="1"/>
  <c r="I631" i="1"/>
  <c r="O631" i="1" s="1"/>
  <c r="P630" i="1"/>
  <c r="O630" i="1"/>
  <c r="P629" i="1"/>
  <c r="O629" i="1"/>
  <c r="P628" i="1"/>
  <c r="O628" i="1"/>
  <c r="P627" i="1"/>
  <c r="O627" i="1"/>
  <c r="P626" i="1"/>
  <c r="O626" i="1"/>
  <c r="P625" i="1"/>
  <c r="O625" i="1"/>
  <c r="P624" i="1"/>
  <c r="O624" i="1"/>
  <c r="P623" i="1"/>
  <c r="O623" i="1"/>
  <c r="P622" i="1"/>
  <c r="O622" i="1"/>
  <c r="P621" i="1"/>
  <c r="O621" i="1"/>
  <c r="I621" i="1"/>
  <c r="P620" i="1"/>
  <c r="O620" i="1"/>
  <c r="P619" i="1"/>
  <c r="O619" i="1"/>
  <c r="P618" i="1"/>
  <c r="O618" i="1"/>
  <c r="P617" i="1"/>
  <c r="O617" i="1"/>
  <c r="P616" i="1"/>
  <c r="O616" i="1"/>
  <c r="P615" i="1"/>
  <c r="I615" i="1"/>
  <c r="O615" i="1" s="1"/>
  <c r="P614" i="1"/>
  <c r="O614" i="1"/>
  <c r="P613" i="1"/>
  <c r="I613" i="1"/>
  <c r="O613" i="1" s="1"/>
  <c r="P612" i="1"/>
  <c r="O612" i="1"/>
  <c r="P611" i="1"/>
  <c r="I611" i="1"/>
  <c r="O611" i="1" s="1"/>
  <c r="P610" i="1"/>
  <c r="O610" i="1"/>
  <c r="P609" i="1"/>
  <c r="O609" i="1"/>
  <c r="I609" i="1"/>
  <c r="P608" i="1"/>
  <c r="I608" i="1"/>
  <c r="O608" i="1" s="1"/>
  <c r="P607" i="1"/>
  <c r="O607" i="1"/>
  <c r="P606" i="1"/>
  <c r="O606" i="1"/>
  <c r="P605" i="1"/>
  <c r="O605" i="1"/>
  <c r="P604" i="1"/>
  <c r="O604" i="1"/>
  <c r="P603" i="1"/>
  <c r="O603" i="1"/>
  <c r="P602" i="1"/>
  <c r="O602" i="1"/>
  <c r="P601" i="1"/>
  <c r="O601" i="1"/>
  <c r="P600" i="1"/>
  <c r="O600" i="1"/>
  <c r="P599" i="1"/>
  <c r="O599" i="1"/>
  <c r="P598" i="1"/>
  <c r="I598" i="1"/>
  <c r="O598" i="1" s="1"/>
  <c r="P597" i="1"/>
  <c r="O597" i="1"/>
  <c r="P596" i="1"/>
  <c r="O596" i="1"/>
  <c r="P595" i="1"/>
  <c r="O595" i="1"/>
  <c r="P594" i="1"/>
  <c r="O594" i="1"/>
  <c r="P593" i="1"/>
  <c r="O593" i="1"/>
  <c r="P592" i="1"/>
  <c r="O592" i="1"/>
  <c r="P591" i="1"/>
  <c r="O591" i="1"/>
  <c r="P590" i="1"/>
  <c r="O590" i="1"/>
  <c r="P589" i="1"/>
  <c r="O589" i="1"/>
  <c r="P588" i="1"/>
  <c r="O588" i="1"/>
  <c r="P587" i="1"/>
  <c r="O587" i="1"/>
  <c r="P586" i="1"/>
  <c r="O586" i="1"/>
  <c r="P585" i="1"/>
  <c r="O585" i="1"/>
  <c r="P584" i="1"/>
  <c r="I584" i="1"/>
  <c r="O584" i="1" s="1"/>
  <c r="P583" i="1"/>
  <c r="O583" i="1"/>
  <c r="P582" i="1"/>
  <c r="O582" i="1"/>
  <c r="P581" i="1"/>
  <c r="O581" i="1"/>
  <c r="P580" i="1"/>
  <c r="O580" i="1"/>
  <c r="P579" i="1"/>
  <c r="O579" i="1"/>
  <c r="P578" i="1"/>
  <c r="O578" i="1"/>
  <c r="I578" i="1"/>
  <c r="P577" i="1"/>
  <c r="O577" i="1"/>
  <c r="P576" i="1"/>
  <c r="O576" i="1"/>
  <c r="P575" i="1"/>
  <c r="I575" i="1"/>
  <c r="O575" i="1" s="1"/>
  <c r="P574" i="1"/>
  <c r="O574" i="1"/>
  <c r="P573" i="1"/>
  <c r="I573" i="1"/>
  <c r="O573" i="1" s="1"/>
  <c r="P572" i="1"/>
  <c r="I572" i="1"/>
  <c r="O572" i="1" s="1"/>
  <c r="P571" i="1"/>
  <c r="O571" i="1"/>
  <c r="I571" i="1"/>
  <c r="P570" i="1"/>
  <c r="O570" i="1"/>
  <c r="P569" i="1"/>
  <c r="I569" i="1"/>
  <c r="O569" i="1" s="1"/>
  <c r="P568" i="1"/>
  <c r="O568" i="1"/>
  <c r="P567" i="1"/>
  <c r="O567" i="1"/>
  <c r="P566" i="1"/>
  <c r="O566" i="1"/>
  <c r="P565" i="1"/>
  <c r="O565" i="1"/>
  <c r="P564" i="1"/>
  <c r="O564" i="1"/>
  <c r="P563" i="1"/>
  <c r="O563" i="1"/>
  <c r="P562" i="1"/>
  <c r="O562" i="1"/>
  <c r="P561" i="1"/>
  <c r="O561" i="1"/>
  <c r="P560" i="1"/>
  <c r="O560" i="1"/>
  <c r="P559" i="1"/>
  <c r="O559" i="1"/>
  <c r="P558" i="1"/>
  <c r="O558" i="1"/>
  <c r="P557" i="1"/>
  <c r="O557" i="1"/>
  <c r="P556" i="1"/>
  <c r="I556" i="1"/>
  <c r="O556" i="1" s="1"/>
  <c r="P555" i="1"/>
  <c r="O555" i="1"/>
  <c r="P554" i="1"/>
  <c r="O554" i="1"/>
  <c r="P553" i="1"/>
  <c r="O553" i="1"/>
  <c r="P552" i="1"/>
  <c r="O552" i="1"/>
  <c r="P551" i="1"/>
  <c r="O551" i="1"/>
  <c r="P550" i="1"/>
  <c r="O550" i="1"/>
  <c r="P549" i="1"/>
  <c r="O549" i="1"/>
  <c r="P548" i="1"/>
  <c r="O548" i="1"/>
  <c r="P547" i="1"/>
  <c r="O547" i="1"/>
  <c r="P546" i="1"/>
  <c r="O546" i="1"/>
  <c r="P545" i="1"/>
  <c r="O545" i="1"/>
  <c r="P544" i="1"/>
  <c r="O544" i="1"/>
  <c r="P543" i="1"/>
  <c r="O543" i="1"/>
  <c r="P542" i="1"/>
  <c r="O542" i="1"/>
  <c r="P541" i="1"/>
  <c r="I541" i="1"/>
  <c r="O541" i="1" s="1"/>
  <c r="P540" i="1"/>
  <c r="O540" i="1"/>
  <c r="P539" i="1"/>
  <c r="O539" i="1"/>
  <c r="P538" i="1"/>
  <c r="O538" i="1"/>
  <c r="I538" i="1"/>
  <c r="P537" i="1"/>
  <c r="O537" i="1"/>
  <c r="P536" i="1"/>
  <c r="I536" i="1"/>
  <c r="O536" i="1" s="1"/>
  <c r="P535" i="1"/>
  <c r="O535" i="1"/>
  <c r="P534" i="1"/>
  <c r="O534" i="1"/>
  <c r="P533" i="1"/>
  <c r="O533" i="1"/>
  <c r="P532" i="1"/>
  <c r="O532" i="1"/>
  <c r="P531" i="1"/>
  <c r="O531" i="1"/>
  <c r="P530" i="1"/>
  <c r="O530" i="1"/>
  <c r="P529" i="1"/>
  <c r="O529" i="1"/>
  <c r="P528" i="1"/>
  <c r="O528" i="1"/>
  <c r="P527" i="1"/>
  <c r="O527" i="1"/>
  <c r="P526" i="1"/>
  <c r="O526" i="1"/>
  <c r="P525" i="1"/>
  <c r="O525" i="1"/>
  <c r="P524" i="1"/>
  <c r="I524" i="1"/>
  <c r="O524" i="1" s="1"/>
  <c r="P523" i="1"/>
  <c r="O523" i="1"/>
  <c r="P522" i="1"/>
  <c r="O522" i="1"/>
  <c r="P521" i="1"/>
  <c r="I521" i="1"/>
  <c r="O521" i="1" s="1"/>
  <c r="P520" i="1"/>
  <c r="O520" i="1"/>
  <c r="P519" i="1"/>
  <c r="O519" i="1"/>
  <c r="P518" i="1"/>
  <c r="O518" i="1"/>
  <c r="P517" i="1"/>
  <c r="O517" i="1"/>
  <c r="I517" i="1"/>
  <c r="P516" i="1"/>
  <c r="O516" i="1"/>
  <c r="P515" i="1"/>
  <c r="O515" i="1"/>
  <c r="P514" i="1"/>
  <c r="O514" i="1"/>
  <c r="P513" i="1"/>
  <c r="O513" i="1"/>
  <c r="P512" i="1"/>
  <c r="O512" i="1"/>
  <c r="P511" i="1"/>
  <c r="O511" i="1"/>
  <c r="P510" i="1"/>
  <c r="O510" i="1"/>
  <c r="P509" i="1"/>
  <c r="O509" i="1"/>
  <c r="P508" i="1"/>
  <c r="O508" i="1"/>
  <c r="P507" i="1"/>
  <c r="O507" i="1"/>
  <c r="P506" i="1"/>
  <c r="O506" i="1"/>
  <c r="P505" i="1"/>
  <c r="O505" i="1"/>
  <c r="P504" i="1"/>
  <c r="O504" i="1"/>
  <c r="P503" i="1"/>
  <c r="O503" i="1"/>
  <c r="P502" i="1"/>
  <c r="O502" i="1"/>
  <c r="P501" i="1"/>
  <c r="O501" i="1"/>
  <c r="P500" i="1"/>
  <c r="I500" i="1"/>
  <c r="O500" i="1" s="1"/>
  <c r="P499" i="1"/>
  <c r="O499" i="1"/>
  <c r="P498" i="1"/>
  <c r="O498" i="1"/>
  <c r="P497" i="1"/>
  <c r="O497" i="1"/>
  <c r="P496" i="1"/>
  <c r="O496" i="1"/>
  <c r="P495" i="1"/>
  <c r="O495" i="1"/>
  <c r="P494" i="1"/>
  <c r="O494" i="1"/>
  <c r="P493" i="1"/>
  <c r="O493" i="1"/>
  <c r="P492" i="1"/>
  <c r="O492" i="1"/>
  <c r="P491" i="1"/>
  <c r="O491" i="1"/>
  <c r="P490" i="1"/>
  <c r="O490" i="1"/>
  <c r="P489" i="1"/>
  <c r="I489" i="1"/>
  <c r="O489" i="1" s="1"/>
  <c r="P488" i="1"/>
  <c r="O488" i="1"/>
  <c r="P487" i="1"/>
  <c r="O487" i="1"/>
  <c r="P486" i="1"/>
  <c r="O486" i="1"/>
  <c r="P485" i="1"/>
  <c r="O485" i="1"/>
  <c r="P484" i="1"/>
  <c r="I484" i="1"/>
  <c r="O484" i="1" s="1"/>
  <c r="P483" i="1"/>
  <c r="O483" i="1"/>
  <c r="P482" i="1"/>
  <c r="O482" i="1"/>
  <c r="P481" i="1"/>
  <c r="O481" i="1"/>
  <c r="P480" i="1"/>
  <c r="O480" i="1"/>
  <c r="P479" i="1"/>
  <c r="O479" i="1"/>
  <c r="P478" i="1"/>
  <c r="O478" i="1"/>
  <c r="P477" i="1"/>
  <c r="O477" i="1"/>
  <c r="P476" i="1"/>
  <c r="O476" i="1"/>
  <c r="I476" i="1"/>
  <c r="P475" i="1"/>
  <c r="O475" i="1"/>
  <c r="P474" i="1"/>
  <c r="O474" i="1"/>
  <c r="P473" i="1"/>
  <c r="O473" i="1"/>
  <c r="P472" i="1"/>
  <c r="O472" i="1"/>
  <c r="P471" i="1"/>
  <c r="O471" i="1"/>
  <c r="P470" i="1"/>
  <c r="I470" i="1"/>
  <c r="O470" i="1" s="1"/>
  <c r="P469" i="1"/>
  <c r="O469" i="1"/>
  <c r="P468" i="1"/>
  <c r="O468" i="1"/>
  <c r="P467" i="1"/>
  <c r="O467" i="1"/>
  <c r="P466" i="1"/>
  <c r="O466" i="1"/>
  <c r="P465" i="1"/>
  <c r="O465" i="1"/>
  <c r="P464" i="1"/>
  <c r="O464" i="1"/>
  <c r="P463" i="1"/>
  <c r="O463" i="1"/>
  <c r="P462" i="1"/>
  <c r="O462" i="1"/>
  <c r="P461" i="1"/>
  <c r="O461" i="1"/>
  <c r="P460" i="1"/>
  <c r="O460" i="1"/>
  <c r="P459" i="1"/>
  <c r="I459" i="1"/>
  <c r="O459" i="1" s="1"/>
  <c r="P458" i="1"/>
  <c r="O458" i="1"/>
  <c r="P457" i="1"/>
  <c r="O457" i="1"/>
  <c r="P456" i="1"/>
  <c r="O456" i="1"/>
  <c r="P455" i="1"/>
  <c r="O455" i="1"/>
  <c r="P454" i="1"/>
  <c r="O454" i="1"/>
  <c r="P453" i="1"/>
  <c r="O453" i="1"/>
  <c r="P452" i="1"/>
  <c r="O452" i="1"/>
  <c r="P451" i="1"/>
  <c r="O451" i="1"/>
  <c r="P450" i="1"/>
  <c r="O450" i="1"/>
  <c r="P449" i="1"/>
  <c r="O449" i="1"/>
  <c r="P448" i="1"/>
  <c r="O448" i="1"/>
  <c r="P447" i="1"/>
  <c r="O447" i="1"/>
  <c r="P446" i="1"/>
  <c r="O446" i="1"/>
  <c r="P445" i="1"/>
  <c r="O445" i="1"/>
  <c r="P444" i="1"/>
  <c r="O444" i="1"/>
  <c r="P443" i="1"/>
  <c r="O443" i="1"/>
  <c r="P442" i="1"/>
  <c r="O442" i="1"/>
  <c r="P441" i="1"/>
  <c r="O441" i="1"/>
  <c r="P440" i="1"/>
  <c r="O440" i="1"/>
  <c r="P439" i="1"/>
  <c r="O439" i="1"/>
  <c r="P438" i="1"/>
  <c r="O438" i="1"/>
  <c r="P437" i="1"/>
  <c r="O437" i="1"/>
  <c r="P436" i="1"/>
  <c r="O436" i="1"/>
  <c r="P435" i="1"/>
  <c r="O435" i="1"/>
  <c r="P434" i="1"/>
  <c r="O434" i="1"/>
  <c r="P433" i="1"/>
  <c r="I433" i="1"/>
  <c r="O433" i="1" s="1"/>
  <c r="P432" i="1"/>
  <c r="O432" i="1"/>
  <c r="I432" i="1"/>
  <c r="P431" i="1"/>
  <c r="O431" i="1"/>
  <c r="P430" i="1"/>
  <c r="I430" i="1"/>
  <c r="O430" i="1" s="1"/>
  <c r="P429" i="1"/>
  <c r="I429" i="1"/>
  <c r="O429" i="1" s="1"/>
  <c r="P428" i="1"/>
  <c r="O428" i="1"/>
  <c r="P427" i="1"/>
  <c r="O427" i="1"/>
  <c r="P426" i="1"/>
  <c r="O426" i="1"/>
  <c r="P425" i="1"/>
  <c r="I425" i="1"/>
  <c r="O425" i="1" s="1"/>
  <c r="P424" i="1"/>
  <c r="O424" i="1"/>
  <c r="P423" i="1"/>
  <c r="O423" i="1"/>
  <c r="P422" i="1"/>
  <c r="O422" i="1"/>
  <c r="P421" i="1"/>
  <c r="O421" i="1"/>
  <c r="P420" i="1"/>
  <c r="O420" i="1"/>
  <c r="P419" i="1"/>
  <c r="O419" i="1"/>
  <c r="P418" i="1"/>
  <c r="O418" i="1"/>
  <c r="P417" i="1"/>
  <c r="O417" i="1"/>
  <c r="P416" i="1"/>
  <c r="O416" i="1"/>
  <c r="P415" i="1"/>
  <c r="O415" i="1"/>
  <c r="P414" i="1"/>
  <c r="O414" i="1"/>
  <c r="I414" i="1"/>
  <c r="P413" i="1"/>
  <c r="O413" i="1"/>
  <c r="P412" i="1"/>
  <c r="O412" i="1"/>
  <c r="P411" i="1"/>
  <c r="O411" i="1"/>
  <c r="P410" i="1"/>
  <c r="O410" i="1"/>
  <c r="P409" i="1"/>
  <c r="I409" i="1"/>
  <c r="O409" i="1" s="1"/>
  <c r="P408" i="1"/>
  <c r="I408" i="1"/>
  <c r="O408" i="1" s="1"/>
  <c r="P407" i="1"/>
  <c r="I407" i="1"/>
  <c r="O407" i="1" s="1"/>
  <c r="P406" i="1"/>
  <c r="O406" i="1"/>
  <c r="P405" i="1"/>
  <c r="O405" i="1"/>
  <c r="P404" i="1"/>
  <c r="O404" i="1"/>
  <c r="P403" i="1"/>
  <c r="O403" i="1"/>
  <c r="P402" i="1"/>
  <c r="O402" i="1"/>
  <c r="I402" i="1"/>
  <c r="P401" i="1"/>
  <c r="O401" i="1"/>
  <c r="P400" i="1"/>
  <c r="O400" i="1"/>
  <c r="P399" i="1"/>
  <c r="O399" i="1"/>
  <c r="P398" i="1"/>
  <c r="O398" i="1"/>
  <c r="P397" i="1"/>
  <c r="O397" i="1"/>
  <c r="P396" i="1"/>
  <c r="O396" i="1"/>
  <c r="P395" i="1"/>
  <c r="O395" i="1"/>
  <c r="P394" i="1"/>
  <c r="O394" i="1"/>
  <c r="P393" i="1"/>
  <c r="O393" i="1"/>
  <c r="P392" i="1"/>
  <c r="I392" i="1"/>
  <c r="O392" i="1" s="1"/>
  <c r="P391" i="1"/>
  <c r="O391" i="1"/>
  <c r="P390" i="1"/>
  <c r="O390" i="1"/>
  <c r="P389" i="1"/>
  <c r="O389" i="1"/>
  <c r="P388" i="1"/>
  <c r="O388" i="1"/>
  <c r="P387" i="1"/>
  <c r="O387" i="1"/>
  <c r="P386" i="1"/>
  <c r="O386" i="1"/>
  <c r="P385" i="1"/>
  <c r="O385" i="1"/>
  <c r="P384" i="1"/>
  <c r="O384" i="1"/>
  <c r="P383" i="1"/>
  <c r="O383" i="1"/>
  <c r="P382" i="1"/>
  <c r="O382" i="1"/>
  <c r="P381" i="1"/>
  <c r="O381" i="1"/>
  <c r="P380" i="1"/>
  <c r="O380" i="1"/>
  <c r="P379" i="1"/>
  <c r="O379" i="1"/>
  <c r="P378" i="1"/>
  <c r="O378" i="1"/>
  <c r="P377" i="1"/>
  <c r="O377" i="1"/>
  <c r="P376" i="1"/>
  <c r="O376" i="1"/>
  <c r="P375" i="1"/>
  <c r="O375" i="1"/>
  <c r="P374" i="1"/>
  <c r="I374" i="1"/>
  <c r="O374" i="1" s="1"/>
  <c r="P373" i="1"/>
  <c r="I373" i="1"/>
  <c r="O373" i="1" s="1"/>
  <c r="P372" i="1"/>
  <c r="O372" i="1"/>
  <c r="P371" i="1"/>
  <c r="O371" i="1"/>
  <c r="I371" i="1"/>
  <c r="P370" i="1"/>
  <c r="O370" i="1"/>
  <c r="P369" i="1"/>
  <c r="O369" i="1"/>
  <c r="P368" i="1"/>
  <c r="O368" i="1"/>
  <c r="P367" i="1"/>
  <c r="I367" i="1"/>
  <c r="O367" i="1" s="1"/>
  <c r="P366" i="1"/>
  <c r="O366" i="1"/>
  <c r="P365" i="1"/>
  <c r="O365" i="1"/>
  <c r="P364" i="1"/>
  <c r="O364" i="1"/>
  <c r="P363" i="1"/>
  <c r="O363" i="1"/>
  <c r="P362" i="1"/>
  <c r="O362" i="1"/>
  <c r="P361" i="1"/>
  <c r="O361" i="1"/>
  <c r="P360" i="1"/>
  <c r="O360" i="1"/>
  <c r="P359" i="1"/>
  <c r="O359" i="1"/>
  <c r="P358" i="1"/>
  <c r="O358" i="1"/>
  <c r="P357" i="1"/>
  <c r="O357" i="1"/>
  <c r="P356" i="1"/>
  <c r="O356" i="1"/>
  <c r="P355" i="1"/>
  <c r="O355" i="1"/>
  <c r="P354" i="1"/>
  <c r="O354" i="1"/>
  <c r="P353" i="1"/>
  <c r="O353" i="1"/>
  <c r="P352" i="1"/>
  <c r="O352" i="1"/>
  <c r="P351" i="1"/>
  <c r="O351" i="1"/>
  <c r="P350" i="1"/>
  <c r="O350" i="1"/>
  <c r="P349" i="1"/>
  <c r="O349" i="1"/>
  <c r="P348" i="1"/>
  <c r="O348" i="1"/>
  <c r="P347" i="1"/>
  <c r="O347" i="1"/>
  <c r="P346" i="1"/>
  <c r="O346" i="1"/>
  <c r="P345" i="1"/>
  <c r="I345" i="1"/>
  <c r="O345" i="1" s="1"/>
  <c r="P344" i="1"/>
  <c r="O344" i="1"/>
  <c r="P343" i="1"/>
  <c r="O343" i="1"/>
  <c r="P342" i="1"/>
  <c r="O342" i="1"/>
  <c r="P341" i="1"/>
  <c r="O341" i="1"/>
  <c r="P340" i="1"/>
  <c r="O340" i="1"/>
  <c r="P339" i="1"/>
  <c r="O339" i="1"/>
  <c r="P338" i="1"/>
  <c r="O338" i="1"/>
  <c r="P337" i="1"/>
  <c r="O337" i="1"/>
  <c r="P336" i="1"/>
  <c r="O336" i="1"/>
  <c r="P335" i="1"/>
  <c r="I335" i="1"/>
  <c r="O335" i="1" s="1"/>
  <c r="P334" i="1"/>
  <c r="O334" i="1"/>
  <c r="P333" i="1"/>
  <c r="O333" i="1"/>
  <c r="P332" i="1"/>
  <c r="O332" i="1"/>
  <c r="P331" i="1"/>
  <c r="O331" i="1"/>
  <c r="P330" i="1"/>
  <c r="O330" i="1"/>
  <c r="P329" i="1"/>
  <c r="O329" i="1"/>
  <c r="P328" i="1"/>
  <c r="O328" i="1"/>
  <c r="P327" i="1"/>
  <c r="O327" i="1"/>
  <c r="P326" i="1"/>
  <c r="O326" i="1"/>
  <c r="P325" i="1"/>
  <c r="O325" i="1"/>
  <c r="P324" i="1"/>
  <c r="O324" i="1"/>
  <c r="I324" i="1"/>
  <c r="P323" i="1"/>
  <c r="O323" i="1"/>
  <c r="P322" i="1"/>
  <c r="O322" i="1"/>
  <c r="P321" i="1"/>
  <c r="O321" i="1"/>
  <c r="P320" i="1"/>
  <c r="O320" i="1"/>
  <c r="P319" i="1"/>
  <c r="O319" i="1"/>
  <c r="P318" i="1"/>
  <c r="O318" i="1"/>
  <c r="P317" i="1"/>
  <c r="O317" i="1"/>
  <c r="P316" i="1"/>
  <c r="O316" i="1"/>
  <c r="P315" i="1"/>
  <c r="O315" i="1"/>
  <c r="P314" i="1"/>
  <c r="O314" i="1"/>
  <c r="P313" i="1"/>
  <c r="O313" i="1"/>
  <c r="P312" i="1"/>
  <c r="O312" i="1"/>
  <c r="P311" i="1"/>
  <c r="O311" i="1"/>
  <c r="P310" i="1"/>
  <c r="O310" i="1"/>
  <c r="P309" i="1"/>
  <c r="I309" i="1"/>
  <c r="O309" i="1" s="1"/>
  <c r="P308" i="1"/>
  <c r="O308" i="1"/>
  <c r="P307" i="1"/>
  <c r="O307" i="1"/>
  <c r="P306" i="1"/>
  <c r="O306" i="1"/>
  <c r="P305" i="1"/>
  <c r="I305" i="1"/>
  <c r="O305" i="1" s="1"/>
  <c r="P304" i="1"/>
  <c r="O304" i="1"/>
  <c r="P303" i="1"/>
  <c r="O303" i="1"/>
  <c r="P302" i="1"/>
  <c r="O302" i="1"/>
  <c r="P301" i="1"/>
  <c r="O301" i="1"/>
  <c r="P300" i="1"/>
  <c r="O300" i="1"/>
  <c r="P299" i="1"/>
  <c r="I299" i="1"/>
  <c r="O299" i="1" s="1"/>
  <c r="P298" i="1"/>
  <c r="O298" i="1"/>
  <c r="I298" i="1"/>
  <c r="P297" i="1"/>
  <c r="I297" i="1"/>
  <c r="O297" i="1" s="1"/>
  <c r="P296" i="1"/>
  <c r="O296" i="1"/>
  <c r="P295" i="1"/>
  <c r="O295" i="1"/>
  <c r="P294" i="1"/>
  <c r="O294" i="1"/>
  <c r="P293" i="1"/>
  <c r="O293" i="1"/>
  <c r="P292" i="1"/>
  <c r="O292" i="1"/>
  <c r="P291" i="1"/>
  <c r="O291" i="1"/>
  <c r="P290" i="1"/>
  <c r="O290" i="1"/>
  <c r="P289" i="1"/>
  <c r="O289" i="1"/>
  <c r="P288" i="1"/>
  <c r="O288" i="1"/>
  <c r="P287" i="1"/>
  <c r="O287" i="1"/>
  <c r="P286" i="1"/>
  <c r="O286" i="1"/>
  <c r="P285" i="1"/>
  <c r="O285" i="1"/>
  <c r="P284" i="1"/>
  <c r="O284" i="1"/>
  <c r="P283" i="1"/>
  <c r="O283" i="1"/>
  <c r="P282" i="1"/>
  <c r="I282" i="1"/>
  <c r="O282" i="1" s="1"/>
  <c r="P281" i="1"/>
  <c r="O281" i="1"/>
  <c r="P280" i="1"/>
  <c r="O280" i="1"/>
  <c r="P279" i="1"/>
  <c r="O279" i="1"/>
  <c r="P278" i="1"/>
  <c r="O278" i="1"/>
  <c r="P277" i="1"/>
  <c r="O277" i="1"/>
  <c r="P276" i="1"/>
  <c r="O276" i="1"/>
  <c r="P275" i="1"/>
  <c r="O275" i="1"/>
  <c r="P274" i="1"/>
  <c r="O274" i="1"/>
  <c r="P273" i="1"/>
  <c r="O273" i="1"/>
  <c r="P272" i="1"/>
  <c r="O272" i="1"/>
  <c r="P271" i="1"/>
  <c r="O271" i="1"/>
  <c r="P270" i="1"/>
  <c r="O270" i="1"/>
  <c r="P269" i="1"/>
  <c r="O269" i="1"/>
  <c r="P268" i="1"/>
  <c r="O268" i="1"/>
  <c r="P267" i="1"/>
  <c r="O267" i="1"/>
  <c r="P266" i="1"/>
  <c r="O266" i="1"/>
  <c r="P265" i="1"/>
  <c r="O265" i="1"/>
  <c r="P264" i="1"/>
  <c r="O264" i="1"/>
  <c r="P263" i="1"/>
  <c r="O263" i="1"/>
  <c r="P262" i="1"/>
  <c r="O262" i="1"/>
  <c r="P261" i="1"/>
  <c r="O261" i="1"/>
  <c r="P260" i="1"/>
  <c r="O260" i="1"/>
  <c r="P259" i="1"/>
  <c r="O259" i="1"/>
  <c r="P258" i="1"/>
  <c r="O258" i="1"/>
  <c r="P257" i="1"/>
  <c r="O257" i="1"/>
  <c r="P256" i="1"/>
  <c r="O256" i="1"/>
  <c r="P255" i="1"/>
  <c r="O255" i="1"/>
  <c r="P254" i="1"/>
  <c r="O254" i="1"/>
  <c r="P253" i="1"/>
  <c r="O253" i="1"/>
  <c r="P252" i="1"/>
  <c r="O252" i="1"/>
  <c r="P251" i="1"/>
  <c r="O251" i="1"/>
  <c r="P250" i="1"/>
  <c r="I250" i="1"/>
  <c r="O250" i="1" s="1"/>
  <c r="P249" i="1"/>
  <c r="O249" i="1"/>
  <c r="P248" i="1"/>
  <c r="O248" i="1"/>
  <c r="P247" i="1"/>
  <c r="O247" i="1"/>
  <c r="P246" i="1"/>
  <c r="O246" i="1"/>
  <c r="I246" i="1"/>
  <c r="P245" i="1"/>
  <c r="O245" i="1"/>
  <c r="P244" i="1"/>
  <c r="O244" i="1"/>
  <c r="P243" i="1"/>
  <c r="O243" i="1"/>
  <c r="P242" i="1"/>
  <c r="O242" i="1"/>
  <c r="P241" i="1"/>
  <c r="O241" i="1"/>
  <c r="P240" i="1"/>
  <c r="O240" i="1"/>
  <c r="P239" i="1"/>
  <c r="O239" i="1"/>
  <c r="P238" i="1"/>
  <c r="O238" i="1"/>
  <c r="P237" i="1"/>
  <c r="O237" i="1"/>
  <c r="P236" i="1"/>
  <c r="O236" i="1"/>
  <c r="P235" i="1"/>
  <c r="O235" i="1"/>
  <c r="P234" i="1"/>
  <c r="O234" i="1"/>
  <c r="P233" i="1"/>
  <c r="O233" i="1"/>
  <c r="P232" i="1"/>
  <c r="I232" i="1"/>
  <c r="O232" i="1" s="1"/>
  <c r="P231" i="1"/>
  <c r="O231" i="1"/>
  <c r="P230" i="1"/>
  <c r="O230" i="1"/>
  <c r="P229" i="1"/>
  <c r="I229" i="1"/>
  <c r="O229" i="1" s="1"/>
  <c r="P228" i="1"/>
  <c r="O228" i="1"/>
  <c r="P227" i="1"/>
  <c r="O227" i="1"/>
  <c r="P226" i="1"/>
  <c r="O226" i="1"/>
  <c r="P225" i="1"/>
  <c r="O225" i="1"/>
  <c r="P224" i="1"/>
  <c r="O224" i="1"/>
  <c r="P223" i="1"/>
  <c r="O223" i="1"/>
  <c r="P222" i="1"/>
  <c r="O222" i="1"/>
  <c r="P221" i="1"/>
  <c r="O221" i="1"/>
  <c r="P220" i="1"/>
  <c r="O220" i="1"/>
  <c r="P219" i="1"/>
  <c r="O219" i="1"/>
  <c r="P218" i="1"/>
  <c r="O218" i="1"/>
  <c r="P217" i="1"/>
  <c r="O217" i="1"/>
  <c r="P216" i="1"/>
  <c r="O216" i="1"/>
  <c r="P215" i="1"/>
  <c r="O215" i="1"/>
  <c r="P214" i="1"/>
  <c r="O214" i="1"/>
  <c r="P213" i="1"/>
  <c r="O213" i="1"/>
  <c r="P212" i="1"/>
  <c r="O212" i="1"/>
  <c r="I212" i="1"/>
  <c r="P211" i="1"/>
  <c r="O211" i="1"/>
  <c r="P210" i="1"/>
  <c r="O210" i="1"/>
  <c r="P209" i="1"/>
  <c r="O209" i="1"/>
  <c r="P208" i="1"/>
  <c r="O208" i="1"/>
  <c r="P207" i="1"/>
  <c r="O207" i="1"/>
  <c r="P206" i="1"/>
  <c r="O206" i="1"/>
  <c r="P205" i="1"/>
  <c r="O205" i="1"/>
  <c r="P204" i="1"/>
  <c r="O204" i="1"/>
  <c r="P203" i="1"/>
  <c r="O203" i="1"/>
  <c r="P202" i="1"/>
  <c r="O202" i="1"/>
  <c r="P201" i="1"/>
  <c r="O201" i="1"/>
  <c r="P200" i="1"/>
  <c r="O200" i="1"/>
  <c r="P199" i="1"/>
  <c r="O199" i="1"/>
  <c r="P198" i="1"/>
  <c r="O198" i="1"/>
  <c r="P197" i="1"/>
  <c r="O197" i="1"/>
  <c r="P196" i="1"/>
  <c r="O196" i="1"/>
  <c r="P195" i="1"/>
  <c r="O195" i="1"/>
  <c r="P194" i="1"/>
  <c r="O194" i="1"/>
  <c r="P193" i="1"/>
  <c r="O193" i="1"/>
  <c r="P192" i="1"/>
  <c r="O192" i="1"/>
  <c r="P191" i="1"/>
  <c r="O191" i="1"/>
  <c r="P190" i="1"/>
  <c r="I190" i="1"/>
  <c r="O190" i="1" s="1"/>
  <c r="P189" i="1"/>
  <c r="I189" i="1"/>
  <c r="O189" i="1" s="1"/>
  <c r="P188" i="1"/>
  <c r="O188" i="1"/>
  <c r="I188" i="1"/>
  <c r="P187" i="1"/>
  <c r="O187" i="1"/>
  <c r="P186" i="1"/>
  <c r="I186" i="1"/>
  <c r="O186" i="1" s="1"/>
  <c r="P185" i="1"/>
  <c r="O185" i="1"/>
  <c r="P184" i="1"/>
  <c r="O184" i="1"/>
  <c r="P183" i="1"/>
  <c r="O183" i="1"/>
  <c r="P182" i="1"/>
  <c r="O182" i="1"/>
  <c r="P181" i="1"/>
  <c r="I181" i="1"/>
  <c r="O181" i="1" s="1"/>
  <c r="P180" i="1"/>
  <c r="O180" i="1"/>
  <c r="P179" i="1"/>
  <c r="O179" i="1"/>
  <c r="P178" i="1"/>
  <c r="I178" i="1"/>
  <c r="O178" i="1" s="1"/>
  <c r="P177" i="1"/>
  <c r="O177" i="1"/>
  <c r="P176" i="1"/>
  <c r="O176" i="1"/>
  <c r="P175" i="1"/>
  <c r="O175" i="1"/>
  <c r="P174" i="1"/>
  <c r="O174" i="1"/>
  <c r="P173" i="1"/>
  <c r="O173" i="1"/>
  <c r="P172" i="1"/>
  <c r="O172" i="1"/>
  <c r="P171" i="1"/>
  <c r="O171" i="1"/>
  <c r="P170" i="1"/>
  <c r="O170" i="1"/>
  <c r="P169" i="1"/>
  <c r="O169" i="1"/>
  <c r="P168" i="1"/>
  <c r="O168" i="1"/>
  <c r="I168" i="1"/>
  <c r="P167" i="1"/>
  <c r="O167" i="1"/>
  <c r="P166" i="1"/>
  <c r="O166" i="1"/>
  <c r="P165" i="1"/>
  <c r="O165" i="1"/>
  <c r="P164" i="1"/>
  <c r="O164" i="1"/>
  <c r="P163" i="1"/>
  <c r="O163" i="1"/>
  <c r="P162" i="1"/>
  <c r="O162" i="1"/>
  <c r="P161" i="1"/>
  <c r="O161" i="1"/>
  <c r="P160" i="1"/>
  <c r="O160" i="1"/>
  <c r="P159" i="1"/>
  <c r="O159" i="1"/>
  <c r="P158" i="1"/>
  <c r="O158" i="1"/>
  <c r="P157" i="1"/>
  <c r="O157" i="1"/>
  <c r="P156" i="1"/>
  <c r="O156" i="1"/>
  <c r="P155" i="1"/>
  <c r="O155" i="1"/>
  <c r="P154" i="1"/>
  <c r="O154" i="1"/>
  <c r="P153" i="1"/>
  <c r="O153" i="1"/>
  <c r="P152" i="1"/>
  <c r="O152" i="1"/>
  <c r="P151" i="1"/>
  <c r="I151" i="1"/>
  <c r="O151" i="1" s="1"/>
  <c r="P150" i="1"/>
  <c r="O150" i="1"/>
  <c r="P149" i="1"/>
  <c r="O149" i="1"/>
  <c r="P148" i="1"/>
  <c r="O148" i="1"/>
  <c r="P147" i="1"/>
  <c r="O147" i="1"/>
  <c r="P146" i="1"/>
  <c r="I146" i="1"/>
  <c r="O146" i="1" s="1"/>
  <c r="P145" i="1"/>
  <c r="O145" i="1"/>
  <c r="P144" i="1"/>
  <c r="O144" i="1"/>
  <c r="P143" i="1"/>
  <c r="O143" i="1"/>
  <c r="P142" i="1"/>
  <c r="I142" i="1"/>
  <c r="O142" i="1" s="1"/>
  <c r="P141" i="1"/>
  <c r="O141" i="1"/>
  <c r="P140" i="1"/>
  <c r="O140" i="1"/>
  <c r="P139" i="1"/>
  <c r="O139" i="1"/>
  <c r="P138" i="1"/>
  <c r="O138" i="1"/>
  <c r="P137" i="1"/>
  <c r="O137" i="1"/>
  <c r="I137" i="1"/>
  <c r="P136" i="1"/>
  <c r="O136" i="1"/>
  <c r="P135" i="1"/>
  <c r="O135" i="1"/>
  <c r="P134" i="1"/>
  <c r="O134" i="1"/>
  <c r="P133" i="1"/>
  <c r="O133" i="1"/>
  <c r="P132" i="1"/>
  <c r="O132" i="1"/>
  <c r="P131" i="1"/>
  <c r="O131" i="1"/>
  <c r="P130" i="1"/>
  <c r="O130" i="1"/>
  <c r="P129" i="1"/>
  <c r="O129" i="1"/>
  <c r="P128" i="1"/>
  <c r="O128" i="1"/>
  <c r="P127" i="1"/>
  <c r="O127" i="1"/>
  <c r="P126" i="1"/>
  <c r="O126" i="1"/>
  <c r="P125" i="1"/>
  <c r="O125" i="1"/>
  <c r="P124" i="1"/>
  <c r="O124" i="1"/>
  <c r="P123" i="1"/>
  <c r="I123" i="1"/>
  <c r="O123" i="1" s="1"/>
  <c r="P122" i="1"/>
  <c r="O122" i="1"/>
  <c r="P121" i="1"/>
  <c r="O121" i="1"/>
  <c r="P120" i="1"/>
  <c r="O120" i="1"/>
  <c r="P119" i="1"/>
  <c r="O119" i="1"/>
  <c r="P118" i="1"/>
  <c r="I118" i="1"/>
  <c r="O118" i="1" s="1"/>
  <c r="P117" i="1"/>
  <c r="O117" i="1"/>
  <c r="P116" i="1"/>
  <c r="O116" i="1"/>
  <c r="P115" i="1"/>
  <c r="O115" i="1"/>
  <c r="P114" i="1"/>
  <c r="O114" i="1"/>
  <c r="P113" i="1"/>
  <c r="O113" i="1"/>
  <c r="P112" i="1"/>
  <c r="O112" i="1"/>
  <c r="P111" i="1"/>
  <c r="O111" i="1"/>
  <c r="P110" i="1"/>
  <c r="O110" i="1"/>
  <c r="P109" i="1"/>
  <c r="O109" i="1"/>
  <c r="P108" i="1"/>
  <c r="O108" i="1"/>
  <c r="P107" i="1"/>
  <c r="O107" i="1"/>
  <c r="P106" i="1"/>
  <c r="O106" i="1"/>
  <c r="P105" i="1"/>
  <c r="O105" i="1"/>
  <c r="P104" i="1"/>
  <c r="O104" i="1"/>
  <c r="P103" i="1"/>
  <c r="O103" i="1"/>
  <c r="P102" i="1"/>
  <c r="O102" i="1"/>
  <c r="P101" i="1"/>
  <c r="O101" i="1"/>
  <c r="P100" i="1"/>
  <c r="O100" i="1"/>
  <c r="P99" i="1"/>
  <c r="O99" i="1"/>
  <c r="I99" i="1"/>
  <c r="P98" i="1"/>
  <c r="I98" i="1"/>
  <c r="O98" i="1" s="1"/>
  <c r="P97" i="1"/>
  <c r="I97" i="1"/>
  <c r="O97" i="1" s="1"/>
  <c r="P96" i="1"/>
  <c r="O96" i="1"/>
  <c r="P95" i="1"/>
  <c r="O95" i="1"/>
  <c r="P94" i="1"/>
  <c r="O94" i="1"/>
  <c r="P93" i="1"/>
  <c r="I93" i="1"/>
  <c r="O93" i="1" s="1"/>
  <c r="P92" i="1"/>
  <c r="O92" i="1"/>
  <c r="I92" i="1"/>
  <c r="P91" i="1"/>
  <c r="O91" i="1"/>
  <c r="P90" i="1"/>
  <c r="O90" i="1"/>
  <c r="P89" i="1"/>
  <c r="O89" i="1"/>
  <c r="P88" i="1"/>
  <c r="O88" i="1"/>
  <c r="P87" i="1"/>
  <c r="O87" i="1"/>
  <c r="P86" i="1"/>
  <c r="O86" i="1"/>
  <c r="P85" i="1"/>
  <c r="O85" i="1"/>
  <c r="P84" i="1"/>
  <c r="O84" i="1"/>
  <c r="P83" i="1"/>
  <c r="O83" i="1"/>
  <c r="P82" i="1"/>
  <c r="O82" i="1"/>
  <c r="P81" i="1"/>
  <c r="O81" i="1"/>
  <c r="P80" i="1"/>
  <c r="O80" i="1"/>
  <c r="P79" i="1"/>
  <c r="O79" i="1"/>
  <c r="P78" i="1"/>
  <c r="O78" i="1"/>
  <c r="P77" i="1"/>
  <c r="I77" i="1"/>
  <c r="O77" i="1" s="1"/>
  <c r="P76" i="1"/>
  <c r="I76" i="1"/>
  <c r="O76" i="1" s="1"/>
  <c r="P75" i="1"/>
  <c r="O75" i="1"/>
  <c r="P74" i="1"/>
  <c r="O74" i="1"/>
  <c r="P73" i="1"/>
  <c r="O73" i="1"/>
  <c r="P72" i="1"/>
  <c r="O72" i="1"/>
  <c r="P71" i="1"/>
  <c r="O71" i="1"/>
  <c r="P70" i="1"/>
  <c r="O70" i="1"/>
  <c r="P69" i="1"/>
  <c r="O69" i="1"/>
  <c r="I69" i="1"/>
  <c r="P68" i="1"/>
  <c r="O68" i="1"/>
  <c r="P67" i="1"/>
  <c r="I67" i="1"/>
  <c r="O67" i="1" s="1"/>
  <c r="P66" i="1"/>
  <c r="O66" i="1"/>
  <c r="P65" i="1"/>
  <c r="O65" i="1"/>
  <c r="P64" i="1"/>
  <c r="I64" i="1"/>
  <c r="O64" i="1" s="1"/>
  <c r="P63" i="1"/>
  <c r="O63" i="1"/>
  <c r="P62" i="1"/>
  <c r="O62" i="1"/>
  <c r="P61" i="1"/>
  <c r="O61" i="1"/>
  <c r="P60" i="1"/>
  <c r="O60" i="1"/>
  <c r="P59" i="1"/>
  <c r="I59" i="1"/>
  <c r="O59" i="1" s="1"/>
  <c r="P58" i="1"/>
  <c r="O58" i="1"/>
  <c r="I58" i="1"/>
  <c r="P57" i="1"/>
  <c r="I57" i="1"/>
  <c r="O57" i="1" s="1"/>
  <c r="P56" i="1"/>
  <c r="I56" i="1"/>
  <c r="O56" i="1" s="1"/>
  <c r="P55" i="1"/>
  <c r="O55" i="1"/>
  <c r="P54" i="1"/>
  <c r="O54" i="1"/>
  <c r="P53" i="1"/>
  <c r="O53" i="1"/>
  <c r="P52" i="1"/>
  <c r="O52" i="1"/>
  <c r="P51" i="1"/>
  <c r="O51" i="1"/>
  <c r="P50" i="1"/>
  <c r="O50" i="1"/>
  <c r="P49" i="1"/>
  <c r="O49" i="1"/>
  <c r="P48" i="1"/>
  <c r="O48" i="1"/>
  <c r="P47" i="1"/>
  <c r="O47" i="1"/>
  <c r="P46" i="1"/>
  <c r="O46" i="1"/>
  <c r="P45" i="1"/>
  <c r="O45" i="1"/>
  <c r="I45" i="1"/>
  <c r="P44" i="1"/>
  <c r="O44" i="1"/>
  <c r="P43" i="1"/>
  <c r="I43" i="1"/>
  <c r="O43" i="1" s="1"/>
  <c r="P42" i="1"/>
  <c r="O42" i="1"/>
  <c r="P41" i="1"/>
  <c r="O41" i="1"/>
  <c r="P40" i="1"/>
  <c r="O40" i="1"/>
  <c r="P39" i="1"/>
  <c r="O39" i="1"/>
  <c r="P38" i="1"/>
  <c r="O38" i="1"/>
  <c r="P37" i="1"/>
  <c r="O37" i="1"/>
  <c r="P36" i="1"/>
  <c r="I36" i="1"/>
  <c r="O36" i="1" s="1"/>
  <c r="P35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I23" i="1"/>
  <c r="O23" i="1" s="1"/>
  <c r="P22" i="1"/>
  <c r="O22" i="1"/>
  <c r="P21" i="1"/>
  <c r="O21" i="1"/>
  <c r="P20" i="1"/>
  <c r="O20" i="1"/>
  <c r="I20" i="1"/>
  <c r="P19" i="1"/>
  <c r="O19" i="1"/>
  <c r="P18" i="1"/>
  <c r="O18" i="1"/>
  <c r="P17" i="1"/>
  <c r="I17" i="1"/>
  <c r="O17" i="1" s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P2" i="1"/>
  <c r="O2" i="1"/>
</calcChain>
</file>

<file path=xl/sharedStrings.xml><?xml version="1.0" encoding="utf-8"?>
<sst xmlns="http://schemas.openxmlformats.org/spreadsheetml/2006/main" count="11314" uniqueCount="770">
  <si>
    <t>Centro</t>
  </si>
  <si>
    <t>moneda</t>
  </si>
  <si>
    <t>Concepto</t>
  </si>
  <si>
    <t>Año</t>
  </si>
  <si>
    <t>Mes</t>
  </si>
  <si>
    <t>Fecha Operación</t>
  </si>
  <si>
    <t>Nro Doc</t>
  </si>
  <si>
    <t>Descripcion</t>
  </si>
  <si>
    <t>Importe</t>
  </si>
  <si>
    <t>Grupo</t>
  </si>
  <si>
    <t>Inciso</t>
  </si>
  <si>
    <t>Cuenta</t>
  </si>
  <si>
    <t>Detalle</t>
  </si>
  <si>
    <t>tc</t>
  </si>
  <si>
    <t>$/U$S</t>
  </si>
  <si>
    <t>Fpago</t>
  </si>
  <si>
    <t>caja</t>
  </si>
  <si>
    <t>$</t>
  </si>
  <si>
    <t>c.Egresos</t>
  </si>
  <si>
    <t>03Mar</t>
  </si>
  <si>
    <t>Limpieza de local Libertador</t>
  </si>
  <si>
    <t>c.4.Gastos.Operativos</t>
  </si>
  <si>
    <t>c.4.4.Gastos generales</t>
  </si>
  <si>
    <t>c.4.4.6.Limpieza</t>
  </si>
  <si>
    <t>Electricidad  Libertador</t>
  </si>
  <si>
    <t>c.4.9.Resto.de.Gastos</t>
  </si>
  <si>
    <t>c.4.9.1.Reparacion.y.Mantenimiento</t>
  </si>
  <si>
    <t>Reparacion Aire Acomdicionado Ale carga GAS</t>
  </si>
  <si>
    <t>Cabildo</t>
  </si>
  <si>
    <t>Alquiler CAbildo</t>
  </si>
  <si>
    <t>c.4.1.Alquileres</t>
  </si>
  <si>
    <t>c.4.1.2.Cabildo</t>
  </si>
  <si>
    <t>Puff Pablo</t>
  </si>
  <si>
    <t>c.1.Compras.Productivas</t>
  </si>
  <si>
    <t>c.1.5.Accesorios.Sillas</t>
  </si>
  <si>
    <t>c.1.5.7.Puff</t>
  </si>
  <si>
    <t>JUICIO</t>
  </si>
  <si>
    <t>Fernandez Luis Alfredo</t>
  </si>
  <si>
    <t>c.2.Sueldos.Jornales</t>
  </si>
  <si>
    <t>c.2.3.Otros.Indemnizaciones</t>
  </si>
  <si>
    <t>c.2.3.2.Juicio</t>
  </si>
  <si>
    <t>a.Saldo.Inicial</t>
  </si>
  <si>
    <t>04Abr</t>
  </si>
  <si>
    <t>SALDOS INICIALES</t>
  </si>
  <si>
    <t>a.1.Saldo.Inicial</t>
  </si>
  <si>
    <t>u$s</t>
  </si>
  <si>
    <t>d.Otros.Ingresos.y.Egresos</t>
  </si>
  <si>
    <t xml:space="preserve">Amex Emilio </t>
  </si>
  <si>
    <t>d.1.Directorio</t>
  </si>
  <si>
    <t>d.1.1.Emilio</t>
  </si>
  <si>
    <t>d.1.1.1.Retiros</t>
  </si>
  <si>
    <t>b.Ingresos</t>
  </si>
  <si>
    <t>Lorena Pascual</t>
  </si>
  <si>
    <t>b.1.Ventas.Minoristas</t>
  </si>
  <si>
    <t>b.1.1.Depositos</t>
  </si>
  <si>
    <t xml:space="preserve">Flete </t>
  </si>
  <si>
    <t>c.4.2.Fletes.y.Acarreos</t>
  </si>
  <si>
    <t>c.4.2.4.Fletes</t>
  </si>
  <si>
    <t>Limpieza de local Cabildo</t>
  </si>
  <si>
    <t>Daniel La Roca</t>
  </si>
  <si>
    <t>manuel moreno</t>
  </si>
  <si>
    <t>Federico Glucksmann</t>
  </si>
  <si>
    <t xml:space="preserve">Ferreteria </t>
  </si>
  <si>
    <t>c.4.10. Produccion</t>
  </si>
  <si>
    <t>c.4.10.1.Ferreteria</t>
  </si>
  <si>
    <t>Daniel Taito</t>
  </si>
  <si>
    <t>Florencia Lacchio</t>
  </si>
  <si>
    <t>Deposito en Supervielle</t>
  </si>
  <si>
    <t>d.3.Otros.Egresos</t>
  </si>
  <si>
    <t>Marina Dubinsky</t>
  </si>
  <si>
    <t>Almacen</t>
  </si>
  <si>
    <t>c.4.4.2.Almacen</t>
  </si>
  <si>
    <t>Deposito en Frances</t>
  </si>
  <si>
    <t>mina lee</t>
  </si>
  <si>
    <t>Cuero Puff espuma 5mm</t>
  </si>
  <si>
    <t xml:space="preserve">muestra calado sillas </t>
  </si>
  <si>
    <t>c.1.5.6.Varios</t>
  </si>
  <si>
    <t>Gisell Merleh</t>
  </si>
  <si>
    <t>Ricardo Semana</t>
  </si>
  <si>
    <t>AGUA mineral deposito</t>
  </si>
  <si>
    <t>Basura</t>
  </si>
  <si>
    <t>topes suavetop</t>
  </si>
  <si>
    <t>Maquinas taladro</t>
  </si>
  <si>
    <t>c.4.10.2.Maquinarias</t>
  </si>
  <si>
    <t>Ricardo km</t>
  </si>
  <si>
    <t>c.4.2.5.Hs Extra Fletes</t>
  </si>
  <si>
    <t>Ricardo extra</t>
  </si>
  <si>
    <t>Deposito en ICBC</t>
  </si>
  <si>
    <t>ana corbellini</t>
  </si>
  <si>
    <t>Mauro VALe</t>
  </si>
  <si>
    <t>c.2.1.Sueldos</t>
  </si>
  <si>
    <t>c.2.1.4.Logística</t>
  </si>
  <si>
    <t>Soledad sueldo</t>
  </si>
  <si>
    <t>c.2.4.Comisiones</t>
  </si>
  <si>
    <t>c.2.4.2.Ventas</t>
  </si>
  <si>
    <t>Soledad</t>
  </si>
  <si>
    <t>Soledad comision</t>
  </si>
  <si>
    <t>Caterina comicion</t>
  </si>
  <si>
    <t>Victoria  sueldo</t>
  </si>
  <si>
    <t>Victoria comicion</t>
  </si>
  <si>
    <t>Victoria</t>
  </si>
  <si>
    <t>Lucrecia sueldo</t>
  </si>
  <si>
    <t>c.2.1.3.Administración</t>
  </si>
  <si>
    <t>Adrian Sueldos</t>
  </si>
  <si>
    <t>c.2.1.1.Gerencia General</t>
  </si>
  <si>
    <t>Adrian Sevitz</t>
  </si>
  <si>
    <t>Adrian Comisiones</t>
  </si>
  <si>
    <t>c.2.4.1.Gerencia General</t>
  </si>
  <si>
    <t>Marcela Woloszyn</t>
  </si>
  <si>
    <t>Carlos Fuerzalida</t>
  </si>
  <si>
    <t>REMIS</t>
  </si>
  <si>
    <t>c.4.2.2.Motos.y.Remises Cabildo</t>
  </si>
  <si>
    <t>Pupe</t>
  </si>
  <si>
    <t>d.1.2.Elena.Sprovieri</t>
  </si>
  <si>
    <t>d.1.2.1.Retiros</t>
  </si>
  <si>
    <t>Juan Sueldo</t>
  </si>
  <si>
    <t>Leonel Sueldo diferencia FEB/ MARZ</t>
  </si>
  <si>
    <t>Gaston  Sueldo diferenci  MARZ</t>
  </si>
  <si>
    <t>Ximena Pavon</t>
  </si>
  <si>
    <t>Silvia Altomar</t>
  </si>
  <si>
    <t>Libreria</t>
  </si>
  <si>
    <t>c.4.4.1.Librería</t>
  </si>
  <si>
    <t>Ariel Pintor a cta</t>
  </si>
  <si>
    <t>c.1.4.Pintura</t>
  </si>
  <si>
    <t>c.1.4.1.Ariel Pintor</t>
  </si>
  <si>
    <t>20-25174621-5</t>
  </si>
  <si>
    <t>Cerrajería oficina</t>
  </si>
  <si>
    <t>S165  MANTENIMIENTO DEPOS</t>
  </si>
  <si>
    <t>Wendy comicion</t>
  </si>
  <si>
    <t>Wendy Cazap</t>
  </si>
  <si>
    <t>bergonzelli</t>
  </si>
  <si>
    <t>intrieri/leis</t>
  </si>
  <si>
    <t>Luigi Calistri</t>
  </si>
  <si>
    <t xml:space="preserve">Limpieza de locales tere </t>
  </si>
  <si>
    <t>Clarisa Tobal</t>
  </si>
  <si>
    <t>eduardo fernandez</t>
  </si>
  <si>
    <t xml:space="preserve">Pablo Castro </t>
  </si>
  <si>
    <t>Edgardo Ibanez</t>
  </si>
  <si>
    <t>Ernesto Goransky</t>
  </si>
  <si>
    <t>Andrea Da Sambagio</t>
  </si>
  <si>
    <t>Leandro Leiro</t>
  </si>
  <si>
    <t>Adriana Naccas devolucion</t>
  </si>
  <si>
    <t>Telecom</t>
  </si>
  <si>
    <t>c.4.5.Servicios</t>
  </si>
  <si>
    <t>c.4.5.4.Telecom</t>
  </si>
  <si>
    <t>Libertador</t>
  </si>
  <si>
    <t>Edenor Cabildo</t>
  </si>
  <si>
    <t>c.4.5.1.Edenor Cabildo</t>
  </si>
  <si>
    <t>Limpieza Vidrios Libertador</t>
  </si>
  <si>
    <t>Retiro de EFT de ICBC</t>
  </si>
  <si>
    <t>d.2.Otros.Ingresos</t>
  </si>
  <si>
    <t xml:space="preserve">Clarisa Costa </t>
  </si>
  <si>
    <t>restaurant</t>
  </si>
  <si>
    <t>Tela Cuerina</t>
  </si>
  <si>
    <t>Jorge   VALE - horas extras</t>
  </si>
  <si>
    <t>c.2.5.Horas Extras</t>
  </si>
  <si>
    <t>Nicolas  VALE - horas extras</t>
  </si>
  <si>
    <t>Mario  VALE - horas extras</t>
  </si>
  <si>
    <t>Mauro   VALE - horas extras</t>
  </si>
  <si>
    <t>Lucas   VALE - horas extras</t>
  </si>
  <si>
    <t>Jonatan   VALE - horas extras</t>
  </si>
  <si>
    <t>Nahuel   VALE - horas extras</t>
  </si>
  <si>
    <t>Sebastian  VALE - horas extras</t>
  </si>
  <si>
    <t>Leonel   VALE - horas extras</t>
  </si>
  <si>
    <t>Gaston VALE - horas extras</t>
  </si>
  <si>
    <t>Nicolas Bobrovsky</t>
  </si>
  <si>
    <t>Flete Ricardo - VALE</t>
  </si>
  <si>
    <t>FLETE RICARDO</t>
  </si>
  <si>
    <t>Laura UPIDEA grafica varios</t>
  </si>
  <si>
    <t>c.3.Gastos.Comerciales</t>
  </si>
  <si>
    <t>c.3.2.Promoción</t>
  </si>
  <si>
    <t>c.3.2.2.Pagina.WEB</t>
  </si>
  <si>
    <t xml:space="preserve">Correo </t>
  </si>
  <si>
    <t>c.4.5.3.Correo</t>
  </si>
  <si>
    <t>reparacion MAQUINAS</t>
  </si>
  <si>
    <t>Gaston  VALE</t>
  </si>
  <si>
    <t>Vanina Ramirez</t>
  </si>
  <si>
    <t>Carina Marquez</t>
  </si>
  <si>
    <t>Rosana Alvarez</t>
  </si>
  <si>
    <t>Fernando Abdala</t>
  </si>
  <si>
    <t>silvana maurizio</t>
  </si>
  <si>
    <t>Sol Snitcosky</t>
  </si>
  <si>
    <t>Veronia Lascurain</t>
  </si>
  <si>
    <t>Uriel Barbeito</t>
  </si>
  <si>
    <t>Benno Hoerpel</t>
  </si>
  <si>
    <t>Karen Waldman</t>
  </si>
  <si>
    <t>Vanesa Vignolo</t>
  </si>
  <si>
    <t>Jorge Oscar Artuso</t>
  </si>
  <si>
    <t>Kanneman Christian</t>
  </si>
  <si>
    <t>Ariel Abadi</t>
  </si>
  <si>
    <t>vial/hidr</t>
  </si>
  <si>
    <t>Lucas Caruso  VALE</t>
  </si>
  <si>
    <t>Movistar</t>
  </si>
  <si>
    <t>c.4.5.10.Movistar</t>
  </si>
  <si>
    <t xml:space="preserve">  MOVISTAR</t>
  </si>
  <si>
    <t>Anura / telefono</t>
  </si>
  <si>
    <t>c.4.5.5.Anura</t>
  </si>
  <si>
    <t>ANURA</t>
  </si>
  <si>
    <t xml:space="preserve">Viajes sube </t>
  </si>
  <si>
    <t>c.4.2.2.Motos.y.Remises</t>
  </si>
  <si>
    <t>Saba Gooley</t>
  </si>
  <si>
    <t>I20  LIMPIEZA / ALMACEN</t>
  </si>
  <si>
    <t>farmacia</t>
  </si>
  <si>
    <t>Almuerzo</t>
  </si>
  <si>
    <t>Edenor Fc - 2014- 03522267 a cuenta</t>
  </si>
  <si>
    <t>c.4.5.2.Edenor Libertador</t>
  </si>
  <si>
    <t>BIDON AGUA</t>
  </si>
  <si>
    <t>Sergio Cohelo</t>
  </si>
  <si>
    <t>Vanesa Kohan</t>
  </si>
  <si>
    <t>Leonor Roffo</t>
  </si>
  <si>
    <t>Ferretería La de Olleros</t>
  </si>
  <si>
    <t>I40  FERRETERIA</t>
  </si>
  <si>
    <t>Polinorte</t>
  </si>
  <si>
    <t>Cruz del Sur</t>
  </si>
  <si>
    <t>F2  OTROS</t>
  </si>
  <si>
    <t>CLAUDIA TOBAL</t>
  </si>
  <si>
    <t>Limpieza</t>
  </si>
  <si>
    <t>Ferreteria (TALADRO SKIL)</t>
  </si>
  <si>
    <t xml:space="preserve">Cartuchos </t>
  </si>
  <si>
    <t>I10  LIBRERIA / IMPRENTA</t>
  </si>
  <si>
    <t>Limpieza locales</t>
  </si>
  <si>
    <t>Limpieza locales A CUENTA</t>
  </si>
  <si>
    <t>Superiavi Ferreteria (PLANCHA A VAPOR HOMETE)</t>
  </si>
  <si>
    <t>Herrajes Casa el Norte</t>
  </si>
  <si>
    <t>c.1.2.Herrajes</t>
  </si>
  <si>
    <t>c.1.2.5.Herrajes Casa el Norte</t>
  </si>
  <si>
    <t>MP  MATERIA PRIMA</t>
  </si>
  <si>
    <t>Manuel Intrieri - Fletes</t>
  </si>
  <si>
    <t>Rivara - Mar de contruccion</t>
  </si>
  <si>
    <t xml:space="preserve">Tela Cuerina </t>
  </si>
  <si>
    <t>TiradoreS Distribuidora Placa Sur S.A.</t>
  </si>
  <si>
    <t>c.1.2.8.Placa Sur</t>
  </si>
  <si>
    <t>Cartuchos</t>
  </si>
  <si>
    <t>libreria</t>
  </si>
  <si>
    <t>josefa fernandez</t>
  </si>
  <si>
    <t>valeria schurmann</t>
  </si>
  <si>
    <t>Emma Molina</t>
  </si>
  <si>
    <t>locutorio Mateo</t>
  </si>
  <si>
    <t>almacen</t>
  </si>
  <si>
    <t>Aviso Clarin por empleados para carpinteria 28/4/14</t>
  </si>
  <si>
    <t>c.2.6.Otros.Gastos</t>
  </si>
  <si>
    <t>c.2.6.1.Anuncios empleos</t>
  </si>
  <si>
    <t>I100  VARIOS</t>
  </si>
  <si>
    <t>correo</t>
  </si>
  <si>
    <t>S170  CORREO</t>
  </si>
  <si>
    <t>La Bahia SA</t>
  </si>
  <si>
    <t>REMISES (VICU Y SOL)</t>
  </si>
  <si>
    <t>Flete Ricardo y Peaje</t>
  </si>
  <si>
    <t>Corey SA (est de servicio)</t>
  </si>
  <si>
    <t>VALE</t>
  </si>
  <si>
    <t>Motonorte a OSPOCE</t>
  </si>
  <si>
    <t>Mauro   VALE</t>
  </si>
  <si>
    <t>2 AGUA mineral deposito</t>
  </si>
  <si>
    <t>Peaje Ricardo</t>
  </si>
  <si>
    <t>c.4.2.1.Peajes</t>
  </si>
  <si>
    <t>F10  NAFTA / PEAJES</t>
  </si>
  <si>
    <t>Ricardo VALE - horas extras</t>
  </si>
  <si>
    <t xml:space="preserve">Jorge   VALE </t>
  </si>
  <si>
    <t xml:space="preserve">Sebastian  VALE </t>
  </si>
  <si>
    <t xml:space="preserve">Jonatan VALE </t>
  </si>
  <si>
    <t>Nahuel  VALE - horas extras</t>
  </si>
  <si>
    <t>operadora de estaciones de serv</t>
  </si>
  <si>
    <t>CUBOS GASTON</t>
  </si>
  <si>
    <t>c.1.6.Resto</t>
  </si>
  <si>
    <t>c.1.6.1.CUBOS  carpinteros</t>
  </si>
  <si>
    <t>Natalia Bregna</t>
  </si>
  <si>
    <t>Noemi Carreira</t>
  </si>
  <si>
    <t>Silvia Altomari</t>
  </si>
  <si>
    <t>Carlos Diez</t>
  </si>
  <si>
    <t>Manuel Interi</t>
  </si>
  <si>
    <t xml:space="preserve">Cristian   VALE </t>
  </si>
  <si>
    <t xml:space="preserve">Nahuel  VALE </t>
  </si>
  <si>
    <t xml:space="preserve">Gaston   VALE </t>
  </si>
  <si>
    <t xml:space="preserve">Nicolas   VALE </t>
  </si>
  <si>
    <t xml:space="preserve">Mauro   VALE </t>
  </si>
  <si>
    <t xml:space="preserve">sebastian   VALE </t>
  </si>
  <si>
    <t xml:space="preserve">victoria   VALE </t>
  </si>
  <si>
    <t>compras accesorios varios p decoracion</t>
  </si>
  <si>
    <t>c.1.5.Accesorios.</t>
  </si>
  <si>
    <t>est de servicio PDV</t>
  </si>
  <si>
    <t>Servicentro Camino de Cintura</t>
  </si>
  <si>
    <t xml:space="preserve">Proquim - Ferreteria </t>
  </si>
  <si>
    <t>librería daisy</t>
  </si>
  <si>
    <t>Reparacion banio Cabildo</t>
  </si>
  <si>
    <t>Raquel Asensio</t>
  </si>
  <si>
    <t>Nicolas   VALE - horas extras</t>
  </si>
  <si>
    <t>Jorge  VALE - horas extras</t>
  </si>
  <si>
    <t>Gaston   VALE - horas extras</t>
  </si>
  <si>
    <t>Mario   VALE - horas extras</t>
  </si>
  <si>
    <t>Lucrecia Gonzalez Fontanals</t>
  </si>
  <si>
    <t>estcionamiento</t>
  </si>
  <si>
    <t>REMISES (SILVIA ATAMARI, Visita, fabrica L1/vic)</t>
  </si>
  <si>
    <t>almacen sushi pop</t>
  </si>
  <si>
    <t>05May</t>
  </si>
  <si>
    <t>Hernan Lopez</t>
  </si>
  <si>
    <t>Lucas Kiefer</t>
  </si>
  <si>
    <t>Andrea Carbone</t>
  </si>
  <si>
    <t>Andrea Rodicio</t>
  </si>
  <si>
    <t>leather factory sa</t>
  </si>
  <si>
    <t>rios carlos flete</t>
  </si>
  <si>
    <t>Almacen cabildo</t>
  </si>
  <si>
    <t>Soledad Fernandez</t>
  </si>
  <si>
    <t>Claudiadel villar</t>
  </si>
  <si>
    <t>M. del Carmen Mendez</t>
  </si>
  <si>
    <t>Mercedes Lopez</t>
  </si>
  <si>
    <t>jorge jabbaz</t>
  </si>
  <si>
    <t>norberto vogel</t>
  </si>
  <si>
    <t>remises san jorge</t>
  </si>
  <si>
    <t>trasporte gabriel marcelo - flete</t>
  </si>
  <si>
    <t>Mariana Dicamillo</t>
  </si>
  <si>
    <t>patricia busada</t>
  </si>
  <si>
    <t>kiosco Anconatani, Lilian ines</t>
  </si>
  <si>
    <t xml:space="preserve"> ingreso a caja para pagos varios</t>
  </si>
  <si>
    <t>MOVISTAR VTO 29-05-14</t>
  </si>
  <si>
    <t>Maria Andrea Scaglioni</t>
  </si>
  <si>
    <t>Deposito Supervielle</t>
  </si>
  <si>
    <t>gato store -  accesorios</t>
  </si>
  <si>
    <t>c.1.3.Accesorios</t>
  </si>
  <si>
    <t>c.1.3.9.Varios</t>
  </si>
  <si>
    <t>minino</t>
  </si>
  <si>
    <t>fletes eduardo gutierrez</t>
  </si>
  <si>
    <t>vale</t>
  </si>
  <si>
    <t>mano de obra local libertador paredes durlok</t>
  </si>
  <si>
    <t>easy - ferreteriA paredes durlok</t>
  </si>
  <si>
    <t>centro sec - materiales para durlok</t>
  </si>
  <si>
    <t>cueros ' bali grafitti</t>
  </si>
  <si>
    <t>d.1.4.Puff Ext.</t>
  </si>
  <si>
    <t>20 dias abril-14 mario vera</t>
  </si>
  <si>
    <t>hrs extras Nahuel</t>
  </si>
  <si>
    <t>SUAVETOP</t>
  </si>
  <si>
    <t>ferreteria el Puente -Taladro y otro</t>
  </si>
  <si>
    <t>flete del 06-05-14 al 13-05-14</t>
  </si>
  <si>
    <t>librería daisy - Crtucho</t>
  </si>
  <si>
    <t>Virginia Comas</t>
  </si>
  <si>
    <t>Leticia Szafir</t>
  </si>
  <si>
    <t>garcia alicia beatriz - herramientas - Herramientas</t>
  </si>
  <si>
    <t>remises del 07 al 14-05-14</t>
  </si>
  <si>
    <t>Horacio Torlasco</t>
  </si>
  <si>
    <t>gastos varios  de almacen</t>
  </si>
  <si>
    <t>Beatriz de la torre</t>
  </si>
  <si>
    <t>Ricardo fletero</t>
  </si>
  <si>
    <t>sueldo dif leonel</t>
  </si>
  <si>
    <t xml:space="preserve">sueldo dif  gaston </t>
  </si>
  <si>
    <t>hrs extras jorge</t>
  </si>
  <si>
    <t>hrs extras Jonatan</t>
  </si>
  <si>
    <t>hrs extras Leonel</t>
  </si>
  <si>
    <t>hrs extras Sebastian</t>
  </si>
  <si>
    <t>hrs extras Nicolas</t>
  </si>
  <si>
    <t>hrs extras Gaton</t>
  </si>
  <si>
    <t>hrs extras Mauro</t>
  </si>
  <si>
    <t>hrs extras Mario</t>
  </si>
  <si>
    <t>Gabriela Masi</t>
  </si>
  <si>
    <t>Meliza Sverdlk</t>
  </si>
  <si>
    <t>Hector Meroi</t>
  </si>
  <si>
    <t>FDM</t>
  </si>
  <si>
    <t>c.1.6.3.FDM</t>
  </si>
  <si>
    <t>Laura Drault</t>
  </si>
  <si>
    <t>fct</t>
  </si>
  <si>
    <t>Correo Argentino CD + formularios para cd</t>
  </si>
  <si>
    <t>gastos varios Ferreteria</t>
  </si>
  <si>
    <t>Clara Mollura</t>
  </si>
  <si>
    <t>Gisele Merlhe</t>
  </si>
  <si>
    <t>Leticia PERSICO</t>
  </si>
  <si>
    <t>Teresa, limpieza</t>
  </si>
  <si>
    <t>Angel Brisighelli</t>
  </si>
  <si>
    <t>Retiro  Emilio efectivo</t>
  </si>
  <si>
    <t>American Express - Emilio</t>
  </si>
  <si>
    <t>placasur tirador de aluminio</t>
  </si>
  <si>
    <t>adriana limonoff</t>
  </si>
  <si>
    <t>Josefa fernandez</t>
  </si>
  <si>
    <t>AFIP BS ACC Y PARTICIPACIONES SOCIETARIAS PF 2013</t>
  </si>
  <si>
    <t xml:space="preserve">c.4.3.Impuestos </t>
  </si>
  <si>
    <t>c.4.3.7.Ganancias</t>
  </si>
  <si>
    <t>Acciones y Particip Societarias</t>
  </si>
  <si>
    <t>DIGITAL TRACK - LATIN FOLK SA FCT VTO 04 Y 05-14</t>
  </si>
  <si>
    <t>c.4.5.6.Seguridad</t>
  </si>
  <si>
    <t>ingreso a caja</t>
  </si>
  <si>
    <t>deheza - Est de Serv</t>
  </si>
  <si>
    <t>hrs extras Sergio</t>
  </si>
  <si>
    <t>hrs extras Lucas</t>
  </si>
  <si>
    <t>Ferreteria</t>
  </si>
  <si>
    <t>DROPBOX servicio internet</t>
  </si>
  <si>
    <t>c.4.5.9.Cablevision / Fibertel</t>
  </si>
  <si>
    <t>Sube Cristian</t>
  </si>
  <si>
    <t>Ploteo</t>
  </si>
  <si>
    <t>c.1.4.3.Ploteo</t>
  </si>
  <si>
    <t>GNC</t>
  </si>
  <si>
    <t>SERGIO RAMOS VALE</t>
  </si>
  <si>
    <t>JORGE VALE</t>
  </si>
  <si>
    <t>Alejandro Blanco</t>
  </si>
  <si>
    <t>Ariel Pucci</t>
  </si>
  <si>
    <t>Flavio Lieber</t>
  </si>
  <si>
    <t>Laura Audisia</t>
  </si>
  <si>
    <t>Miriam Etchamendi</t>
  </si>
  <si>
    <t>Silvina Mella</t>
  </si>
  <si>
    <t>zz</t>
  </si>
  <si>
    <t>Pablo Lopez</t>
  </si>
  <si>
    <t>Solange Febbrile</t>
  </si>
  <si>
    <t>Veronica Cammarota</t>
  </si>
  <si>
    <t xml:space="preserve">remises </t>
  </si>
  <si>
    <t xml:space="preserve">Edenor Fc - 2014- </t>
  </si>
  <si>
    <t>costurera</t>
  </si>
  <si>
    <t>modelista</t>
  </si>
  <si>
    <t>Carolina Mitre</t>
  </si>
  <si>
    <t>Cena vendedoras</t>
  </si>
  <si>
    <t>Fernando Flischfishch</t>
  </si>
  <si>
    <t xml:space="preserve">Correo Argentino CD </t>
  </si>
  <si>
    <t>vidrio  puertas</t>
  </si>
  <si>
    <t>Eva Marceau</t>
  </si>
  <si>
    <t>Patricia Busada</t>
  </si>
  <si>
    <t xml:space="preserve">Emilio retiro Carolina </t>
  </si>
  <si>
    <t>Flete GASTON</t>
  </si>
  <si>
    <t>devolucion seguro de caucion</t>
  </si>
  <si>
    <t>recarga sube</t>
  </si>
  <si>
    <t>NICOLAS VALE</t>
  </si>
  <si>
    <t>CRISTIAN VALE</t>
  </si>
  <si>
    <t>SEBASTIAN VALE</t>
  </si>
  <si>
    <t>LEONEL VALE</t>
  </si>
  <si>
    <t>MAURO VALE</t>
  </si>
  <si>
    <t>hrs extras Ezequiel</t>
  </si>
  <si>
    <t>hrs extras Jorge</t>
  </si>
  <si>
    <t>Eugenia Giampaoletti</t>
  </si>
  <si>
    <t>Cora Manganiello</t>
  </si>
  <si>
    <t>Gaston Renus</t>
  </si>
  <si>
    <t>Javier Fevre</t>
  </si>
  <si>
    <t>Juan Martin Encina</t>
  </si>
  <si>
    <t>Derreti Carina</t>
  </si>
  <si>
    <t>Martin Maour</t>
  </si>
  <si>
    <t>Valeria lavagnino</t>
  </si>
  <si>
    <t>Javrier Furman</t>
  </si>
  <si>
    <t>garcia alicia beatriz - herramientas - Herramientas-cinta</t>
  </si>
  <si>
    <t>garcia alicia beatriz - herramientas - silicona</t>
  </si>
  <si>
    <t>Jorge Genise</t>
  </si>
  <si>
    <t>Ferreteria Centinella - herramientas - Herramientas</t>
  </si>
  <si>
    <t>Ferreteria Centinella - herramientas - Herramientas-cinta</t>
  </si>
  <si>
    <t xml:space="preserve">GASTON </t>
  </si>
  <si>
    <t>Matias (x dias trabajados)</t>
  </si>
  <si>
    <t>Nahuel</t>
  </si>
  <si>
    <t>LUCAS</t>
  </si>
  <si>
    <t>Celulares Puente Saavedra (Cargador)</t>
  </si>
  <si>
    <t>garcia alicia beatriz - herramientas - cinta M y lijadora</t>
  </si>
  <si>
    <t>Reparacion Router  Nro 14188</t>
  </si>
  <si>
    <t>remis Mis Amores (a Burzaco)</t>
  </si>
  <si>
    <t>Tiradores PLACASUR</t>
  </si>
  <si>
    <t>Sederia Robert - cortes de tela</t>
  </si>
  <si>
    <t>Ferreteria El Puente</t>
  </si>
  <si>
    <t>Maquinas cortar tela</t>
  </si>
  <si>
    <t>remises Sol y Vicu</t>
  </si>
  <si>
    <t>Graciela</t>
  </si>
  <si>
    <t>Reparacion Compresor</t>
  </si>
  <si>
    <t>tapicel</t>
  </si>
  <si>
    <t>c.1.5.5.Tapicel S.A. Norway</t>
  </si>
  <si>
    <t>Flete Gabriel</t>
  </si>
  <si>
    <t>Sandra Guelman</t>
  </si>
  <si>
    <t>Silvana</t>
  </si>
  <si>
    <t>Valeria Shurmann</t>
  </si>
  <si>
    <t>Peretti Carina</t>
  </si>
  <si>
    <t>Ricardo fletero diferencia MAYO</t>
  </si>
  <si>
    <t xml:space="preserve">librería daisy </t>
  </si>
  <si>
    <t>Teresa di paola</t>
  </si>
  <si>
    <t>nafta</t>
  </si>
  <si>
    <t>Marcela Santo</t>
  </si>
  <si>
    <t>Hector Sauto</t>
  </si>
  <si>
    <t>06Jun</t>
  </si>
  <si>
    <t>Laura Lasala</t>
  </si>
  <si>
    <t>Eugenio Bedolla</t>
  </si>
  <si>
    <t>Fabiana Ibelli</t>
  </si>
  <si>
    <t>Facundo Nervegna</t>
  </si>
  <si>
    <t>Gabriela Liaudat</t>
  </si>
  <si>
    <t>Gustavo Pressacco</t>
  </si>
  <si>
    <t>Reparacion taladro</t>
  </si>
  <si>
    <t>Pintura dormitorio cliente</t>
  </si>
  <si>
    <t>c.4.10.3.Pintura cliente</t>
  </si>
  <si>
    <t>Fotografo PUFF country</t>
  </si>
  <si>
    <t>c.3.1.Publicidad</t>
  </si>
  <si>
    <t>c.3.1.4.Graficas</t>
  </si>
  <si>
    <t>Veronica Lascurain</t>
  </si>
  <si>
    <t>Luciana Guzman</t>
  </si>
  <si>
    <t>Eduardo Jesen</t>
  </si>
  <si>
    <t>Leonor roffo</t>
  </si>
  <si>
    <t>Veronica Rivera</t>
  </si>
  <si>
    <t>cueros</t>
  </si>
  <si>
    <t>claudia mollo</t>
  </si>
  <si>
    <t>veronica rivera</t>
  </si>
  <si>
    <t>sueldo dif present NICOLAS</t>
  </si>
  <si>
    <t>Ezequiel Cabral sueldo</t>
  </si>
  <si>
    <t>Sergio Ramos sueldo</t>
  </si>
  <si>
    <t>Flete Gabriel y otros</t>
  </si>
  <si>
    <t xml:space="preserve">Tela para PUF  </t>
  </si>
  <si>
    <t>celular tarjeta</t>
  </si>
  <si>
    <t>PUERTA VIDRIO local Libertador</t>
  </si>
  <si>
    <t>PIZZA cumple Leonel</t>
  </si>
  <si>
    <t>Almacen Libertador</t>
  </si>
  <si>
    <t>Daniela Urbano</t>
  </si>
  <si>
    <t>Alvaro Balestrini</t>
  </si>
  <si>
    <t>Eduardo Fernandez</t>
  </si>
  <si>
    <t>MAaria Amalia Lopez</t>
  </si>
  <si>
    <t>Valeria Boschini</t>
  </si>
  <si>
    <t>Est de Serv</t>
  </si>
  <si>
    <t>Libreria TONER IMPRESORA LIBERTADOR</t>
  </si>
  <si>
    <t xml:space="preserve">Fotografo PUFF estudio </t>
  </si>
  <si>
    <t>Cablevision Libertador</t>
  </si>
  <si>
    <t>Rodrigo Vilarino</t>
  </si>
  <si>
    <t>horacio torlasco</t>
  </si>
  <si>
    <t>Laura Violante</t>
  </si>
  <si>
    <t>Susana Hernandez</t>
  </si>
  <si>
    <t>Taladros varios</t>
  </si>
  <si>
    <t xml:space="preserve">costurera accesorios </t>
  </si>
  <si>
    <t>Amex Emilio  Mariana</t>
  </si>
  <si>
    <t>Amex Emilio  Adrian</t>
  </si>
  <si>
    <t>Flete Gaston</t>
  </si>
  <si>
    <t>hrs extras Gaston</t>
  </si>
  <si>
    <t>Gaston VALE</t>
  </si>
  <si>
    <t>Sebastian VALE</t>
  </si>
  <si>
    <t>Mauro VALE</t>
  </si>
  <si>
    <t>Lucas VALE</t>
  </si>
  <si>
    <t>Nicolas VALE</t>
  </si>
  <si>
    <t>Gimena Marino</t>
  </si>
  <si>
    <t>M del carmen Mendez</t>
  </si>
  <si>
    <t>Dorking</t>
  </si>
  <si>
    <t>Alejandro Elias</t>
  </si>
  <si>
    <t>Flete  otros</t>
  </si>
  <si>
    <t>Natasha Louckevitch</t>
  </si>
  <si>
    <t>Maria Alejandra Casal</t>
  </si>
  <si>
    <t>Mariana Lind</t>
  </si>
  <si>
    <t>Luciano Rafowicz</t>
  </si>
  <si>
    <t>Telecom Libertador</t>
  </si>
  <si>
    <t>iva Adrian</t>
  </si>
  <si>
    <t>c.4.3.3.IVA</t>
  </si>
  <si>
    <t>IVA  DEVOLUCIONES IVA</t>
  </si>
  <si>
    <t>MOVISTAR VTO 27-06-14</t>
  </si>
  <si>
    <t>recarga celular instalador</t>
  </si>
  <si>
    <t>Afilado de cuchillas</t>
  </si>
  <si>
    <t>Jonatan VALE</t>
  </si>
  <si>
    <t>Nahuel VALE</t>
  </si>
  <si>
    <t>Leonel VALE</t>
  </si>
  <si>
    <t>Alejandro Albamonte</t>
  </si>
  <si>
    <t>Bruno Bressan</t>
  </si>
  <si>
    <t>Tomas Lee</t>
  </si>
  <si>
    <t>Elena Zaldiver</t>
  </si>
  <si>
    <t>Jorge Jabbaz</t>
  </si>
  <si>
    <t>Honorarios Abogada AFIP x embargo</t>
  </si>
  <si>
    <t xml:space="preserve">c.4.6.Honorarios.Leg.y.Prof. </t>
  </si>
  <si>
    <t>c.4.6.3.Legales</t>
  </si>
  <si>
    <t>Monica Scalise</t>
  </si>
  <si>
    <t>Anticipo ganancias retencio</t>
  </si>
  <si>
    <t>IM20  GANANCIAS</t>
  </si>
  <si>
    <t>Damian Renders</t>
  </si>
  <si>
    <t>c.3.2.1.Diseño.Gráfico</t>
  </si>
  <si>
    <t>Gabriela Unrein</t>
  </si>
  <si>
    <t>Flete TRANSPORTE PEDIDO Mendoza</t>
  </si>
  <si>
    <t>Lucila Esponda</t>
  </si>
  <si>
    <t>cristian de jesus</t>
  </si>
  <si>
    <t>maria delacroix</t>
  </si>
  <si>
    <t>Raquel de la mata</t>
  </si>
  <si>
    <t>Rivera Valeria</t>
  </si>
  <si>
    <t>Jorge  VALE</t>
  </si>
  <si>
    <t>Diego Saul</t>
  </si>
  <si>
    <t>Alexandra Britto</t>
  </si>
  <si>
    <t>Cecilia Iruzun</t>
  </si>
  <si>
    <t>Alejandro montero</t>
  </si>
  <si>
    <t>Enrique Palacios</t>
  </si>
  <si>
    <t>Natalia Domeneghini</t>
  </si>
  <si>
    <t>Ariel David</t>
  </si>
  <si>
    <t>rocio echague</t>
  </si>
  <si>
    <t>jeam pierre lasala</t>
  </si>
  <si>
    <t>carlos torres</t>
  </si>
  <si>
    <t>yael groisman</t>
  </si>
  <si>
    <t>Alxandra britto</t>
  </si>
  <si>
    <t>eva marceau</t>
  </si>
  <si>
    <t>07Jul</t>
  </si>
  <si>
    <t>Latin folk abono/ DIGITAL TRAK</t>
  </si>
  <si>
    <t>Ferretería El Puente</t>
  </si>
  <si>
    <t>UPidea de Laura</t>
  </si>
  <si>
    <t>S30  WEBSITE</t>
  </si>
  <si>
    <t>Valeria Disenio Grafico</t>
  </si>
  <si>
    <t>gabriela unrein</t>
  </si>
  <si>
    <t>daniela urbano</t>
  </si>
  <si>
    <t>cora manginello</t>
  </si>
  <si>
    <t>Eduardo de vincenti</t>
  </si>
  <si>
    <t>Gustavo Perssacco</t>
  </si>
  <si>
    <t>guadalupe quintela</t>
  </si>
  <si>
    <t>Romina Tajtelbaum</t>
  </si>
  <si>
    <t>Soledad sac comision</t>
  </si>
  <si>
    <t>Soledad SAC</t>
  </si>
  <si>
    <t>Wendy comision</t>
  </si>
  <si>
    <t>Wendy Cazap SAC</t>
  </si>
  <si>
    <t>Victoria comision</t>
  </si>
  <si>
    <t>Cecilia vendedora</t>
  </si>
  <si>
    <t>c.2.1.5.Haberes</t>
  </si>
  <si>
    <t>SAC</t>
  </si>
  <si>
    <t>sueldo dif SEBASTIAN</t>
  </si>
  <si>
    <t>Enpapelado paredes local</t>
  </si>
  <si>
    <t>hrs extras Tomas</t>
  </si>
  <si>
    <t>Hector Souto</t>
  </si>
  <si>
    <t xml:space="preserve">Flete Gabriel </t>
  </si>
  <si>
    <t>Solana Roffe</t>
  </si>
  <si>
    <t>mercedes Lopez</t>
  </si>
  <si>
    <t>Alejandra Montero</t>
  </si>
  <si>
    <t>Maria Rosa Ingles</t>
  </si>
  <si>
    <t>Rodrigo Leiserson</t>
  </si>
  <si>
    <t>Lorena Fernandez</t>
  </si>
  <si>
    <t>Flete otros</t>
  </si>
  <si>
    <t>Herrajes Casa del Norte</t>
  </si>
  <si>
    <t>c.1.2.2.Herrajes San Martin SACIFI</t>
  </si>
  <si>
    <t>Graciela Gavagio</t>
  </si>
  <si>
    <t>Sabrina Guyer</t>
  </si>
  <si>
    <t>ana goldstein</t>
  </si>
  <si>
    <t>Nicolas Molloy</t>
  </si>
  <si>
    <t>Natalia Casacchia</t>
  </si>
  <si>
    <t>Fabio Lieber</t>
  </si>
  <si>
    <t>Carlos Torres</t>
  </si>
  <si>
    <t>Pablo</t>
  </si>
  <si>
    <t>Maria Birba</t>
  </si>
  <si>
    <t>Carolina Frazin</t>
  </si>
  <si>
    <t>Evangelina Ceravolo</t>
  </si>
  <si>
    <t>Silvina Mignardi</t>
  </si>
  <si>
    <t>Cristian  VALE</t>
  </si>
  <si>
    <t>Maria Cocucci</t>
  </si>
  <si>
    <t>Arreglo de Cortina metalica</t>
  </si>
  <si>
    <t>etiquetas UAYNA</t>
  </si>
  <si>
    <t>Telecom cabildo</t>
  </si>
  <si>
    <t>Paula Fasani</t>
  </si>
  <si>
    <t>lieb eduardo</t>
  </si>
  <si>
    <t>Maria Belen Amarillo</t>
  </si>
  <si>
    <t>Luis Fernando Ovalle</t>
  </si>
  <si>
    <t>Electricidad</t>
  </si>
  <si>
    <t>Almacen Cabildo</t>
  </si>
  <si>
    <t>Cambio dolares por pesos</t>
  </si>
  <si>
    <t>c.4.7.Gastos Bancarios</t>
  </si>
  <si>
    <t>c.4.7.4.Diferencia de cambio e intereses</t>
  </si>
  <si>
    <t>Mariano Borinsky</t>
  </si>
  <si>
    <t>Dona Petrelli</t>
  </si>
  <si>
    <t>Alejandra Casal</t>
  </si>
  <si>
    <t>Mariana Zuik</t>
  </si>
  <si>
    <t xml:space="preserve">Etiquetas AURATYPE </t>
  </si>
  <si>
    <t>sitio WEB ROBERTO</t>
  </si>
  <si>
    <t>web Marine</t>
  </si>
  <si>
    <t>Diego Vazquez</t>
  </si>
  <si>
    <t>Maria Podetti</t>
  </si>
  <si>
    <t>Nestor Zimmerman</t>
  </si>
  <si>
    <t xml:space="preserve">MURALES </t>
  </si>
  <si>
    <t>Teresa, limpieza Cabildo</t>
  </si>
  <si>
    <t>Teresa, limpieza Libertador</t>
  </si>
  <si>
    <t>Sabina Tunesi</t>
  </si>
  <si>
    <t>Mercedes cardin</t>
  </si>
  <si>
    <t>hrs extras MAURO</t>
  </si>
  <si>
    <t>Jimena Pasarello</t>
  </si>
  <si>
    <t>Carlos Ihan</t>
  </si>
  <si>
    <t>Valeria Arazi</t>
  </si>
  <si>
    <t>Eduardo - Paula</t>
  </si>
  <si>
    <t>Myriam Etcheverry</t>
  </si>
  <si>
    <t>Maria Eugenia Grosso</t>
  </si>
  <si>
    <t>Claudia Schabas</t>
  </si>
  <si>
    <t>Luciana Fusaro</t>
  </si>
  <si>
    <t>Valeria Mijich</t>
  </si>
  <si>
    <t>Leandro Marian</t>
  </si>
  <si>
    <t>Julio Vazquez</t>
  </si>
  <si>
    <t>Karina Pinho</t>
  </si>
  <si>
    <t>Retoque foto web puff</t>
  </si>
  <si>
    <t xml:space="preserve">Cristian </t>
  </si>
  <si>
    <t>Angela Toledano</t>
  </si>
  <si>
    <t>Roberto Zambrano</t>
  </si>
  <si>
    <t>Patricia Dubrovsky</t>
  </si>
  <si>
    <t>08Ago</t>
  </si>
  <si>
    <t>Nicolas   VALE</t>
  </si>
  <si>
    <t xml:space="preserve">Tomas  VALE sueldos </t>
  </si>
  <si>
    <t>Jonatan  VALE</t>
  </si>
  <si>
    <t>Luciana Fusado</t>
  </si>
  <si>
    <t>Carolina Kim</t>
  </si>
  <si>
    <t>Mariana Gambarini</t>
  </si>
  <si>
    <t>Soledad comision  SAC</t>
  </si>
  <si>
    <t>Wendy comision SAC</t>
  </si>
  <si>
    <t>Sofia  comicion</t>
  </si>
  <si>
    <t xml:space="preserve">Sofia  sueldo </t>
  </si>
  <si>
    <t>sueldo dif MARIO presentismo</t>
  </si>
  <si>
    <t>Teresa Di Paola</t>
  </si>
  <si>
    <t>Veronica Cirio</t>
  </si>
  <si>
    <t>Julian winkel</t>
  </si>
  <si>
    <t>Martin Fernandez</t>
  </si>
  <si>
    <t>Cecilia Dominguez</t>
  </si>
  <si>
    <t>Lieb Eduardo</t>
  </si>
  <si>
    <t>Sasha Zakharova</t>
  </si>
  <si>
    <t>Adriana Febre</t>
  </si>
  <si>
    <t>Elena Saldiver</t>
  </si>
  <si>
    <t>hrs extras gaston</t>
  </si>
  <si>
    <t>hrs extras nahuel</t>
  </si>
  <si>
    <t>hrs extras leonel</t>
  </si>
  <si>
    <t>hrs extras nicolas</t>
  </si>
  <si>
    <t>Eduardo De Vicenti</t>
  </si>
  <si>
    <t>Eduardo Perez Chaves</t>
  </si>
  <si>
    <t>Maria Ducasse</t>
  </si>
  <si>
    <t>Adriana Bale</t>
  </si>
  <si>
    <t>Iara Liderman</t>
  </si>
  <si>
    <t>Valentina Gentini</t>
  </si>
  <si>
    <t>Jose Sen</t>
  </si>
  <si>
    <t>Lilian Falcon</t>
  </si>
  <si>
    <t>silvina iriart</t>
  </si>
  <si>
    <t>Imprenta formulario presupuesto</t>
  </si>
  <si>
    <t>talonario presupuestos</t>
  </si>
  <si>
    <t>Bubba DESIGN</t>
  </si>
  <si>
    <t>Ana Goldstein</t>
  </si>
  <si>
    <t>Mara Amar</t>
  </si>
  <si>
    <t>Maria Eugenia garcia</t>
  </si>
  <si>
    <t>Silvina Oscaris</t>
  </si>
  <si>
    <t>Alejandra barrachino</t>
  </si>
  <si>
    <t>Diego saul</t>
  </si>
  <si>
    <t>Alfredo Panak</t>
  </si>
  <si>
    <t>Matías Luzzi</t>
  </si>
  <si>
    <t>Julián Winkel</t>
  </si>
  <si>
    <t>romina tajtelbaum n</t>
  </si>
  <si>
    <t>Flete ONDA VERDE</t>
  </si>
  <si>
    <t>Maquinas calor x2</t>
  </si>
  <si>
    <t>Solana roffé</t>
  </si>
  <si>
    <t>Alejandra Barrachino</t>
  </si>
  <si>
    <t>Susana Marantz</t>
  </si>
  <si>
    <t>peajes / estacionamientos vs</t>
  </si>
  <si>
    <t>Nicolas  VALE</t>
  </si>
  <si>
    <t>Sebastian  VALE</t>
  </si>
  <si>
    <t>Nahuel  VALE</t>
  </si>
  <si>
    <t>Verónica Slavutzky</t>
  </si>
  <si>
    <t>Andrea Nieto</t>
  </si>
  <si>
    <t>Victor El Kassir</t>
  </si>
  <si>
    <t>Alfredo Pahk</t>
  </si>
  <si>
    <t>Macarena Jurado</t>
  </si>
  <si>
    <t>Valeria</t>
  </si>
  <si>
    <t>María Marta Galimberti</t>
  </si>
  <si>
    <t>Viviana Skok</t>
  </si>
  <si>
    <t>Mariano Boranski</t>
  </si>
  <si>
    <t>RayDay</t>
  </si>
  <si>
    <t>Silvia Harpoutlian</t>
  </si>
  <si>
    <t>Abogado Sergio Grygarten</t>
  </si>
  <si>
    <t>Sergio Gryngarten</t>
  </si>
  <si>
    <t>Cristian   VALE</t>
  </si>
  <si>
    <t>sarasa m paula</t>
  </si>
  <si>
    <t>joaquin garat</t>
  </si>
  <si>
    <t>M. Eugenia Grosso</t>
  </si>
  <si>
    <t>Delia Guardaroma</t>
  </si>
  <si>
    <t>Veronica Zolis</t>
  </si>
  <si>
    <t>Gustavo Lopez</t>
  </si>
  <si>
    <t>Roberto LLaber</t>
  </si>
  <si>
    <t>Laura Costa</t>
  </si>
  <si>
    <t>Gustavo Agazzi</t>
  </si>
  <si>
    <t>Marta Fernandez Moriones</t>
  </si>
  <si>
    <t>Haydee Montes</t>
  </si>
  <si>
    <t>Silvina Perez Lozano</t>
  </si>
  <si>
    <t>Anabella de paola</t>
  </si>
  <si>
    <t>Valeria Ghio</t>
  </si>
  <si>
    <t>German cacace</t>
  </si>
  <si>
    <t>Miguel Seijo</t>
  </si>
  <si>
    <t>Agustin Montes de oca</t>
  </si>
  <si>
    <t>Revista NORDELTA  CANJE MUEBLES</t>
  </si>
  <si>
    <t>c.3.1.3.Revistas</t>
  </si>
  <si>
    <t>P50  VARIOS</t>
  </si>
  <si>
    <t>09Sep</t>
  </si>
  <si>
    <t>Agustin montes de oca</t>
  </si>
  <si>
    <t>Carla</t>
  </si>
  <si>
    <t>Guadalupe Quintela</t>
  </si>
  <si>
    <t>Agustin Pieroni</t>
  </si>
  <si>
    <t>Adrian Bale</t>
  </si>
  <si>
    <t>Mariana Rozanski</t>
  </si>
  <si>
    <t>Eleonora Cresto</t>
  </si>
  <si>
    <t>Roberto LLeber</t>
  </si>
  <si>
    <t>Pablo pechervsky</t>
  </si>
  <si>
    <t>sueldoTomas</t>
  </si>
  <si>
    <t>Ferreteria   GANCHO ESTANTE RUSSO</t>
  </si>
  <si>
    <t>Carolina Rubianes</t>
  </si>
  <si>
    <t>Fernando Marcelo Viscardis</t>
  </si>
  <si>
    <t>Fabiana Nir</t>
  </si>
  <si>
    <t>Soledad Perrone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</si>
</sst>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5" formatCode="#,##0.00;[Red]#,##0.00"/>
    <numFmt numFmtId="166" formatCode="dd/mm/yyyy;@"/>
    <numFmt numFmtId="168" formatCode="d\-mmm;@"/>
    <numFmt numFmtId="169" formatCode="0;[Red]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3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theme="7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>
      <alignment vertical="center"/>
    </xf>
    <xf numFmtId="43" fontId="4" fillId="0" borderId="0" applyFont="0" applyFill="0" applyBorder="0" applyAlignment="0" applyProtection="0"/>
  </cellStyleXfs>
  <cellXfs count="8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165" fontId="2" fillId="2" borderId="1" xfId="1" applyNumberFormat="1" applyFont="1" applyFill="1" applyBorder="1" applyAlignment="1">
      <alignment vertical="center"/>
    </xf>
    <xf numFmtId="165" fontId="2" fillId="2" borderId="1" xfId="0" applyNumberFormat="1" applyFont="1" applyFill="1" applyBorder="1" applyAlignment="1">
      <alignment vertical="center"/>
    </xf>
    <xf numFmtId="166" fontId="3" fillId="2" borderId="2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165" fontId="0" fillId="3" borderId="1" xfId="1" applyNumberFormat="1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165" fontId="0" fillId="0" borderId="1" xfId="0" applyNumberFormat="1" applyBorder="1" applyAlignment="1">
      <alignment vertical="center"/>
    </xf>
    <xf numFmtId="166" fontId="0" fillId="0" borderId="3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Fill="1" applyBorder="1" applyAlignment="1">
      <alignment vertical="center"/>
    </xf>
    <xf numFmtId="0" fontId="0" fillId="4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0" borderId="4" xfId="0" applyFont="1" applyBorder="1"/>
    <xf numFmtId="49" fontId="0" fillId="3" borderId="1" xfId="0" applyNumberFormat="1" applyFill="1" applyBorder="1" applyAlignment="1">
      <alignment horizontal="center" vertical="center"/>
    </xf>
    <xf numFmtId="16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0" fillId="0" borderId="5" xfId="0" applyBorder="1" applyAlignment="1">
      <alignment vertical="center"/>
    </xf>
    <xf numFmtId="0" fontId="0" fillId="0" borderId="2" xfId="0" applyBorder="1" applyAlignment="1">
      <alignment vertical="center"/>
    </xf>
    <xf numFmtId="165" fontId="0" fillId="6" borderId="1" xfId="1" applyNumberFormat="1" applyFont="1" applyFill="1" applyBorder="1" applyAlignment="1">
      <alignment vertical="center"/>
    </xf>
    <xf numFmtId="16" fontId="0" fillId="6" borderId="1" xfId="0" applyNumberFormat="1" applyFill="1" applyBorder="1" applyAlignment="1">
      <alignment horizontal="center" vertical="center"/>
    </xf>
    <xf numFmtId="165" fontId="0" fillId="3" borderId="1" xfId="0" applyNumberFormat="1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165" fontId="0" fillId="3" borderId="1" xfId="1" quotePrefix="1" applyNumberFormat="1" applyFont="1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168" fontId="0" fillId="3" borderId="1" xfId="0" applyNumberFormat="1" applyFont="1" applyFill="1" applyBorder="1" applyAlignment="1">
      <alignment horizontal="left" vertical="center"/>
    </xf>
    <xf numFmtId="0" fontId="0" fillId="3" borderId="1" xfId="0" applyNumberFormat="1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69" fontId="0" fillId="5" borderId="1" xfId="0" applyNumberFormat="1" applyFont="1" applyFill="1" applyBorder="1" applyAlignment="1">
      <alignment horizontal="center" vertical="center" wrapText="1"/>
    </xf>
    <xf numFmtId="165" fontId="4" fillId="3" borderId="1" xfId="1" applyNumberFormat="1" applyFont="1" applyFill="1" applyBorder="1" applyAlignment="1">
      <alignment horizontal="right" vertical="center"/>
    </xf>
    <xf numFmtId="0" fontId="0" fillId="3" borderId="1" xfId="0" applyNumberFormat="1" applyFont="1" applyFill="1" applyBorder="1" applyAlignment="1">
      <alignment horizontal="center" vertical="center"/>
    </xf>
    <xf numFmtId="165" fontId="4" fillId="3" borderId="1" xfId="0" applyNumberFormat="1" applyFont="1" applyFill="1" applyBorder="1" applyAlignment="1">
      <alignment horizontal="center" vertical="center"/>
    </xf>
    <xf numFmtId="3" fontId="0" fillId="3" borderId="1" xfId="0" applyNumberFormat="1" applyFont="1" applyFill="1" applyBorder="1" applyAlignment="1">
      <alignment vertical="center"/>
    </xf>
    <xf numFmtId="0" fontId="5" fillId="3" borderId="6" xfId="0" applyFont="1" applyFill="1" applyBorder="1"/>
    <xf numFmtId="0" fontId="0" fillId="3" borderId="3" xfId="0" applyFill="1" applyBorder="1" applyAlignment="1">
      <alignment vertical="center"/>
    </xf>
    <xf numFmtId="0" fontId="0" fillId="7" borderId="1" xfId="0" applyFont="1" applyFill="1" applyBorder="1"/>
    <xf numFmtId="166" fontId="0" fillId="8" borderId="3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vertical="center"/>
    </xf>
    <xf numFmtId="16" fontId="0" fillId="0" borderId="1" xfId="0" applyNumberFormat="1" applyFill="1" applyBorder="1" applyAlignment="1">
      <alignment horizontal="center" vertical="center"/>
    </xf>
    <xf numFmtId="0" fontId="0" fillId="7" borderId="4" xfId="0" applyFont="1" applyFill="1" applyBorder="1"/>
    <xf numFmtId="0" fontId="0" fillId="0" borderId="1" xfId="0" applyFont="1" applyBorder="1"/>
    <xf numFmtId="0" fontId="0" fillId="0" borderId="2" xfId="0" applyBorder="1"/>
    <xf numFmtId="166" fontId="0" fillId="0" borderId="1" xfId="0" applyNumberFormat="1" applyBorder="1" applyAlignment="1">
      <alignment horizontal="center" vertical="center"/>
    </xf>
    <xf numFmtId="165" fontId="0" fillId="0" borderId="1" xfId="1" applyNumberFormat="1" applyFont="1" applyFill="1" applyBorder="1" applyAlignment="1">
      <alignment vertical="center"/>
    </xf>
    <xf numFmtId="165" fontId="0" fillId="3" borderId="1" xfId="0" applyNumberFormat="1" applyFill="1" applyBorder="1" applyAlignment="1">
      <alignment horizontal="right" vertical="center"/>
    </xf>
    <xf numFmtId="0" fontId="0" fillId="3" borderId="4" xfId="0" applyFill="1" applyBorder="1" applyAlignment="1">
      <alignment vertical="center"/>
    </xf>
    <xf numFmtId="166" fontId="0" fillId="0" borderId="0" xfId="0" applyNumberFormat="1" applyBorder="1" applyAlignment="1">
      <alignment horizontal="center" vertical="center"/>
    </xf>
    <xf numFmtId="165" fontId="0" fillId="3" borderId="3" xfId="1" applyNumberFormat="1" applyFont="1" applyFill="1" applyBorder="1" applyAlignment="1">
      <alignment vertical="center"/>
    </xf>
    <xf numFmtId="165" fontId="0" fillId="3" borderId="0" xfId="1" applyNumberFormat="1" applyFont="1" applyFill="1" applyBorder="1" applyAlignment="1">
      <alignment vertical="center"/>
    </xf>
    <xf numFmtId="0" fontId="0" fillId="3" borderId="0" xfId="0" applyFill="1" applyBorder="1" applyAlignment="1">
      <alignment vertical="center"/>
    </xf>
    <xf numFmtId="165" fontId="0" fillId="3" borderId="0" xfId="0" applyNumberFormat="1" applyFill="1" applyBorder="1" applyAlignment="1">
      <alignment vertical="center"/>
    </xf>
    <xf numFmtId="0" fontId="0" fillId="3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5" fontId="0" fillId="3" borderId="2" xfId="0" applyNumberFormat="1" applyFill="1" applyBorder="1" applyAlignment="1">
      <alignment vertical="center"/>
    </xf>
    <xf numFmtId="165" fontId="0" fillId="0" borderId="0" xfId="0" applyNumberFormat="1" applyBorder="1" applyAlignment="1">
      <alignment vertical="center"/>
    </xf>
    <xf numFmtId="0" fontId="0" fillId="0" borderId="7" xfId="0" applyNumberFormat="1" applyFont="1" applyFill="1" applyBorder="1" applyAlignment="1">
      <alignment horizontal="center" vertical="center"/>
    </xf>
    <xf numFmtId="0" fontId="0" fillId="0" borderId="3" xfId="0" applyFont="1" applyBorder="1"/>
    <xf numFmtId="165" fontId="0" fillId="0" borderId="2" xfId="0" applyNumberFormat="1" applyBorder="1" applyAlignment="1">
      <alignment vertical="center"/>
    </xf>
    <xf numFmtId="0" fontId="0" fillId="3" borderId="8" xfId="0" applyFont="1" applyFill="1" applyBorder="1" applyAlignment="1">
      <alignment horizontal="center" vertical="center"/>
    </xf>
    <xf numFmtId="49" fontId="0" fillId="3" borderId="8" xfId="0" applyNumberFormat="1" applyFill="1" applyBorder="1" applyAlignment="1">
      <alignment horizontal="center" vertical="center"/>
    </xf>
    <xf numFmtId="169" fontId="0" fillId="3" borderId="1" xfId="0" applyNumberFormat="1" applyFont="1" applyFill="1" applyBorder="1" applyAlignment="1">
      <alignment horizontal="center" vertical="center"/>
    </xf>
    <xf numFmtId="169" fontId="0" fillId="3" borderId="2" xfId="0" applyNumberFormat="1" applyFont="1" applyFill="1" applyBorder="1" applyAlignment="1">
      <alignment horizontal="center" vertical="center" wrapText="1"/>
    </xf>
    <xf numFmtId="165" fontId="0" fillId="3" borderId="9" xfId="0" applyNumberFormat="1" applyFill="1" applyBorder="1" applyAlignment="1">
      <alignment horizontal="right" vertical="center"/>
    </xf>
    <xf numFmtId="0" fontId="0" fillId="3" borderId="2" xfId="0" applyFill="1" applyBorder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0" fontId="0" fillId="3" borderId="2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165" fontId="0" fillId="3" borderId="9" xfId="1" applyNumberFormat="1" applyFont="1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169" fontId="0" fillId="3" borderId="1" xfId="0" applyNumberFormat="1" applyFont="1" applyFill="1" applyBorder="1" applyAlignment="1">
      <alignment horizontal="center" wrapText="1"/>
    </xf>
  </cellXfs>
  <cellStyles count="4">
    <cellStyle name="Millares" xfId="1" builtinId="3"/>
    <cellStyle name="Millares 2" xfId="3"/>
    <cellStyle name="Normal" xfId="0" builtinId="0"/>
    <cellStyle name="Normal 2" xfId="2"/>
  </cellStyles>
  <dxfs count="1485"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D97459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D97459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 patternType="gray125">
          <fgColor rgb="FFFF0000"/>
        </patternFill>
      </fill>
    </dxf>
    <dxf>
      <fill>
        <patternFill patternType="gray125">
          <fgColor rgb="FFFF0000"/>
          <bgColor theme="0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E34E35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D97459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D97459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E34E35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E34E35"/>
        </patternFill>
      </fill>
    </dxf>
    <dxf>
      <fill>
        <patternFill>
          <bgColor rgb="FFE34E35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E34E35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E34E35"/>
        </patternFill>
      </fill>
    </dxf>
    <dxf>
      <fill>
        <patternFill>
          <bgColor rgb="FFE34E35"/>
        </patternFill>
      </fill>
    </dxf>
    <dxf>
      <fill>
        <patternFill>
          <bgColor rgb="FFE34E35"/>
        </patternFill>
      </fill>
    </dxf>
    <dxf>
      <fill>
        <patternFill>
          <bgColor rgb="FFE34E35"/>
        </patternFill>
      </fill>
    </dxf>
    <dxf>
      <fill>
        <patternFill>
          <bgColor rgb="FFE34E35"/>
        </patternFill>
      </fill>
    </dxf>
    <dxf>
      <fill>
        <patternFill>
          <bgColor rgb="FFE34E35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E34E35"/>
        </patternFill>
      </fill>
    </dxf>
    <dxf>
      <fill>
        <patternFill>
          <bgColor rgb="FFE34E35"/>
        </patternFill>
      </fill>
    </dxf>
    <dxf>
      <fill>
        <patternFill>
          <bgColor rgb="FFE34E35"/>
        </patternFill>
      </fill>
    </dxf>
    <dxf>
      <fill>
        <patternFill>
          <bgColor rgb="FFE34E35"/>
        </patternFill>
      </fill>
    </dxf>
    <dxf>
      <fill>
        <patternFill>
          <bgColor rgb="FFE34E35"/>
        </patternFill>
      </fill>
    </dxf>
    <dxf>
      <fill>
        <patternFill>
          <bgColor rgb="FFE34E35"/>
        </patternFill>
      </fill>
    </dxf>
    <dxf>
      <fill>
        <patternFill>
          <bgColor rgb="FFE34E35"/>
        </patternFill>
      </fill>
    </dxf>
    <dxf>
      <fill>
        <patternFill>
          <bgColor rgb="FFE34E35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  <dxf>
      <fill>
        <patternFill>
          <bgColor rgb="FFF77B7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gionet.sharepoint.com\DavWWWRoot\TeamSite\Documents\Ban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Banco (2)"/>
      <sheetName val="Resumen Banco"/>
      <sheetName val="Detalle Cheques"/>
      <sheetName val="Bancos"/>
      <sheetName val="Movimientos Bancarios"/>
      <sheetName val="Plan de Cuentas"/>
      <sheetName val="a pagar"/>
      <sheetName val="Servicios"/>
      <sheetName val="ingresos"/>
      <sheetName val="Hoja1"/>
      <sheetName val="control concil"/>
      <sheetName val="Hoja2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a.Saldo.Inicial</v>
          </cell>
        </row>
        <row r="2">
          <cell r="A2" t="str">
            <v>b.Ingresos</v>
          </cell>
        </row>
        <row r="3">
          <cell r="A3" t="str">
            <v>c.Egresos</v>
          </cell>
        </row>
        <row r="4">
          <cell r="A4" t="str">
            <v>d.Otros.Ingresos.y.Egresos</v>
          </cell>
        </row>
        <row r="46">
          <cell r="B46" t="str">
            <v>c.5.2.1.Honorarios</v>
          </cell>
          <cell r="C46" t="str">
            <v>c.5.2.2.Otros</v>
          </cell>
        </row>
      </sheetData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98"/>
  <sheetViews>
    <sheetView tabSelected="1" topLeftCell="A22" workbookViewId="0">
      <selection activeCell="B6" sqref="B6"/>
    </sheetView>
  </sheetViews>
  <sheetFormatPr baseColWidth="10"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5" t="s">
        <v>13</v>
      </c>
      <c r="O1" s="5" t="s">
        <v>14</v>
      </c>
      <c r="P1" s="6" t="s">
        <v>15</v>
      </c>
      <c r="Q1" s="6"/>
      <c r="R1" s="7"/>
      <c r="S1" s="7"/>
    </row>
    <row r="2" spans="1:19" x14ac:dyDescent="0.25">
      <c r="A2" s="8" t="s">
        <v>16</v>
      </c>
      <c r="B2" s="8" t="s">
        <v>17</v>
      </c>
      <c r="C2" s="8" t="s">
        <v>18</v>
      </c>
      <c r="D2" s="8">
        <v>2014</v>
      </c>
      <c r="E2" s="9" t="s">
        <v>19</v>
      </c>
      <c r="F2" s="10">
        <v>41729</v>
      </c>
      <c r="G2" s="8"/>
      <c r="H2" s="17" t="s">
        <v>20</v>
      </c>
      <c r="I2" s="12">
        <v>-150</v>
      </c>
      <c r="J2" s="13" t="s">
        <v>21</v>
      </c>
      <c r="K2" s="13" t="s">
        <v>22</v>
      </c>
      <c r="L2" s="13" t="s">
        <v>23</v>
      </c>
      <c r="M2" s="13"/>
      <c r="N2" s="14"/>
      <c r="O2" s="14">
        <f t="shared" ref="O2:O65" si="0">IF(B2="$",I2,I2/N2)</f>
        <v>-150</v>
      </c>
      <c r="P2" s="15">
        <f t="shared" ref="P2:P65" si="1">F2</f>
        <v>41729</v>
      </c>
      <c r="Q2" s="15"/>
      <c r="R2" s="16"/>
      <c r="S2" s="16"/>
    </row>
    <row r="3" spans="1:19" x14ac:dyDescent="0.25">
      <c r="A3" s="8" t="s">
        <v>16</v>
      </c>
      <c r="B3" s="8" t="s">
        <v>17</v>
      </c>
      <c r="C3" s="8" t="s">
        <v>18</v>
      </c>
      <c r="D3" s="8">
        <v>2014</v>
      </c>
      <c r="E3" s="9" t="s">
        <v>19</v>
      </c>
      <c r="F3" s="10">
        <v>41729</v>
      </c>
      <c r="G3" s="8"/>
      <c r="H3" s="17" t="s">
        <v>24</v>
      </c>
      <c r="I3" s="12">
        <v>-80</v>
      </c>
      <c r="J3" s="13" t="s">
        <v>21</v>
      </c>
      <c r="K3" s="13" t="s">
        <v>25</v>
      </c>
      <c r="L3" s="13" t="s">
        <v>26</v>
      </c>
      <c r="M3" s="13"/>
      <c r="N3" s="14"/>
      <c r="O3" s="14">
        <f t="shared" si="0"/>
        <v>-80</v>
      </c>
      <c r="P3" s="15">
        <f t="shared" si="1"/>
        <v>41729</v>
      </c>
      <c r="Q3" s="15"/>
      <c r="R3" s="16"/>
      <c r="S3" s="16"/>
    </row>
    <row r="4" spans="1:19" x14ac:dyDescent="0.25">
      <c r="A4" s="8" t="s">
        <v>16</v>
      </c>
      <c r="B4" s="8" t="s">
        <v>17</v>
      </c>
      <c r="C4" s="8" t="s">
        <v>18</v>
      </c>
      <c r="D4" s="8">
        <v>2014</v>
      </c>
      <c r="E4" s="9" t="s">
        <v>19</v>
      </c>
      <c r="F4" s="10">
        <v>41729</v>
      </c>
      <c r="G4" s="8"/>
      <c r="H4" s="17" t="s">
        <v>27</v>
      </c>
      <c r="I4" s="12">
        <v>-900</v>
      </c>
      <c r="J4" s="13" t="s">
        <v>21</v>
      </c>
      <c r="K4" s="13" t="s">
        <v>25</v>
      </c>
      <c r="L4" s="13" t="s">
        <v>26</v>
      </c>
      <c r="M4" s="13" t="s">
        <v>28</v>
      </c>
      <c r="N4" s="14"/>
      <c r="O4" s="14">
        <f t="shared" si="0"/>
        <v>-900</v>
      </c>
      <c r="P4" s="15">
        <f t="shared" si="1"/>
        <v>41729</v>
      </c>
      <c r="Q4" s="15"/>
      <c r="R4" s="16"/>
      <c r="S4" s="16"/>
    </row>
    <row r="5" spans="1:19" x14ac:dyDescent="0.25">
      <c r="A5" s="8" t="s">
        <v>16</v>
      </c>
      <c r="B5" s="8" t="s">
        <v>17</v>
      </c>
      <c r="C5" s="36" t="s">
        <v>18</v>
      </c>
      <c r="D5" s="8">
        <v>2014</v>
      </c>
      <c r="E5" s="9" t="s">
        <v>19</v>
      </c>
      <c r="F5" s="10">
        <v>41729</v>
      </c>
      <c r="G5" s="8"/>
      <c r="H5" s="11" t="s">
        <v>29</v>
      </c>
      <c r="I5" s="12">
        <v>-5000</v>
      </c>
      <c r="J5" s="13" t="s">
        <v>21</v>
      </c>
      <c r="K5" s="13" t="s">
        <v>30</v>
      </c>
      <c r="L5" s="13" t="s">
        <v>31</v>
      </c>
      <c r="M5" s="13" t="s">
        <v>28</v>
      </c>
      <c r="N5" s="14"/>
      <c r="O5" s="14">
        <f t="shared" si="0"/>
        <v>-5000</v>
      </c>
      <c r="P5" s="15">
        <f t="shared" si="1"/>
        <v>41729</v>
      </c>
      <c r="Q5" s="15"/>
      <c r="R5" s="16"/>
      <c r="S5" s="16"/>
    </row>
    <row r="6" spans="1:19" x14ac:dyDescent="0.25">
      <c r="A6" s="8" t="s">
        <v>16</v>
      </c>
      <c r="B6" s="8" t="s">
        <v>17</v>
      </c>
      <c r="C6" s="36" t="s">
        <v>18</v>
      </c>
      <c r="D6" s="8">
        <v>2014</v>
      </c>
      <c r="E6" s="9" t="s">
        <v>19</v>
      </c>
      <c r="F6" s="10">
        <v>41729</v>
      </c>
      <c r="G6" s="8"/>
      <c r="H6" s="17" t="s">
        <v>32</v>
      </c>
      <c r="I6" s="12">
        <v>-1600</v>
      </c>
      <c r="J6" s="13" t="s">
        <v>33</v>
      </c>
      <c r="K6" s="13" t="s">
        <v>34</v>
      </c>
      <c r="L6" s="13" t="s">
        <v>35</v>
      </c>
      <c r="M6" s="13"/>
      <c r="N6" s="14"/>
      <c r="O6" s="14">
        <f t="shared" si="0"/>
        <v>-1600</v>
      </c>
      <c r="P6" s="15">
        <f t="shared" si="1"/>
        <v>41729</v>
      </c>
      <c r="Q6" s="15"/>
      <c r="R6" s="16"/>
      <c r="S6" s="16"/>
    </row>
    <row r="7" spans="1:19" x14ac:dyDescent="0.25">
      <c r="A7" s="8" t="s">
        <v>16</v>
      </c>
      <c r="B7" s="40" t="s">
        <v>17</v>
      </c>
      <c r="C7" s="41" t="s">
        <v>18</v>
      </c>
      <c r="D7" s="8">
        <v>2014</v>
      </c>
      <c r="E7" s="9" t="s">
        <v>19</v>
      </c>
      <c r="F7" s="10">
        <v>41729</v>
      </c>
      <c r="G7" s="42" t="s">
        <v>36</v>
      </c>
      <c r="H7" s="38" t="s">
        <v>37</v>
      </c>
      <c r="I7" s="43">
        <v>-7000</v>
      </c>
      <c r="J7" s="19" t="s">
        <v>38</v>
      </c>
      <c r="K7" s="19" t="s">
        <v>39</v>
      </c>
      <c r="L7" s="39" t="s">
        <v>40</v>
      </c>
      <c r="M7" s="44"/>
      <c r="N7" s="45"/>
      <c r="O7" s="14">
        <f t="shared" si="0"/>
        <v>-7000</v>
      </c>
      <c r="P7" s="15">
        <f t="shared" si="1"/>
        <v>41729</v>
      </c>
      <c r="Q7" s="15"/>
      <c r="R7" s="16"/>
      <c r="S7" s="16"/>
    </row>
    <row r="8" spans="1:19" x14ac:dyDescent="0.25">
      <c r="A8" s="8" t="s">
        <v>16</v>
      </c>
      <c r="B8" s="8" t="s">
        <v>17</v>
      </c>
      <c r="C8" s="8" t="s">
        <v>41</v>
      </c>
      <c r="D8" s="8">
        <v>2014</v>
      </c>
      <c r="E8" s="21" t="s">
        <v>42</v>
      </c>
      <c r="F8" s="10">
        <v>41730</v>
      </c>
      <c r="G8" s="8"/>
      <c r="H8" s="11" t="s">
        <v>43</v>
      </c>
      <c r="I8" s="29">
        <v>36696.286400000157</v>
      </c>
      <c r="J8" s="13" t="s">
        <v>44</v>
      </c>
      <c r="K8" s="13"/>
      <c r="L8" s="13"/>
      <c r="M8" s="13"/>
      <c r="N8" s="14"/>
      <c r="O8" s="14">
        <f t="shared" si="0"/>
        <v>36696.286400000157</v>
      </c>
      <c r="P8" s="15">
        <f t="shared" si="1"/>
        <v>41730</v>
      </c>
      <c r="Q8" s="15"/>
      <c r="R8" s="24"/>
      <c r="S8" s="16"/>
    </row>
    <row r="9" spans="1:19" x14ac:dyDescent="0.25">
      <c r="A9" s="8" t="s">
        <v>16</v>
      </c>
      <c r="B9" s="8" t="s">
        <v>45</v>
      </c>
      <c r="C9" s="8" t="s">
        <v>41</v>
      </c>
      <c r="D9" s="8">
        <v>2014</v>
      </c>
      <c r="E9" s="21" t="s">
        <v>42</v>
      </c>
      <c r="F9" s="10">
        <v>41730</v>
      </c>
      <c r="G9" s="8"/>
      <c r="H9" s="11" t="s">
        <v>43</v>
      </c>
      <c r="I9" s="29">
        <v>9669</v>
      </c>
      <c r="J9" s="13" t="s">
        <v>44</v>
      </c>
      <c r="K9" s="13"/>
      <c r="L9" s="13"/>
      <c r="M9" s="13"/>
      <c r="N9" s="14">
        <v>12.01</v>
      </c>
      <c r="O9" s="14">
        <f t="shared" si="0"/>
        <v>805.07910074937558</v>
      </c>
      <c r="P9" s="15">
        <f t="shared" si="1"/>
        <v>41730</v>
      </c>
      <c r="Q9" s="15"/>
      <c r="R9" s="24"/>
      <c r="S9" s="16"/>
    </row>
    <row r="10" spans="1:19" x14ac:dyDescent="0.25">
      <c r="A10" s="8" t="s">
        <v>16</v>
      </c>
      <c r="B10" s="8" t="s">
        <v>17</v>
      </c>
      <c r="C10" s="36" t="s">
        <v>46</v>
      </c>
      <c r="D10" s="8">
        <v>2014</v>
      </c>
      <c r="E10" s="21" t="s">
        <v>42</v>
      </c>
      <c r="F10" s="10">
        <v>41730</v>
      </c>
      <c r="G10" s="8"/>
      <c r="H10" s="17" t="s">
        <v>47</v>
      </c>
      <c r="I10" s="12">
        <v>-9500</v>
      </c>
      <c r="J10" s="13" t="s">
        <v>48</v>
      </c>
      <c r="K10" s="13" t="s">
        <v>49</v>
      </c>
      <c r="L10" s="13" t="s">
        <v>50</v>
      </c>
      <c r="M10" s="13"/>
      <c r="N10" s="14"/>
      <c r="O10" s="14">
        <f t="shared" si="0"/>
        <v>-9500</v>
      </c>
      <c r="P10" s="15">
        <f t="shared" si="1"/>
        <v>41730</v>
      </c>
      <c r="Q10" s="15"/>
      <c r="R10" s="16"/>
      <c r="S10" s="16"/>
    </row>
    <row r="11" spans="1:19" x14ac:dyDescent="0.25">
      <c r="A11" s="8" t="s">
        <v>16</v>
      </c>
      <c r="B11" s="8" t="s">
        <v>17</v>
      </c>
      <c r="C11" s="36" t="s">
        <v>51</v>
      </c>
      <c r="D11" s="8">
        <v>2014</v>
      </c>
      <c r="E11" s="21" t="s">
        <v>42</v>
      </c>
      <c r="F11" s="10">
        <v>41730</v>
      </c>
      <c r="G11" s="8">
        <v>11642</v>
      </c>
      <c r="H11" s="17" t="s">
        <v>52</v>
      </c>
      <c r="I11" s="12">
        <v>600</v>
      </c>
      <c r="J11" s="13" t="s">
        <v>53</v>
      </c>
      <c r="K11" s="13" t="s">
        <v>54</v>
      </c>
      <c r="L11" s="13"/>
      <c r="M11" s="13"/>
      <c r="N11" s="14"/>
      <c r="O11" s="14">
        <f t="shared" si="0"/>
        <v>600</v>
      </c>
      <c r="P11" s="15">
        <f t="shared" si="1"/>
        <v>41730</v>
      </c>
      <c r="Q11" s="15"/>
      <c r="R11" s="16"/>
      <c r="S11" s="16"/>
    </row>
    <row r="12" spans="1:19" x14ac:dyDescent="0.25">
      <c r="A12" s="8" t="s">
        <v>16</v>
      </c>
      <c r="B12" s="8" t="s">
        <v>17</v>
      </c>
      <c r="C12" s="36" t="s">
        <v>18</v>
      </c>
      <c r="D12" s="8">
        <v>2014</v>
      </c>
      <c r="E12" s="21" t="s">
        <v>42</v>
      </c>
      <c r="F12" s="10">
        <v>41730</v>
      </c>
      <c r="G12" s="8"/>
      <c r="H12" s="17" t="s">
        <v>55</v>
      </c>
      <c r="I12" s="12">
        <v>-150</v>
      </c>
      <c r="J12" s="13" t="s">
        <v>21</v>
      </c>
      <c r="K12" s="13" t="s">
        <v>56</v>
      </c>
      <c r="L12" s="13" t="s">
        <v>57</v>
      </c>
      <c r="M12" s="13" t="s">
        <v>28</v>
      </c>
      <c r="N12" s="14"/>
      <c r="O12" s="14">
        <f t="shared" si="0"/>
        <v>-150</v>
      </c>
      <c r="P12" s="15">
        <f t="shared" si="1"/>
        <v>41730</v>
      </c>
      <c r="Q12" s="15"/>
      <c r="R12" s="16"/>
      <c r="S12" s="16"/>
    </row>
    <row r="13" spans="1:19" x14ac:dyDescent="0.25">
      <c r="A13" s="8" t="s">
        <v>16</v>
      </c>
      <c r="B13" s="8" t="s">
        <v>17</v>
      </c>
      <c r="C13" s="8" t="s">
        <v>18</v>
      </c>
      <c r="D13" s="8">
        <v>2014</v>
      </c>
      <c r="E13" s="21" t="s">
        <v>42</v>
      </c>
      <c r="F13" s="10">
        <v>41730</v>
      </c>
      <c r="G13" s="8"/>
      <c r="H13" s="17" t="s">
        <v>58</v>
      </c>
      <c r="I13" s="12">
        <v>-175</v>
      </c>
      <c r="J13" s="13" t="s">
        <v>21</v>
      </c>
      <c r="K13" s="13" t="s">
        <v>22</v>
      </c>
      <c r="L13" s="13" t="s">
        <v>23</v>
      </c>
      <c r="M13" s="13"/>
      <c r="N13" s="14"/>
      <c r="O13" s="14">
        <f t="shared" si="0"/>
        <v>-175</v>
      </c>
      <c r="P13" s="15">
        <f t="shared" si="1"/>
        <v>41730</v>
      </c>
      <c r="Q13" s="15"/>
      <c r="R13" s="16"/>
      <c r="S13" s="16"/>
    </row>
    <row r="14" spans="1:19" x14ac:dyDescent="0.25">
      <c r="A14" s="8" t="s">
        <v>16</v>
      </c>
      <c r="B14" s="8" t="s">
        <v>17</v>
      </c>
      <c r="C14" s="36" t="s">
        <v>51</v>
      </c>
      <c r="D14" s="8">
        <v>2014</v>
      </c>
      <c r="E14" s="21" t="s">
        <v>42</v>
      </c>
      <c r="F14" s="10">
        <v>41730</v>
      </c>
      <c r="G14" s="8">
        <v>11583</v>
      </c>
      <c r="H14" s="17" t="s">
        <v>59</v>
      </c>
      <c r="I14" s="12">
        <v>200</v>
      </c>
      <c r="J14" s="13" t="s">
        <v>53</v>
      </c>
      <c r="K14" s="13" t="s">
        <v>54</v>
      </c>
      <c r="L14" s="13"/>
      <c r="M14" s="13"/>
      <c r="N14" s="14"/>
      <c r="O14" s="14">
        <f t="shared" si="0"/>
        <v>200</v>
      </c>
      <c r="P14" s="15">
        <f t="shared" si="1"/>
        <v>41730</v>
      </c>
      <c r="Q14" s="15"/>
      <c r="R14" s="16"/>
      <c r="S14" s="16"/>
    </row>
    <row r="15" spans="1:19" x14ac:dyDescent="0.25">
      <c r="A15" s="8" t="s">
        <v>16</v>
      </c>
      <c r="B15" s="8" t="s">
        <v>17</v>
      </c>
      <c r="C15" s="36" t="s">
        <v>51</v>
      </c>
      <c r="D15" s="8">
        <v>2014</v>
      </c>
      <c r="E15" s="21" t="s">
        <v>42</v>
      </c>
      <c r="F15" s="10">
        <v>41731</v>
      </c>
      <c r="G15" s="8">
        <v>11647</v>
      </c>
      <c r="H15" s="17" t="s">
        <v>60</v>
      </c>
      <c r="I15" s="12">
        <v>5000</v>
      </c>
      <c r="J15" s="13" t="s">
        <v>53</v>
      </c>
      <c r="K15" s="13" t="s">
        <v>54</v>
      </c>
      <c r="L15" s="13"/>
      <c r="M15" s="13"/>
      <c r="N15" s="14"/>
      <c r="O15" s="14">
        <f t="shared" si="0"/>
        <v>5000</v>
      </c>
      <c r="P15" s="15">
        <f t="shared" si="1"/>
        <v>41731</v>
      </c>
      <c r="Q15" s="15"/>
      <c r="R15" s="16"/>
      <c r="S15" s="16"/>
    </row>
    <row r="16" spans="1:19" x14ac:dyDescent="0.25">
      <c r="A16" s="8" t="s">
        <v>16</v>
      </c>
      <c r="B16" s="8" t="s">
        <v>17</v>
      </c>
      <c r="C16" s="36" t="s">
        <v>51</v>
      </c>
      <c r="D16" s="8">
        <v>2014</v>
      </c>
      <c r="E16" s="21" t="s">
        <v>42</v>
      </c>
      <c r="F16" s="10">
        <v>41731</v>
      </c>
      <c r="G16" s="8">
        <v>11646</v>
      </c>
      <c r="H16" s="17" t="s">
        <v>61</v>
      </c>
      <c r="I16" s="12">
        <v>1000</v>
      </c>
      <c r="J16" s="13" t="s">
        <v>53</v>
      </c>
      <c r="K16" s="13" t="s">
        <v>54</v>
      </c>
      <c r="L16" s="13"/>
      <c r="M16" s="13"/>
      <c r="N16" s="14"/>
      <c r="O16" s="14">
        <f t="shared" si="0"/>
        <v>1000</v>
      </c>
      <c r="P16" s="15">
        <f t="shared" si="1"/>
        <v>41731</v>
      </c>
      <c r="Q16" s="15"/>
      <c r="R16" s="16"/>
      <c r="S16" s="16"/>
    </row>
    <row r="17" spans="1:19" x14ac:dyDescent="0.25">
      <c r="A17" s="23" t="s">
        <v>16</v>
      </c>
      <c r="B17" s="23" t="s">
        <v>17</v>
      </c>
      <c r="C17" s="23" t="s">
        <v>18</v>
      </c>
      <c r="D17" s="8">
        <v>2014</v>
      </c>
      <c r="E17" s="21" t="s">
        <v>42</v>
      </c>
      <c r="F17" s="22">
        <v>41731</v>
      </c>
      <c r="G17" s="23"/>
      <c r="H17" s="13" t="s">
        <v>62</v>
      </c>
      <c r="I17" s="12">
        <f>-135-27-49-52.5-7.2-32-45-18.02</f>
        <v>-365.71999999999997</v>
      </c>
      <c r="J17" s="13" t="s">
        <v>21</v>
      </c>
      <c r="K17" s="13" t="s">
        <v>63</v>
      </c>
      <c r="L17" s="13" t="s">
        <v>64</v>
      </c>
      <c r="M17" s="13"/>
      <c r="N17" s="31"/>
      <c r="O17" s="14">
        <f t="shared" si="0"/>
        <v>-365.71999999999997</v>
      </c>
      <c r="P17" s="15">
        <f t="shared" si="1"/>
        <v>41731</v>
      </c>
      <c r="Q17" s="15"/>
      <c r="R17" s="16"/>
      <c r="S17" s="16"/>
    </row>
    <row r="18" spans="1:19" x14ac:dyDescent="0.25">
      <c r="A18" s="8" t="s">
        <v>16</v>
      </c>
      <c r="B18" s="8" t="s">
        <v>17</v>
      </c>
      <c r="C18" s="36" t="s">
        <v>51</v>
      </c>
      <c r="D18" s="8">
        <v>2014</v>
      </c>
      <c r="E18" s="21" t="s">
        <v>42</v>
      </c>
      <c r="F18" s="10">
        <v>41732</v>
      </c>
      <c r="G18" s="8">
        <v>11597</v>
      </c>
      <c r="H18" s="17" t="s">
        <v>65</v>
      </c>
      <c r="I18" s="12">
        <v>18570</v>
      </c>
      <c r="J18" s="13" t="s">
        <v>53</v>
      </c>
      <c r="K18" s="13" t="s">
        <v>54</v>
      </c>
      <c r="L18" s="13"/>
      <c r="M18" s="13"/>
      <c r="N18" s="14"/>
      <c r="O18" s="14">
        <f t="shared" si="0"/>
        <v>18570</v>
      </c>
      <c r="P18" s="15">
        <f t="shared" si="1"/>
        <v>41732</v>
      </c>
      <c r="Q18" s="15"/>
      <c r="R18" s="16"/>
      <c r="S18" s="16"/>
    </row>
    <row r="19" spans="1:19" x14ac:dyDescent="0.25">
      <c r="A19" s="8" t="s">
        <v>16</v>
      </c>
      <c r="B19" s="8" t="s">
        <v>17</v>
      </c>
      <c r="C19" s="36" t="s">
        <v>51</v>
      </c>
      <c r="D19" s="8">
        <v>2014</v>
      </c>
      <c r="E19" s="21" t="s">
        <v>42</v>
      </c>
      <c r="F19" s="10">
        <v>41732</v>
      </c>
      <c r="G19" s="8">
        <v>11648</v>
      </c>
      <c r="H19" s="17" t="s">
        <v>66</v>
      </c>
      <c r="I19" s="12">
        <v>3910</v>
      </c>
      <c r="J19" s="13" t="s">
        <v>53</v>
      </c>
      <c r="K19" s="13" t="s">
        <v>54</v>
      </c>
      <c r="L19" s="13"/>
      <c r="M19" s="13"/>
      <c r="N19" s="14"/>
      <c r="O19" s="14">
        <f t="shared" si="0"/>
        <v>3910</v>
      </c>
      <c r="P19" s="15">
        <f t="shared" si="1"/>
        <v>41732</v>
      </c>
      <c r="Q19" s="15"/>
      <c r="R19" s="16"/>
      <c r="S19" s="16"/>
    </row>
    <row r="20" spans="1:19" x14ac:dyDescent="0.25">
      <c r="A20" s="8" t="s">
        <v>16</v>
      </c>
      <c r="B20" s="8" t="s">
        <v>17</v>
      </c>
      <c r="C20" s="8" t="s">
        <v>18</v>
      </c>
      <c r="D20" s="8">
        <v>2014</v>
      </c>
      <c r="E20" s="21" t="s">
        <v>42</v>
      </c>
      <c r="F20" s="10">
        <v>41732</v>
      </c>
      <c r="G20" s="8"/>
      <c r="H20" s="11" t="s">
        <v>62</v>
      </c>
      <c r="I20" s="12">
        <f>-48-18</f>
        <v>-66</v>
      </c>
      <c r="J20" s="13" t="s">
        <v>21</v>
      </c>
      <c r="K20" s="13" t="s">
        <v>63</v>
      </c>
      <c r="L20" s="13" t="s">
        <v>64</v>
      </c>
      <c r="M20" s="13"/>
      <c r="N20" s="14"/>
      <c r="O20" s="14">
        <f t="shared" si="0"/>
        <v>-66</v>
      </c>
      <c r="P20" s="15">
        <f t="shared" si="1"/>
        <v>41732</v>
      </c>
      <c r="Q20" s="15"/>
      <c r="R20" s="16"/>
      <c r="S20" s="16"/>
    </row>
    <row r="21" spans="1:19" x14ac:dyDescent="0.25">
      <c r="A21" s="8" t="s">
        <v>16</v>
      </c>
      <c r="B21" s="8" t="s">
        <v>17</v>
      </c>
      <c r="C21" s="36" t="s">
        <v>46</v>
      </c>
      <c r="D21" s="8">
        <v>2014</v>
      </c>
      <c r="E21" s="21" t="s">
        <v>42</v>
      </c>
      <c r="F21" s="10">
        <v>41732</v>
      </c>
      <c r="G21" s="8"/>
      <c r="H21" s="17" t="s">
        <v>67</v>
      </c>
      <c r="I21" s="12">
        <v>-28000</v>
      </c>
      <c r="J21" s="13" t="s">
        <v>68</v>
      </c>
      <c r="K21" s="13"/>
      <c r="L21" s="13"/>
      <c r="M21" s="13"/>
      <c r="N21" s="14"/>
      <c r="O21" s="14">
        <f t="shared" si="0"/>
        <v>-28000</v>
      </c>
      <c r="P21" s="15">
        <f t="shared" si="1"/>
        <v>41732</v>
      </c>
      <c r="Q21" s="15"/>
      <c r="R21" s="16"/>
      <c r="S21" s="16"/>
    </row>
    <row r="22" spans="1:19" x14ac:dyDescent="0.25">
      <c r="A22" s="8" t="s">
        <v>16</v>
      </c>
      <c r="B22" s="8" t="s">
        <v>17</v>
      </c>
      <c r="C22" s="36" t="s">
        <v>51</v>
      </c>
      <c r="D22" s="8">
        <v>2014</v>
      </c>
      <c r="E22" s="21" t="s">
        <v>42</v>
      </c>
      <c r="F22" s="10">
        <v>41732</v>
      </c>
      <c r="G22" s="8">
        <v>11557</v>
      </c>
      <c r="H22" s="17" t="s">
        <v>69</v>
      </c>
      <c r="I22" s="12">
        <v>1120</v>
      </c>
      <c r="J22" s="13" t="s">
        <v>53</v>
      </c>
      <c r="K22" s="13" t="s">
        <v>54</v>
      </c>
      <c r="L22" s="13"/>
      <c r="M22" s="13"/>
      <c r="N22" s="14"/>
      <c r="O22" s="14">
        <f t="shared" si="0"/>
        <v>1120</v>
      </c>
      <c r="P22" s="15">
        <f t="shared" si="1"/>
        <v>41732</v>
      </c>
      <c r="Q22" s="15"/>
      <c r="R22" s="16"/>
      <c r="S22" s="16"/>
    </row>
    <row r="23" spans="1:19" x14ac:dyDescent="0.25">
      <c r="A23" s="8" t="s">
        <v>16</v>
      </c>
      <c r="B23" s="8" t="s">
        <v>17</v>
      </c>
      <c r="C23" s="36" t="s">
        <v>18</v>
      </c>
      <c r="D23" s="8">
        <v>2014</v>
      </c>
      <c r="E23" s="21" t="s">
        <v>42</v>
      </c>
      <c r="F23" s="10">
        <v>41732</v>
      </c>
      <c r="G23" s="8"/>
      <c r="H23" s="17" t="s">
        <v>70</v>
      </c>
      <c r="I23" s="12">
        <f>-27-30-45-45-39-60</f>
        <v>-246</v>
      </c>
      <c r="J23" s="13" t="s">
        <v>21</v>
      </c>
      <c r="K23" s="13" t="s">
        <v>22</v>
      </c>
      <c r="L23" s="13" t="s">
        <v>71</v>
      </c>
      <c r="M23" s="13" t="s">
        <v>28</v>
      </c>
      <c r="N23" s="14"/>
      <c r="O23" s="14">
        <f t="shared" si="0"/>
        <v>-246</v>
      </c>
      <c r="P23" s="15">
        <f t="shared" si="1"/>
        <v>41732</v>
      </c>
      <c r="Q23" s="15"/>
      <c r="R23" s="16"/>
      <c r="S23" s="16"/>
    </row>
    <row r="24" spans="1:19" x14ac:dyDescent="0.25">
      <c r="A24" s="8" t="s">
        <v>16</v>
      </c>
      <c r="B24" s="8" t="s">
        <v>17</v>
      </c>
      <c r="C24" s="8" t="s">
        <v>46</v>
      </c>
      <c r="D24" s="8">
        <v>2014</v>
      </c>
      <c r="E24" s="21" t="s">
        <v>42</v>
      </c>
      <c r="F24" s="10">
        <v>41732</v>
      </c>
      <c r="G24" s="8"/>
      <c r="H24" s="17" t="s">
        <v>72</v>
      </c>
      <c r="I24" s="12">
        <v>-6000</v>
      </c>
      <c r="J24" s="13" t="s">
        <v>68</v>
      </c>
      <c r="K24" s="13"/>
      <c r="L24" s="13"/>
      <c r="M24" s="13"/>
      <c r="N24" s="14"/>
      <c r="O24" s="14">
        <f t="shared" si="0"/>
        <v>-6000</v>
      </c>
      <c r="P24" s="15">
        <f t="shared" si="1"/>
        <v>41732</v>
      </c>
      <c r="Q24" s="15"/>
      <c r="R24" s="16"/>
      <c r="S24" s="16"/>
    </row>
    <row r="25" spans="1:19" x14ac:dyDescent="0.25">
      <c r="A25" s="8" t="s">
        <v>16</v>
      </c>
      <c r="B25" s="8" t="s">
        <v>17</v>
      </c>
      <c r="C25" s="36" t="s">
        <v>51</v>
      </c>
      <c r="D25" s="8">
        <v>2014</v>
      </c>
      <c r="E25" s="21" t="s">
        <v>42</v>
      </c>
      <c r="F25" s="10">
        <v>41732</v>
      </c>
      <c r="G25" s="8">
        <v>11493</v>
      </c>
      <c r="H25" s="17" t="s">
        <v>73</v>
      </c>
      <c r="I25" s="12">
        <v>15120</v>
      </c>
      <c r="J25" s="13" t="s">
        <v>53</v>
      </c>
      <c r="K25" s="13" t="s">
        <v>54</v>
      </c>
      <c r="L25" s="13"/>
      <c r="M25" s="13"/>
      <c r="N25" s="14"/>
      <c r="O25" s="14">
        <f t="shared" si="0"/>
        <v>15120</v>
      </c>
      <c r="P25" s="15">
        <f t="shared" si="1"/>
        <v>41732</v>
      </c>
      <c r="Q25" s="15"/>
      <c r="R25" s="16"/>
      <c r="S25" s="16"/>
    </row>
    <row r="26" spans="1:19" x14ac:dyDescent="0.25">
      <c r="A26" s="8" t="s">
        <v>16</v>
      </c>
      <c r="B26" s="8" t="s">
        <v>17</v>
      </c>
      <c r="C26" s="36" t="s">
        <v>18</v>
      </c>
      <c r="D26" s="8">
        <v>2014</v>
      </c>
      <c r="E26" s="21" t="s">
        <v>42</v>
      </c>
      <c r="F26" s="10">
        <v>41732</v>
      </c>
      <c r="G26" s="8"/>
      <c r="H26" s="17" t="s">
        <v>74</v>
      </c>
      <c r="I26" s="29">
        <v>-630</v>
      </c>
      <c r="J26" s="13" t="s">
        <v>33</v>
      </c>
      <c r="K26" s="13" t="s">
        <v>34</v>
      </c>
      <c r="L26" s="13" t="s">
        <v>35</v>
      </c>
      <c r="M26" s="13"/>
      <c r="N26" s="14"/>
      <c r="O26" s="14">
        <f t="shared" si="0"/>
        <v>-630</v>
      </c>
      <c r="P26" s="15">
        <f t="shared" si="1"/>
        <v>41732</v>
      </c>
      <c r="Q26" s="15"/>
      <c r="R26" s="16"/>
      <c r="S26" s="16"/>
    </row>
    <row r="27" spans="1:19" x14ac:dyDescent="0.25">
      <c r="A27" s="8" t="s">
        <v>16</v>
      </c>
      <c r="B27" s="8" t="s">
        <v>17</v>
      </c>
      <c r="C27" s="36" t="s">
        <v>18</v>
      </c>
      <c r="D27" s="8">
        <v>2014</v>
      </c>
      <c r="E27" s="21" t="s">
        <v>42</v>
      </c>
      <c r="F27" s="10">
        <v>41732</v>
      </c>
      <c r="G27" s="8"/>
      <c r="H27" s="17" t="s">
        <v>75</v>
      </c>
      <c r="I27" s="12">
        <v>-360</v>
      </c>
      <c r="J27" s="13" t="s">
        <v>33</v>
      </c>
      <c r="K27" s="13" t="s">
        <v>34</v>
      </c>
      <c r="L27" s="47" t="s">
        <v>76</v>
      </c>
      <c r="M27" s="13"/>
      <c r="N27" s="14"/>
      <c r="O27" s="14">
        <f t="shared" si="0"/>
        <v>-360</v>
      </c>
      <c r="P27" s="15">
        <f t="shared" si="1"/>
        <v>41732</v>
      </c>
      <c r="Q27" s="15"/>
      <c r="R27" s="16"/>
      <c r="S27" s="16"/>
    </row>
    <row r="28" spans="1:19" x14ac:dyDescent="0.25">
      <c r="A28" s="8" t="s">
        <v>16</v>
      </c>
      <c r="B28" s="8" t="s">
        <v>17</v>
      </c>
      <c r="C28" s="36" t="s">
        <v>51</v>
      </c>
      <c r="D28" s="8">
        <v>2014</v>
      </c>
      <c r="E28" s="21" t="s">
        <v>42</v>
      </c>
      <c r="F28" s="10">
        <v>41733</v>
      </c>
      <c r="G28" s="8">
        <v>11637</v>
      </c>
      <c r="H28" s="17" t="s">
        <v>77</v>
      </c>
      <c r="I28" s="12">
        <v>6000</v>
      </c>
      <c r="J28" s="13" t="s">
        <v>53</v>
      </c>
      <c r="K28" s="13" t="s">
        <v>54</v>
      </c>
      <c r="L28" s="13"/>
      <c r="M28" s="13"/>
      <c r="N28" s="14"/>
      <c r="O28" s="14">
        <f t="shared" si="0"/>
        <v>6000</v>
      </c>
      <c r="P28" s="15">
        <f t="shared" si="1"/>
        <v>41733</v>
      </c>
      <c r="Q28" s="15"/>
      <c r="R28" s="16"/>
      <c r="S28" s="16"/>
    </row>
    <row r="29" spans="1:19" x14ac:dyDescent="0.25">
      <c r="A29" s="8" t="s">
        <v>16</v>
      </c>
      <c r="B29" s="8" t="s">
        <v>17</v>
      </c>
      <c r="C29" s="36" t="s">
        <v>18</v>
      </c>
      <c r="D29" s="8">
        <v>2014</v>
      </c>
      <c r="E29" s="21" t="s">
        <v>42</v>
      </c>
      <c r="F29" s="10">
        <v>41733</v>
      </c>
      <c r="G29" s="8"/>
      <c r="H29" s="17" t="s">
        <v>55</v>
      </c>
      <c r="I29" s="12">
        <v>-400</v>
      </c>
      <c r="J29" s="13" t="s">
        <v>21</v>
      </c>
      <c r="K29" s="13" t="s">
        <v>56</v>
      </c>
      <c r="L29" s="13" t="s">
        <v>57</v>
      </c>
      <c r="M29" s="13" t="s">
        <v>28</v>
      </c>
      <c r="N29" s="14"/>
      <c r="O29" s="14">
        <f t="shared" si="0"/>
        <v>-400</v>
      </c>
      <c r="P29" s="15">
        <f t="shared" si="1"/>
        <v>41733</v>
      </c>
      <c r="Q29" s="15"/>
      <c r="R29" s="16"/>
      <c r="S29" s="16"/>
    </row>
    <row r="30" spans="1:19" x14ac:dyDescent="0.25">
      <c r="A30" s="8" t="s">
        <v>16</v>
      </c>
      <c r="B30" s="8" t="s">
        <v>17</v>
      </c>
      <c r="C30" s="8" t="s">
        <v>46</v>
      </c>
      <c r="D30" s="8">
        <v>2014</v>
      </c>
      <c r="E30" s="21" t="s">
        <v>42</v>
      </c>
      <c r="F30" s="10">
        <v>41733</v>
      </c>
      <c r="G30" s="8"/>
      <c r="H30" s="17" t="s">
        <v>72</v>
      </c>
      <c r="I30" s="12">
        <v>-500</v>
      </c>
      <c r="J30" s="13" t="s">
        <v>68</v>
      </c>
      <c r="K30" s="13"/>
      <c r="L30" s="13"/>
      <c r="M30" s="13"/>
      <c r="N30" s="14"/>
      <c r="O30" s="14">
        <f t="shared" si="0"/>
        <v>-500</v>
      </c>
      <c r="P30" s="15">
        <f t="shared" si="1"/>
        <v>41733</v>
      </c>
      <c r="Q30" s="15"/>
      <c r="R30" s="16"/>
      <c r="S30" s="16"/>
    </row>
    <row r="31" spans="1:19" x14ac:dyDescent="0.25">
      <c r="A31" s="8" t="s">
        <v>16</v>
      </c>
      <c r="B31" s="8" t="s">
        <v>17</v>
      </c>
      <c r="C31" s="36" t="s">
        <v>46</v>
      </c>
      <c r="D31" s="8">
        <v>2014</v>
      </c>
      <c r="E31" s="21" t="s">
        <v>42</v>
      </c>
      <c r="F31" s="10">
        <v>41733</v>
      </c>
      <c r="G31" s="8"/>
      <c r="H31" s="17" t="s">
        <v>47</v>
      </c>
      <c r="I31" s="12">
        <v>-10000</v>
      </c>
      <c r="J31" s="13" t="s">
        <v>48</v>
      </c>
      <c r="K31" s="13" t="s">
        <v>49</v>
      </c>
      <c r="L31" s="13" t="s">
        <v>50</v>
      </c>
      <c r="M31" s="13"/>
      <c r="N31" s="14"/>
      <c r="O31" s="14">
        <f t="shared" si="0"/>
        <v>-10000</v>
      </c>
      <c r="P31" s="15">
        <f t="shared" si="1"/>
        <v>41733</v>
      </c>
      <c r="Q31" s="15"/>
      <c r="R31" s="16"/>
      <c r="S31" s="16"/>
    </row>
    <row r="32" spans="1:19" x14ac:dyDescent="0.25">
      <c r="A32" s="8" t="s">
        <v>16</v>
      </c>
      <c r="B32" s="8" t="s">
        <v>17</v>
      </c>
      <c r="C32" s="36" t="s">
        <v>46</v>
      </c>
      <c r="D32" s="8">
        <v>2014</v>
      </c>
      <c r="E32" s="21" t="s">
        <v>42</v>
      </c>
      <c r="F32" s="10">
        <v>41733</v>
      </c>
      <c r="G32" s="8"/>
      <c r="H32" s="17" t="s">
        <v>67</v>
      </c>
      <c r="I32" s="12">
        <v>-10000</v>
      </c>
      <c r="J32" s="13" t="s">
        <v>68</v>
      </c>
      <c r="K32" s="13"/>
      <c r="L32" s="13"/>
      <c r="M32" s="13"/>
      <c r="N32" s="14"/>
      <c r="O32" s="14">
        <f t="shared" si="0"/>
        <v>-10000</v>
      </c>
      <c r="P32" s="15">
        <f t="shared" si="1"/>
        <v>41733</v>
      </c>
      <c r="Q32" s="15"/>
      <c r="R32" s="16"/>
      <c r="S32" s="16"/>
    </row>
    <row r="33" spans="1:19" x14ac:dyDescent="0.25">
      <c r="A33" s="8" t="s">
        <v>16</v>
      </c>
      <c r="B33" s="8" t="s">
        <v>17</v>
      </c>
      <c r="C33" s="36" t="s">
        <v>18</v>
      </c>
      <c r="D33" s="8">
        <v>2014</v>
      </c>
      <c r="E33" s="21" t="s">
        <v>42</v>
      </c>
      <c r="F33" s="10">
        <v>41733</v>
      </c>
      <c r="G33" s="8"/>
      <c r="H33" s="11" t="s">
        <v>78</v>
      </c>
      <c r="I33" s="12">
        <v>-3400</v>
      </c>
      <c r="J33" s="13" t="s">
        <v>21</v>
      </c>
      <c r="K33" s="13" t="s">
        <v>56</v>
      </c>
      <c r="L33" s="13" t="s">
        <v>57</v>
      </c>
      <c r="M33" s="13"/>
      <c r="N33" s="14"/>
      <c r="O33" s="14">
        <f t="shared" si="0"/>
        <v>-3400</v>
      </c>
      <c r="P33" s="15">
        <f t="shared" si="1"/>
        <v>41733</v>
      </c>
      <c r="Q33" s="15"/>
      <c r="R33" s="16"/>
      <c r="S33" s="16"/>
    </row>
    <row r="34" spans="1:19" x14ac:dyDescent="0.25">
      <c r="A34" s="8" t="s">
        <v>16</v>
      </c>
      <c r="B34" s="8" t="s">
        <v>17</v>
      </c>
      <c r="C34" s="36" t="s">
        <v>18</v>
      </c>
      <c r="D34" s="8">
        <v>2014</v>
      </c>
      <c r="E34" s="21" t="s">
        <v>42</v>
      </c>
      <c r="F34" s="10">
        <v>41733</v>
      </c>
      <c r="G34" s="8"/>
      <c r="H34" s="17" t="s">
        <v>79</v>
      </c>
      <c r="I34" s="12">
        <v>-90</v>
      </c>
      <c r="J34" s="13" t="s">
        <v>21</v>
      </c>
      <c r="K34" s="13" t="s">
        <v>22</v>
      </c>
      <c r="L34" s="13" t="s">
        <v>71</v>
      </c>
      <c r="M34" s="13" t="s">
        <v>28</v>
      </c>
      <c r="N34" s="14"/>
      <c r="O34" s="14">
        <f t="shared" si="0"/>
        <v>-90</v>
      </c>
      <c r="P34" s="15">
        <f t="shared" si="1"/>
        <v>41733</v>
      </c>
      <c r="Q34" s="15"/>
      <c r="R34" s="35"/>
      <c r="S34" s="16"/>
    </row>
    <row r="35" spans="1:19" x14ac:dyDescent="0.25">
      <c r="A35" s="8" t="s">
        <v>16</v>
      </c>
      <c r="B35" s="8" t="s">
        <v>17</v>
      </c>
      <c r="C35" s="8" t="s">
        <v>18</v>
      </c>
      <c r="D35" s="8">
        <v>2014</v>
      </c>
      <c r="E35" s="21" t="s">
        <v>42</v>
      </c>
      <c r="F35" s="10">
        <v>41733</v>
      </c>
      <c r="G35" s="8"/>
      <c r="H35" s="13" t="s">
        <v>80</v>
      </c>
      <c r="I35" s="12">
        <v>-50</v>
      </c>
      <c r="J35" s="13" t="s">
        <v>21</v>
      </c>
      <c r="K35" s="13" t="s">
        <v>22</v>
      </c>
      <c r="L35" s="13" t="s">
        <v>23</v>
      </c>
      <c r="M35" s="13" t="s">
        <v>28</v>
      </c>
      <c r="N35" s="14"/>
      <c r="O35" s="14">
        <f t="shared" si="0"/>
        <v>-50</v>
      </c>
      <c r="P35" s="15">
        <f t="shared" si="1"/>
        <v>41733</v>
      </c>
      <c r="Q35" s="15"/>
      <c r="R35" s="16"/>
      <c r="S35" s="16"/>
    </row>
    <row r="36" spans="1:19" x14ac:dyDescent="0.25">
      <c r="A36" s="8" t="s">
        <v>16</v>
      </c>
      <c r="B36" s="8" t="s">
        <v>17</v>
      </c>
      <c r="C36" s="8" t="s">
        <v>18</v>
      </c>
      <c r="D36" s="8">
        <v>2014</v>
      </c>
      <c r="E36" s="21" t="s">
        <v>42</v>
      </c>
      <c r="F36" s="10">
        <v>41733</v>
      </c>
      <c r="G36" s="8"/>
      <c r="H36" s="11" t="s">
        <v>62</v>
      </c>
      <c r="I36" s="12">
        <f>-42-490-311-133</f>
        <v>-976</v>
      </c>
      <c r="J36" s="13" t="s">
        <v>21</v>
      </c>
      <c r="K36" s="13" t="s">
        <v>63</v>
      </c>
      <c r="L36" s="13" t="s">
        <v>64</v>
      </c>
      <c r="M36" s="13"/>
      <c r="N36" s="14"/>
      <c r="O36" s="14">
        <f t="shared" si="0"/>
        <v>-976</v>
      </c>
      <c r="P36" s="15">
        <f t="shared" si="1"/>
        <v>41733</v>
      </c>
      <c r="Q36" s="15"/>
      <c r="R36" s="16"/>
      <c r="S36" s="16"/>
    </row>
    <row r="37" spans="1:19" x14ac:dyDescent="0.25">
      <c r="A37" s="8" t="s">
        <v>16</v>
      </c>
      <c r="B37" s="8" t="s">
        <v>17</v>
      </c>
      <c r="C37" s="8" t="s">
        <v>18</v>
      </c>
      <c r="D37" s="8">
        <v>2014</v>
      </c>
      <c r="E37" s="21" t="s">
        <v>42</v>
      </c>
      <c r="F37" s="10">
        <v>41733</v>
      </c>
      <c r="G37" s="8"/>
      <c r="H37" s="11" t="s">
        <v>81</v>
      </c>
      <c r="I37" s="12">
        <v>-880</v>
      </c>
      <c r="J37" s="13" t="s">
        <v>21</v>
      </c>
      <c r="K37" s="13" t="s">
        <v>63</v>
      </c>
      <c r="L37" s="13" t="s">
        <v>64</v>
      </c>
      <c r="M37" s="13"/>
      <c r="N37" s="14"/>
      <c r="O37" s="14">
        <f t="shared" si="0"/>
        <v>-880</v>
      </c>
      <c r="P37" s="15">
        <f t="shared" si="1"/>
        <v>41733</v>
      </c>
      <c r="Q37" s="15"/>
      <c r="R37" s="16"/>
      <c r="S37" s="16"/>
    </row>
    <row r="38" spans="1:19" x14ac:dyDescent="0.25">
      <c r="A38" s="8" t="s">
        <v>16</v>
      </c>
      <c r="B38" s="8" t="s">
        <v>17</v>
      </c>
      <c r="C38" s="36" t="s">
        <v>18</v>
      </c>
      <c r="D38" s="8">
        <v>2014</v>
      </c>
      <c r="E38" s="21" t="s">
        <v>42</v>
      </c>
      <c r="F38" s="10">
        <v>41733</v>
      </c>
      <c r="G38" s="8"/>
      <c r="H38" s="13" t="s">
        <v>82</v>
      </c>
      <c r="I38" s="12">
        <v>-500</v>
      </c>
      <c r="J38" s="13" t="s">
        <v>21</v>
      </c>
      <c r="K38" s="13" t="s">
        <v>63</v>
      </c>
      <c r="L38" s="13" t="s">
        <v>83</v>
      </c>
      <c r="M38" s="13"/>
      <c r="N38" s="14"/>
      <c r="O38" s="14">
        <f t="shared" si="0"/>
        <v>-500</v>
      </c>
      <c r="P38" s="15">
        <f t="shared" si="1"/>
        <v>41733</v>
      </c>
      <c r="Q38" s="15"/>
      <c r="R38" s="16"/>
      <c r="S38" s="16"/>
    </row>
    <row r="39" spans="1:19" x14ac:dyDescent="0.25">
      <c r="A39" s="8" t="s">
        <v>16</v>
      </c>
      <c r="B39" s="8" t="s">
        <v>17</v>
      </c>
      <c r="C39" s="36" t="s">
        <v>18</v>
      </c>
      <c r="D39" s="8">
        <v>2014</v>
      </c>
      <c r="E39" s="21" t="s">
        <v>42</v>
      </c>
      <c r="F39" s="10">
        <v>41733</v>
      </c>
      <c r="G39" s="8"/>
      <c r="H39" s="11" t="s">
        <v>84</v>
      </c>
      <c r="I39" s="12"/>
      <c r="J39" s="13" t="s">
        <v>21</v>
      </c>
      <c r="K39" s="13" t="s">
        <v>56</v>
      </c>
      <c r="L39" s="13" t="s">
        <v>85</v>
      </c>
      <c r="M39" s="13"/>
      <c r="N39" s="14"/>
      <c r="O39" s="14">
        <f t="shared" si="0"/>
        <v>0</v>
      </c>
      <c r="P39" s="15">
        <f t="shared" si="1"/>
        <v>41733</v>
      </c>
      <c r="Q39" s="15"/>
      <c r="R39" s="16"/>
      <c r="S39" s="16"/>
    </row>
    <row r="40" spans="1:19" x14ac:dyDescent="0.25">
      <c r="A40" s="8" t="s">
        <v>16</v>
      </c>
      <c r="B40" s="8" t="s">
        <v>17</v>
      </c>
      <c r="C40" s="36" t="s">
        <v>18</v>
      </c>
      <c r="D40" s="8">
        <v>2014</v>
      </c>
      <c r="E40" s="21" t="s">
        <v>42</v>
      </c>
      <c r="F40" s="10">
        <v>41733</v>
      </c>
      <c r="G40" s="8"/>
      <c r="H40" s="11" t="s">
        <v>86</v>
      </c>
      <c r="I40" s="12"/>
      <c r="J40" s="13" t="s">
        <v>21</v>
      </c>
      <c r="K40" s="13" t="s">
        <v>56</v>
      </c>
      <c r="L40" s="13" t="s">
        <v>85</v>
      </c>
      <c r="M40" s="13"/>
      <c r="N40" s="14"/>
      <c r="O40" s="14">
        <f t="shared" si="0"/>
        <v>0</v>
      </c>
      <c r="P40" s="15">
        <f t="shared" si="1"/>
        <v>41733</v>
      </c>
      <c r="Q40" s="15"/>
      <c r="R40" s="16"/>
      <c r="S40" s="16"/>
    </row>
    <row r="41" spans="1:19" x14ac:dyDescent="0.25">
      <c r="A41" s="23" t="s">
        <v>16</v>
      </c>
      <c r="B41" s="23" t="s">
        <v>17</v>
      </c>
      <c r="C41" s="23" t="s">
        <v>46</v>
      </c>
      <c r="D41" s="8">
        <v>2014</v>
      </c>
      <c r="E41" s="21" t="s">
        <v>42</v>
      </c>
      <c r="F41" s="22">
        <v>41733</v>
      </c>
      <c r="G41" s="23"/>
      <c r="H41" s="13" t="s">
        <v>87</v>
      </c>
      <c r="I41" s="12">
        <v>-15000</v>
      </c>
      <c r="J41" s="13" t="s">
        <v>68</v>
      </c>
      <c r="K41" s="13"/>
      <c r="L41" s="13"/>
      <c r="M41" s="13"/>
      <c r="N41" s="31"/>
      <c r="O41" s="14">
        <f t="shared" si="0"/>
        <v>-15000</v>
      </c>
      <c r="P41" s="15">
        <f t="shared" si="1"/>
        <v>41733</v>
      </c>
      <c r="Q41" s="15"/>
      <c r="R41" s="16"/>
      <c r="S41" s="16"/>
    </row>
    <row r="42" spans="1:19" x14ac:dyDescent="0.25">
      <c r="A42" s="8" t="s">
        <v>16</v>
      </c>
      <c r="B42" s="8" t="s">
        <v>17</v>
      </c>
      <c r="C42" s="36" t="s">
        <v>51</v>
      </c>
      <c r="D42" s="8">
        <v>2014</v>
      </c>
      <c r="E42" s="21" t="s">
        <v>42</v>
      </c>
      <c r="F42" s="10">
        <v>41734</v>
      </c>
      <c r="G42" s="8">
        <v>11651</v>
      </c>
      <c r="H42" s="17" t="s">
        <v>88</v>
      </c>
      <c r="I42" s="12">
        <v>170</v>
      </c>
      <c r="J42" s="13" t="s">
        <v>53</v>
      </c>
      <c r="K42" s="13" t="s">
        <v>54</v>
      </c>
      <c r="L42" s="13"/>
      <c r="M42" s="13"/>
      <c r="N42" s="14"/>
      <c r="O42" s="14">
        <f t="shared" si="0"/>
        <v>170</v>
      </c>
      <c r="P42" s="15">
        <f t="shared" si="1"/>
        <v>41734</v>
      </c>
      <c r="Q42" s="15"/>
      <c r="R42" s="16"/>
      <c r="S42" s="16"/>
    </row>
    <row r="43" spans="1:19" x14ac:dyDescent="0.25">
      <c r="A43" s="8" t="s">
        <v>16</v>
      </c>
      <c r="B43" s="8" t="s">
        <v>17</v>
      </c>
      <c r="C43" s="8" t="s">
        <v>18</v>
      </c>
      <c r="D43" s="8">
        <v>2014</v>
      </c>
      <c r="E43" s="21" t="s">
        <v>42</v>
      </c>
      <c r="F43" s="10">
        <v>41734</v>
      </c>
      <c r="G43" s="8"/>
      <c r="H43" s="17" t="s">
        <v>89</v>
      </c>
      <c r="I43" s="12">
        <f>-50-300</f>
        <v>-350</v>
      </c>
      <c r="J43" s="13" t="s">
        <v>38</v>
      </c>
      <c r="K43" s="13" t="s">
        <v>90</v>
      </c>
      <c r="L43" s="13" t="s">
        <v>91</v>
      </c>
      <c r="M43" s="13"/>
      <c r="N43" s="14"/>
      <c r="O43" s="14">
        <f t="shared" si="0"/>
        <v>-350</v>
      </c>
      <c r="P43" s="15">
        <f t="shared" si="1"/>
        <v>41734</v>
      </c>
      <c r="Q43" s="15"/>
      <c r="R43" s="16"/>
      <c r="S43" s="16"/>
    </row>
    <row r="44" spans="1:19" x14ac:dyDescent="0.25">
      <c r="A44" s="8" t="s">
        <v>16</v>
      </c>
      <c r="B44" s="40" t="s">
        <v>17</v>
      </c>
      <c r="C44" s="8" t="s">
        <v>18</v>
      </c>
      <c r="D44" s="8">
        <v>2014</v>
      </c>
      <c r="E44" s="21" t="s">
        <v>42</v>
      </c>
      <c r="F44" s="10">
        <v>41734</v>
      </c>
      <c r="G44" s="8"/>
      <c r="H44" s="17" t="s">
        <v>92</v>
      </c>
      <c r="I44" s="12">
        <v>-5000</v>
      </c>
      <c r="J44" s="13" t="s">
        <v>38</v>
      </c>
      <c r="K44" s="13" t="s">
        <v>93</v>
      </c>
      <c r="L44" s="13" t="s">
        <v>94</v>
      </c>
      <c r="M44" s="13" t="s">
        <v>95</v>
      </c>
      <c r="N44" s="14"/>
      <c r="O44" s="14">
        <f t="shared" si="0"/>
        <v>-5000</v>
      </c>
      <c r="P44" s="15">
        <f t="shared" si="1"/>
        <v>41734</v>
      </c>
      <c r="Q44" s="15"/>
      <c r="R44" s="16"/>
      <c r="S44" s="16"/>
    </row>
    <row r="45" spans="1:19" x14ac:dyDescent="0.25">
      <c r="A45" s="8" t="s">
        <v>16</v>
      </c>
      <c r="B45" s="40" t="s">
        <v>17</v>
      </c>
      <c r="C45" s="8" t="s">
        <v>18</v>
      </c>
      <c r="D45" s="8">
        <v>2014</v>
      </c>
      <c r="E45" s="21" t="s">
        <v>42</v>
      </c>
      <c r="F45" s="10">
        <v>41734</v>
      </c>
      <c r="G45" s="8"/>
      <c r="H45" s="17" t="s">
        <v>96</v>
      </c>
      <c r="I45" s="12">
        <f>-4000-600</f>
        <v>-4600</v>
      </c>
      <c r="J45" s="13" t="s">
        <v>38</v>
      </c>
      <c r="K45" s="13" t="s">
        <v>93</v>
      </c>
      <c r="L45" s="13" t="s">
        <v>94</v>
      </c>
      <c r="M45" s="13" t="s">
        <v>95</v>
      </c>
      <c r="N45" s="14"/>
      <c r="O45" s="14">
        <f t="shared" si="0"/>
        <v>-4600</v>
      </c>
      <c r="P45" s="15">
        <f t="shared" si="1"/>
        <v>41734</v>
      </c>
      <c r="Q45" s="15"/>
      <c r="R45" s="16"/>
      <c r="S45" s="16"/>
    </row>
    <row r="46" spans="1:19" x14ac:dyDescent="0.25">
      <c r="A46" s="8" t="s">
        <v>16</v>
      </c>
      <c r="B46" s="40" t="s">
        <v>17</v>
      </c>
      <c r="C46" s="8" t="s">
        <v>18</v>
      </c>
      <c r="D46" s="8">
        <v>2014</v>
      </c>
      <c r="E46" s="21" t="s">
        <v>42</v>
      </c>
      <c r="F46" s="10">
        <v>41734</v>
      </c>
      <c r="G46" s="8"/>
      <c r="H46" s="17" t="s">
        <v>97</v>
      </c>
      <c r="I46" s="12">
        <v>-1500</v>
      </c>
      <c r="J46" s="13" t="s">
        <v>38</v>
      </c>
      <c r="K46" s="13" t="s">
        <v>93</v>
      </c>
      <c r="L46" s="13" t="s">
        <v>94</v>
      </c>
      <c r="M46" s="13"/>
      <c r="N46" s="14"/>
      <c r="O46" s="14">
        <f t="shared" si="0"/>
        <v>-1500</v>
      </c>
      <c r="P46" s="15">
        <f t="shared" si="1"/>
        <v>41734</v>
      </c>
      <c r="Q46" s="15"/>
      <c r="R46" s="16"/>
      <c r="S46" s="16"/>
    </row>
    <row r="47" spans="1:19" x14ac:dyDescent="0.25">
      <c r="A47" s="8" t="s">
        <v>16</v>
      </c>
      <c r="B47" s="40" t="s">
        <v>17</v>
      </c>
      <c r="C47" s="8" t="s">
        <v>18</v>
      </c>
      <c r="D47" s="8">
        <v>2014</v>
      </c>
      <c r="E47" s="21" t="s">
        <v>42</v>
      </c>
      <c r="F47" s="10">
        <v>41734</v>
      </c>
      <c r="G47" s="8"/>
      <c r="H47" s="17" t="s">
        <v>98</v>
      </c>
      <c r="I47" s="12">
        <v>-3000</v>
      </c>
      <c r="J47" s="13" t="s">
        <v>38</v>
      </c>
      <c r="K47" s="13" t="s">
        <v>90</v>
      </c>
      <c r="L47" s="13" t="s">
        <v>94</v>
      </c>
      <c r="M47" s="13"/>
      <c r="N47" s="14"/>
      <c r="O47" s="14">
        <f t="shared" si="0"/>
        <v>-3000</v>
      </c>
      <c r="P47" s="15">
        <f t="shared" si="1"/>
        <v>41734</v>
      </c>
      <c r="Q47" s="15"/>
      <c r="R47" s="16"/>
      <c r="S47" s="16"/>
    </row>
    <row r="48" spans="1:19" x14ac:dyDescent="0.25">
      <c r="A48" s="8" t="s">
        <v>16</v>
      </c>
      <c r="B48" s="40" t="s">
        <v>17</v>
      </c>
      <c r="C48" s="8" t="s">
        <v>18</v>
      </c>
      <c r="D48" s="8">
        <v>2014</v>
      </c>
      <c r="E48" s="21" t="s">
        <v>42</v>
      </c>
      <c r="F48" s="10">
        <v>41734</v>
      </c>
      <c r="G48" s="8"/>
      <c r="H48" s="17" t="s">
        <v>99</v>
      </c>
      <c r="I48" s="12">
        <v>-2000</v>
      </c>
      <c r="J48" s="13" t="s">
        <v>38</v>
      </c>
      <c r="K48" s="13" t="s">
        <v>93</v>
      </c>
      <c r="L48" s="13" t="s">
        <v>94</v>
      </c>
      <c r="M48" s="13" t="s">
        <v>100</v>
      </c>
      <c r="N48" s="14"/>
      <c r="O48" s="14">
        <f t="shared" si="0"/>
        <v>-2000</v>
      </c>
      <c r="P48" s="15">
        <f t="shared" si="1"/>
        <v>41734</v>
      </c>
      <c r="Q48" s="15"/>
      <c r="R48" s="16"/>
      <c r="S48" s="16"/>
    </row>
    <row r="49" spans="1:19" x14ac:dyDescent="0.25">
      <c r="A49" s="8" t="s">
        <v>16</v>
      </c>
      <c r="B49" s="8" t="s">
        <v>17</v>
      </c>
      <c r="C49" s="36" t="s">
        <v>18</v>
      </c>
      <c r="D49" s="8">
        <v>2014</v>
      </c>
      <c r="E49" s="21" t="s">
        <v>42</v>
      </c>
      <c r="F49" s="10">
        <v>41734</v>
      </c>
      <c r="G49" s="8"/>
      <c r="H49" s="17" t="s">
        <v>101</v>
      </c>
      <c r="I49" s="12">
        <v>-1500</v>
      </c>
      <c r="J49" s="13" t="s">
        <v>38</v>
      </c>
      <c r="K49" s="13" t="s">
        <v>90</v>
      </c>
      <c r="L49" s="13" t="s">
        <v>102</v>
      </c>
      <c r="M49" s="13"/>
      <c r="N49" s="14"/>
      <c r="O49" s="14">
        <f t="shared" si="0"/>
        <v>-1500</v>
      </c>
      <c r="P49" s="15">
        <f t="shared" si="1"/>
        <v>41734</v>
      </c>
      <c r="Q49" s="15"/>
      <c r="R49" s="16"/>
      <c r="S49" s="16"/>
    </row>
    <row r="50" spans="1:19" x14ac:dyDescent="0.25">
      <c r="A50" s="8" t="s">
        <v>16</v>
      </c>
      <c r="B50" s="8" t="s">
        <v>17</v>
      </c>
      <c r="C50" s="8" t="s">
        <v>18</v>
      </c>
      <c r="D50" s="8">
        <v>2014</v>
      </c>
      <c r="E50" s="21" t="s">
        <v>42</v>
      </c>
      <c r="F50" s="10">
        <v>41734</v>
      </c>
      <c r="G50" s="8"/>
      <c r="H50" s="13" t="s">
        <v>103</v>
      </c>
      <c r="I50" s="12">
        <v>-1309</v>
      </c>
      <c r="J50" s="13" t="s">
        <v>38</v>
      </c>
      <c r="K50" s="13" t="s">
        <v>90</v>
      </c>
      <c r="L50" s="13" t="s">
        <v>104</v>
      </c>
      <c r="M50" s="13" t="s">
        <v>105</v>
      </c>
      <c r="N50" s="14"/>
      <c r="O50" s="14">
        <f t="shared" si="0"/>
        <v>-1309</v>
      </c>
      <c r="P50" s="15">
        <f t="shared" si="1"/>
        <v>41734</v>
      </c>
      <c r="Q50" s="15"/>
      <c r="R50" s="35"/>
      <c r="S50" s="27"/>
    </row>
    <row r="51" spans="1:19" x14ac:dyDescent="0.25">
      <c r="A51" s="8" t="s">
        <v>16</v>
      </c>
      <c r="B51" s="8" t="s">
        <v>17</v>
      </c>
      <c r="C51" s="8" t="s">
        <v>18</v>
      </c>
      <c r="D51" s="8">
        <v>2014</v>
      </c>
      <c r="E51" s="21" t="s">
        <v>42</v>
      </c>
      <c r="F51" s="10">
        <v>41734</v>
      </c>
      <c r="G51" s="8"/>
      <c r="H51" s="13" t="s">
        <v>106</v>
      </c>
      <c r="I51" s="12">
        <v>-15000</v>
      </c>
      <c r="J51" s="13" t="s">
        <v>38</v>
      </c>
      <c r="K51" s="13" t="s">
        <v>93</v>
      </c>
      <c r="L51" s="13" t="s">
        <v>107</v>
      </c>
      <c r="M51" s="13" t="s">
        <v>105</v>
      </c>
      <c r="N51" s="14"/>
      <c r="O51" s="14">
        <f t="shared" si="0"/>
        <v>-15000</v>
      </c>
      <c r="P51" s="15">
        <f t="shared" si="1"/>
        <v>41734</v>
      </c>
      <c r="Q51" s="15"/>
      <c r="R51" s="35"/>
      <c r="S51" s="27"/>
    </row>
    <row r="52" spans="1:19" x14ac:dyDescent="0.25">
      <c r="A52" s="8" t="s">
        <v>16</v>
      </c>
      <c r="B52" s="8" t="s">
        <v>17</v>
      </c>
      <c r="C52" s="36" t="s">
        <v>51</v>
      </c>
      <c r="D52" s="8">
        <v>2014</v>
      </c>
      <c r="E52" s="21" t="s">
        <v>42</v>
      </c>
      <c r="F52" s="10">
        <v>41734</v>
      </c>
      <c r="G52" s="8">
        <v>11652</v>
      </c>
      <c r="H52" s="11" t="s">
        <v>108</v>
      </c>
      <c r="I52" s="12">
        <v>300</v>
      </c>
      <c r="J52" s="13" t="s">
        <v>53</v>
      </c>
      <c r="K52" s="13" t="s">
        <v>54</v>
      </c>
      <c r="L52" s="13"/>
      <c r="M52" s="13"/>
      <c r="N52" s="14"/>
      <c r="O52" s="14">
        <f t="shared" si="0"/>
        <v>300</v>
      </c>
      <c r="P52" s="15">
        <f t="shared" si="1"/>
        <v>41734</v>
      </c>
      <c r="Q52" s="15"/>
      <c r="R52" s="16"/>
      <c r="S52" s="16"/>
    </row>
    <row r="53" spans="1:19" x14ac:dyDescent="0.25">
      <c r="A53" s="8" t="s">
        <v>16</v>
      </c>
      <c r="B53" s="8" t="s">
        <v>17</v>
      </c>
      <c r="C53" s="36" t="s">
        <v>51</v>
      </c>
      <c r="D53" s="8">
        <v>2014</v>
      </c>
      <c r="E53" s="21" t="s">
        <v>42</v>
      </c>
      <c r="F53" s="10">
        <v>41734</v>
      </c>
      <c r="G53" s="8">
        <v>11654</v>
      </c>
      <c r="H53" s="11" t="s">
        <v>109</v>
      </c>
      <c r="I53" s="12">
        <v>200</v>
      </c>
      <c r="J53" s="13" t="s">
        <v>53</v>
      </c>
      <c r="K53" s="13" t="s">
        <v>54</v>
      </c>
      <c r="L53" s="13"/>
      <c r="M53" s="13"/>
      <c r="N53" s="14"/>
      <c r="O53" s="14">
        <f t="shared" si="0"/>
        <v>200</v>
      </c>
      <c r="P53" s="15">
        <f t="shared" si="1"/>
        <v>41734</v>
      </c>
      <c r="Q53" s="15"/>
      <c r="R53" s="16"/>
      <c r="S53" s="16"/>
    </row>
    <row r="54" spans="1:19" x14ac:dyDescent="0.25">
      <c r="A54" s="8" t="s">
        <v>16</v>
      </c>
      <c r="B54" s="8" t="s">
        <v>17</v>
      </c>
      <c r="C54" s="36" t="s">
        <v>18</v>
      </c>
      <c r="D54" s="8">
        <v>2014</v>
      </c>
      <c r="E54" s="21" t="s">
        <v>42</v>
      </c>
      <c r="F54" s="10">
        <v>41734</v>
      </c>
      <c r="G54" s="8"/>
      <c r="H54" s="17" t="s">
        <v>110</v>
      </c>
      <c r="I54" s="12">
        <v>-124</v>
      </c>
      <c r="J54" s="13" t="s">
        <v>21</v>
      </c>
      <c r="K54" s="13" t="s">
        <v>56</v>
      </c>
      <c r="L54" s="13" t="s">
        <v>111</v>
      </c>
      <c r="M54" s="13" t="s">
        <v>28</v>
      </c>
      <c r="N54" s="14"/>
      <c r="O54" s="14">
        <f t="shared" si="0"/>
        <v>-124</v>
      </c>
      <c r="P54" s="15">
        <f t="shared" si="1"/>
        <v>41734</v>
      </c>
      <c r="Q54" s="15"/>
      <c r="R54" s="16"/>
      <c r="S54" s="16"/>
    </row>
    <row r="55" spans="1:19" x14ac:dyDescent="0.25">
      <c r="A55" s="8" t="s">
        <v>16</v>
      </c>
      <c r="B55" s="8" t="s">
        <v>17</v>
      </c>
      <c r="C55" s="8" t="s">
        <v>46</v>
      </c>
      <c r="D55" s="8">
        <v>2014</v>
      </c>
      <c r="E55" s="21" t="s">
        <v>42</v>
      </c>
      <c r="F55" s="10">
        <v>41734</v>
      </c>
      <c r="G55" s="8"/>
      <c r="H55" s="17" t="s">
        <v>112</v>
      </c>
      <c r="I55" s="12">
        <v>-7500</v>
      </c>
      <c r="J55" s="13" t="s">
        <v>48</v>
      </c>
      <c r="K55" s="13" t="s">
        <v>113</v>
      </c>
      <c r="L55" s="13" t="s">
        <v>114</v>
      </c>
      <c r="M55" s="13"/>
      <c r="N55" s="14"/>
      <c r="O55" s="14">
        <f t="shared" si="0"/>
        <v>-7500</v>
      </c>
      <c r="P55" s="15">
        <f t="shared" si="1"/>
        <v>41734</v>
      </c>
      <c r="Q55" s="15"/>
      <c r="R55" s="16"/>
      <c r="S55" s="16"/>
    </row>
    <row r="56" spans="1:19" x14ac:dyDescent="0.25">
      <c r="A56" s="8" t="s">
        <v>16</v>
      </c>
      <c r="B56" s="8" t="s">
        <v>17</v>
      </c>
      <c r="C56" s="36" t="s">
        <v>18</v>
      </c>
      <c r="D56" s="8">
        <v>2014</v>
      </c>
      <c r="E56" s="21" t="s">
        <v>42</v>
      </c>
      <c r="F56" s="10">
        <v>41734</v>
      </c>
      <c r="G56" s="8"/>
      <c r="H56" s="17" t="s">
        <v>110</v>
      </c>
      <c r="I56" s="12">
        <f>-20-120</f>
        <v>-140</v>
      </c>
      <c r="J56" s="13" t="s">
        <v>21</v>
      </c>
      <c r="K56" s="13" t="s">
        <v>56</v>
      </c>
      <c r="L56" s="13" t="s">
        <v>111</v>
      </c>
      <c r="M56" s="13" t="s">
        <v>28</v>
      </c>
      <c r="N56" s="14"/>
      <c r="O56" s="14">
        <f t="shared" si="0"/>
        <v>-140</v>
      </c>
      <c r="P56" s="15">
        <f t="shared" si="1"/>
        <v>41734</v>
      </c>
      <c r="Q56" s="15"/>
      <c r="R56" s="16"/>
      <c r="S56" s="16"/>
    </row>
    <row r="57" spans="1:19" x14ac:dyDescent="0.25">
      <c r="A57" s="8" t="s">
        <v>16</v>
      </c>
      <c r="B57" s="8" t="s">
        <v>17</v>
      </c>
      <c r="C57" s="36" t="s">
        <v>18</v>
      </c>
      <c r="D57" s="8">
        <v>2014</v>
      </c>
      <c r="E57" s="21" t="s">
        <v>42</v>
      </c>
      <c r="F57" s="10">
        <v>41734</v>
      </c>
      <c r="G57" s="8"/>
      <c r="H57" s="17" t="s">
        <v>55</v>
      </c>
      <c r="I57" s="12">
        <f>-400-250</f>
        <v>-650</v>
      </c>
      <c r="J57" s="13" t="s">
        <v>21</v>
      </c>
      <c r="K57" s="13" t="s">
        <v>56</v>
      </c>
      <c r="L57" s="13" t="s">
        <v>57</v>
      </c>
      <c r="M57" s="13" t="s">
        <v>28</v>
      </c>
      <c r="N57" s="14"/>
      <c r="O57" s="14">
        <f t="shared" si="0"/>
        <v>-650</v>
      </c>
      <c r="P57" s="15">
        <f t="shared" si="1"/>
        <v>41734</v>
      </c>
      <c r="Q57" s="15"/>
      <c r="R57" s="16"/>
      <c r="S57" s="16"/>
    </row>
    <row r="58" spans="1:19" x14ac:dyDescent="0.25">
      <c r="A58" s="8" t="s">
        <v>16</v>
      </c>
      <c r="B58" s="8" t="s">
        <v>17</v>
      </c>
      <c r="C58" s="8" t="s">
        <v>18</v>
      </c>
      <c r="D58" s="8">
        <v>2014</v>
      </c>
      <c r="E58" s="21" t="s">
        <v>42</v>
      </c>
      <c r="F58" s="10">
        <v>41734</v>
      </c>
      <c r="G58" s="8"/>
      <c r="H58" s="17" t="s">
        <v>115</v>
      </c>
      <c r="I58" s="12">
        <f>-4920-100</f>
        <v>-5020</v>
      </c>
      <c r="J58" s="13" t="s">
        <v>38</v>
      </c>
      <c r="K58" s="13" t="s">
        <v>90</v>
      </c>
      <c r="L58" s="13" t="s">
        <v>91</v>
      </c>
      <c r="M58" s="13"/>
      <c r="N58" s="14"/>
      <c r="O58" s="14">
        <f t="shared" si="0"/>
        <v>-5020</v>
      </c>
      <c r="P58" s="15">
        <f t="shared" si="1"/>
        <v>41734</v>
      </c>
      <c r="Q58" s="15"/>
      <c r="R58" s="16"/>
      <c r="S58" s="16"/>
    </row>
    <row r="59" spans="1:19" x14ac:dyDescent="0.25">
      <c r="A59" s="8" t="s">
        <v>16</v>
      </c>
      <c r="B59" s="8" t="s">
        <v>17</v>
      </c>
      <c r="C59" s="36" t="s">
        <v>18</v>
      </c>
      <c r="D59" s="8">
        <v>2014</v>
      </c>
      <c r="E59" s="21" t="s">
        <v>42</v>
      </c>
      <c r="F59" s="10">
        <v>41734</v>
      </c>
      <c r="G59" s="8"/>
      <c r="H59" s="17" t="s">
        <v>110</v>
      </c>
      <c r="I59" s="12">
        <f>-12-20-20-20-20-20-80-80-270-70</f>
        <v>-612</v>
      </c>
      <c r="J59" s="13" t="s">
        <v>21</v>
      </c>
      <c r="K59" s="13" t="s">
        <v>56</v>
      </c>
      <c r="L59" s="13" t="s">
        <v>111</v>
      </c>
      <c r="M59" s="13" t="s">
        <v>28</v>
      </c>
      <c r="N59" s="14"/>
      <c r="O59" s="14">
        <f t="shared" si="0"/>
        <v>-612</v>
      </c>
      <c r="P59" s="15">
        <f t="shared" si="1"/>
        <v>41734</v>
      </c>
      <c r="Q59" s="15"/>
      <c r="R59" s="16"/>
      <c r="S59" s="16"/>
    </row>
    <row r="60" spans="1:19" x14ac:dyDescent="0.25">
      <c r="A60" s="8" t="s">
        <v>16</v>
      </c>
      <c r="B60" s="8" t="s">
        <v>17</v>
      </c>
      <c r="C60" s="8" t="s">
        <v>18</v>
      </c>
      <c r="D60" s="8">
        <v>2014</v>
      </c>
      <c r="E60" s="21" t="s">
        <v>42</v>
      </c>
      <c r="F60" s="10">
        <v>41734</v>
      </c>
      <c r="G60" s="8"/>
      <c r="H60" s="17" t="s">
        <v>116</v>
      </c>
      <c r="I60" s="12">
        <v>-350</v>
      </c>
      <c r="J60" s="13" t="s">
        <v>38</v>
      </c>
      <c r="K60" s="13" t="s">
        <v>90</v>
      </c>
      <c r="L60" s="13" t="s">
        <v>91</v>
      </c>
      <c r="M60" s="13"/>
      <c r="N60" s="14"/>
      <c r="O60" s="14">
        <f t="shared" si="0"/>
        <v>-350</v>
      </c>
      <c r="P60" s="15">
        <f t="shared" si="1"/>
        <v>41734</v>
      </c>
      <c r="Q60" s="15"/>
      <c r="R60" s="16"/>
      <c r="S60" s="16"/>
    </row>
    <row r="61" spans="1:19" x14ac:dyDescent="0.25">
      <c r="A61" s="8" t="s">
        <v>16</v>
      </c>
      <c r="B61" s="8" t="s">
        <v>17</v>
      </c>
      <c r="C61" s="8" t="s">
        <v>18</v>
      </c>
      <c r="D61" s="8">
        <v>2014</v>
      </c>
      <c r="E61" s="21" t="s">
        <v>42</v>
      </c>
      <c r="F61" s="10">
        <v>41734</v>
      </c>
      <c r="G61" s="8"/>
      <c r="H61" s="17" t="s">
        <v>117</v>
      </c>
      <c r="I61" s="12">
        <v>-200</v>
      </c>
      <c r="J61" s="13" t="s">
        <v>38</v>
      </c>
      <c r="K61" s="13" t="s">
        <v>90</v>
      </c>
      <c r="L61" s="13" t="s">
        <v>91</v>
      </c>
      <c r="M61" s="13"/>
      <c r="N61" s="14"/>
      <c r="O61" s="14">
        <f t="shared" si="0"/>
        <v>-200</v>
      </c>
      <c r="P61" s="15">
        <f t="shared" si="1"/>
        <v>41734</v>
      </c>
      <c r="Q61" s="15"/>
      <c r="R61" s="16"/>
      <c r="S61" s="16"/>
    </row>
    <row r="62" spans="1:19" x14ac:dyDescent="0.25">
      <c r="A62" s="8" t="s">
        <v>16</v>
      </c>
      <c r="B62" s="8" t="s">
        <v>17</v>
      </c>
      <c r="C62" s="36" t="s">
        <v>51</v>
      </c>
      <c r="D62" s="8">
        <v>2014</v>
      </c>
      <c r="E62" s="21" t="s">
        <v>42</v>
      </c>
      <c r="F62" s="10">
        <v>41735</v>
      </c>
      <c r="G62" s="8">
        <v>11655</v>
      </c>
      <c r="H62" s="11" t="s">
        <v>118</v>
      </c>
      <c r="I62" s="12">
        <v>300</v>
      </c>
      <c r="J62" s="13" t="s">
        <v>53</v>
      </c>
      <c r="K62" s="13" t="s">
        <v>54</v>
      </c>
      <c r="L62" s="13"/>
      <c r="M62" s="13"/>
      <c r="N62" s="14"/>
      <c r="O62" s="14">
        <f t="shared" si="0"/>
        <v>300</v>
      </c>
      <c r="P62" s="15">
        <f t="shared" si="1"/>
        <v>41735</v>
      </c>
      <c r="Q62" s="15"/>
      <c r="R62" s="16"/>
      <c r="S62" s="16"/>
    </row>
    <row r="63" spans="1:19" x14ac:dyDescent="0.25">
      <c r="A63" s="8" t="s">
        <v>16</v>
      </c>
      <c r="B63" s="8" t="s">
        <v>17</v>
      </c>
      <c r="C63" s="36" t="s">
        <v>51</v>
      </c>
      <c r="D63" s="8">
        <v>2014</v>
      </c>
      <c r="E63" s="21" t="s">
        <v>42</v>
      </c>
      <c r="F63" s="10">
        <v>41735</v>
      </c>
      <c r="G63" s="8">
        <v>11656</v>
      </c>
      <c r="H63" s="11" t="s">
        <v>119</v>
      </c>
      <c r="I63" s="12">
        <v>1000</v>
      </c>
      <c r="J63" s="13" t="s">
        <v>53</v>
      </c>
      <c r="K63" s="13" t="s">
        <v>54</v>
      </c>
      <c r="L63" s="13"/>
      <c r="M63" s="13"/>
      <c r="N63" s="14"/>
      <c r="O63" s="14">
        <f t="shared" si="0"/>
        <v>1000</v>
      </c>
      <c r="P63" s="15">
        <f t="shared" si="1"/>
        <v>41735</v>
      </c>
      <c r="Q63" s="15"/>
      <c r="R63" s="16"/>
      <c r="S63" s="16"/>
    </row>
    <row r="64" spans="1:19" x14ac:dyDescent="0.25">
      <c r="A64" s="8" t="s">
        <v>16</v>
      </c>
      <c r="B64" s="8" t="s">
        <v>17</v>
      </c>
      <c r="C64" s="36" t="s">
        <v>18</v>
      </c>
      <c r="D64" s="8">
        <v>2014</v>
      </c>
      <c r="E64" s="21" t="s">
        <v>42</v>
      </c>
      <c r="F64" s="10">
        <v>41736</v>
      </c>
      <c r="G64" s="8"/>
      <c r="H64" s="17" t="s">
        <v>120</v>
      </c>
      <c r="I64" s="12">
        <f>-18-70</f>
        <v>-88</v>
      </c>
      <c r="J64" s="13" t="s">
        <v>21</v>
      </c>
      <c r="K64" s="13" t="s">
        <v>22</v>
      </c>
      <c r="L64" s="13" t="s">
        <v>121</v>
      </c>
      <c r="M64" s="13"/>
      <c r="N64" s="14"/>
      <c r="O64" s="14">
        <f t="shared" si="0"/>
        <v>-88</v>
      </c>
      <c r="P64" s="15">
        <f t="shared" si="1"/>
        <v>41736</v>
      </c>
      <c r="Q64" s="15"/>
      <c r="R64" s="16"/>
      <c r="S64" s="16"/>
    </row>
    <row r="65" spans="1:19" x14ac:dyDescent="0.25">
      <c r="A65" s="8" t="s">
        <v>16</v>
      </c>
      <c r="B65" s="8" t="s">
        <v>17</v>
      </c>
      <c r="C65" s="36" t="s">
        <v>18</v>
      </c>
      <c r="D65" s="8">
        <v>2014</v>
      </c>
      <c r="E65" s="21" t="s">
        <v>42</v>
      </c>
      <c r="F65" s="10">
        <v>41736</v>
      </c>
      <c r="G65" s="8"/>
      <c r="H65" s="13" t="s">
        <v>122</v>
      </c>
      <c r="I65" s="12">
        <v>-7000</v>
      </c>
      <c r="J65" s="37" t="s">
        <v>33</v>
      </c>
      <c r="K65" s="13" t="s">
        <v>123</v>
      </c>
      <c r="L65" s="13" t="s">
        <v>124</v>
      </c>
      <c r="M65" s="18" t="s">
        <v>125</v>
      </c>
      <c r="N65" s="14"/>
      <c r="O65" s="14">
        <f t="shared" si="0"/>
        <v>-7000</v>
      </c>
      <c r="P65" s="15">
        <f t="shared" si="1"/>
        <v>41736</v>
      </c>
      <c r="Q65" s="15"/>
      <c r="R65" s="16"/>
      <c r="S65" s="16"/>
    </row>
    <row r="66" spans="1:19" x14ac:dyDescent="0.25">
      <c r="A66" s="8" t="s">
        <v>16</v>
      </c>
      <c r="B66" s="8" t="s">
        <v>17</v>
      </c>
      <c r="C66" s="8" t="s">
        <v>18</v>
      </c>
      <c r="D66" s="8">
        <v>2014</v>
      </c>
      <c r="E66" s="21" t="s">
        <v>42</v>
      </c>
      <c r="F66" s="10">
        <v>41736</v>
      </c>
      <c r="G66" s="8"/>
      <c r="H66" s="11" t="s">
        <v>126</v>
      </c>
      <c r="I66" s="12">
        <v>-230</v>
      </c>
      <c r="J66" s="13" t="s">
        <v>21</v>
      </c>
      <c r="K66" s="13" t="s">
        <v>25</v>
      </c>
      <c r="L66" s="13" t="s">
        <v>26</v>
      </c>
      <c r="M66" s="13" t="s">
        <v>127</v>
      </c>
      <c r="N66" s="14"/>
      <c r="O66" s="14">
        <f t="shared" ref="O66:O129" si="2">IF(B66="$",I66,I66/N66)</f>
        <v>-230</v>
      </c>
      <c r="P66" s="15">
        <f t="shared" ref="P66:P129" si="3">F66</f>
        <v>41736</v>
      </c>
      <c r="Q66" s="15"/>
      <c r="R66" s="16"/>
      <c r="S66" s="16"/>
    </row>
    <row r="67" spans="1:19" x14ac:dyDescent="0.25">
      <c r="A67" s="8" t="s">
        <v>16</v>
      </c>
      <c r="B67" s="8" t="s">
        <v>17</v>
      </c>
      <c r="C67" s="8" t="s">
        <v>18</v>
      </c>
      <c r="D67" s="8">
        <v>2014</v>
      </c>
      <c r="E67" s="21" t="s">
        <v>42</v>
      </c>
      <c r="F67" s="10">
        <v>41736</v>
      </c>
      <c r="G67" s="8"/>
      <c r="H67" s="17" t="s">
        <v>128</v>
      </c>
      <c r="I67" s="12">
        <f>-3000-300-3000</f>
        <v>-6300</v>
      </c>
      <c r="J67" s="13" t="s">
        <v>38</v>
      </c>
      <c r="K67" s="13" t="s">
        <v>93</v>
      </c>
      <c r="L67" s="13" t="s">
        <v>94</v>
      </c>
      <c r="M67" s="13" t="s">
        <v>129</v>
      </c>
      <c r="N67" s="14"/>
      <c r="O67" s="14">
        <f t="shared" si="2"/>
        <v>-6300</v>
      </c>
      <c r="P67" s="15">
        <f t="shared" si="3"/>
        <v>41736</v>
      </c>
      <c r="Q67" s="15"/>
      <c r="R67" s="16"/>
      <c r="S67" s="16"/>
    </row>
    <row r="68" spans="1:19" x14ac:dyDescent="0.25">
      <c r="A68" s="8" t="s">
        <v>16</v>
      </c>
      <c r="B68" s="8" t="s">
        <v>17</v>
      </c>
      <c r="C68" s="36" t="s">
        <v>51</v>
      </c>
      <c r="D68" s="8">
        <v>2014</v>
      </c>
      <c r="E68" s="21" t="s">
        <v>42</v>
      </c>
      <c r="F68" s="10">
        <v>41737</v>
      </c>
      <c r="G68" s="8">
        <v>11546</v>
      </c>
      <c r="H68" s="11" t="s">
        <v>130</v>
      </c>
      <c r="I68" s="12">
        <v>34000</v>
      </c>
      <c r="J68" s="13" t="s">
        <v>53</v>
      </c>
      <c r="K68" s="13" t="s">
        <v>54</v>
      </c>
      <c r="L68" s="13"/>
      <c r="M68" s="13"/>
      <c r="N68" s="14"/>
      <c r="O68" s="14">
        <f t="shared" si="2"/>
        <v>34000</v>
      </c>
      <c r="P68" s="15">
        <f t="shared" si="3"/>
        <v>41737</v>
      </c>
      <c r="Q68" s="15"/>
      <c r="R68" s="16"/>
      <c r="S68" s="16"/>
    </row>
    <row r="69" spans="1:19" x14ac:dyDescent="0.25">
      <c r="A69" s="23" t="s">
        <v>16</v>
      </c>
      <c r="B69" s="23" t="s">
        <v>17</v>
      </c>
      <c r="C69" s="23" t="s">
        <v>18</v>
      </c>
      <c r="D69" s="8">
        <v>2014</v>
      </c>
      <c r="E69" s="21" t="s">
        <v>42</v>
      </c>
      <c r="F69" s="22">
        <v>41737</v>
      </c>
      <c r="G69" s="23"/>
      <c r="H69" s="13" t="s">
        <v>55</v>
      </c>
      <c r="I69" s="12">
        <f>-150-150-550-200-365</f>
        <v>-1415</v>
      </c>
      <c r="J69" s="13" t="s">
        <v>21</v>
      </c>
      <c r="K69" s="13" t="s">
        <v>56</v>
      </c>
      <c r="L69" s="13" t="s">
        <v>57</v>
      </c>
      <c r="M69" s="13" t="s">
        <v>131</v>
      </c>
      <c r="N69" s="31"/>
      <c r="O69" s="14">
        <f t="shared" si="2"/>
        <v>-1415</v>
      </c>
      <c r="P69" s="15">
        <f t="shared" si="3"/>
        <v>41737</v>
      </c>
      <c r="Q69" s="15"/>
      <c r="R69" s="16"/>
      <c r="S69" s="16"/>
    </row>
    <row r="70" spans="1:19" x14ac:dyDescent="0.25">
      <c r="A70" s="8" t="s">
        <v>16</v>
      </c>
      <c r="B70" s="8" t="s">
        <v>17</v>
      </c>
      <c r="C70" s="36" t="s">
        <v>51</v>
      </c>
      <c r="D70" s="8">
        <v>2014</v>
      </c>
      <c r="E70" s="21" t="s">
        <v>42</v>
      </c>
      <c r="F70" s="10">
        <v>41738</v>
      </c>
      <c r="G70" s="8">
        <v>11661</v>
      </c>
      <c r="H70" s="11" t="s">
        <v>132</v>
      </c>
      <c r="I70" s="12">
        <v>15000</v>
      </c>
      <c r="J70" s="13" t="s">
        <v>53</v>
      </c>
      <c r="K70" s="13" t="s">
        <v>54</v>
      </c>
      <c r="L70" s="13"/>
      <c r="M70" s="13"/>
      <c r="N70" s="14"/>
      <c r="O70" s="14">
        <f t="shared" si="2"/>
        <v>15000</v>
      </c>
      <c r="P70" s="15">
        <f t="shared" si="3"/>
        <v>41738</v>
      </c>
      <c r="Q70" s="15"/>
      <c r="R70" s="16"/>
      <c r="S70" s="16"/>
    </row>
    <row r="71" spans="1:19" x14ac:dyDescent="0.25">
      <c r="A71" s="23" t="s">
        <v>16</v>
      </c>
      <c r="B71" s="44" t="s">
        <v>17</v>
      </c>
      <c r="C71" s="25" t="s">
        <v>18</v>
      </c>
      <c r="D71" s="8">
        <v>2014</v>
      </c>
      <c r="E71" s="21" t="s">
        <v>42</v>
      </c>
      <c r="F71" s="22">
        <v>41738</v>
      </c>
      <c r="G71" s="23"/>
      <c r="H71" s="13" t="s">
        <v>133</v>
      </c>
      <c r="I71" s="12">
        <v>-175</v>
      </c>
      <c r="J71" s="13" t="s">
        <v>21</v>
      </c>
      <c r="K71" s="13" t="s">
        <v>22</v>
      </c>
      <c r="L71" s="13" t="s">
        <v>23</v>
      </c>
      <c r="M71" s="13"/>
      <c r="N71" s="31"/>
      <c r="O71" s="14">
        <f t="shared" si="2"/>
        <v>-175</v>
      </c>
      <c r="P71" s="15">
        <f t="shared" si="3"/>
        <v>41738</v>
      </c>
      <c r="Q71" s="15"/>
      <c r="R71" s="35"/>
      <c r="S71" s="16"/>
    </row>
    <row r="72" spans="1:19" x14ac:dyDescent="0.25">
      <c r="A72" s="8" t="s">
        <v>16</v>
      </c>
      <c r="B72" s="8" t="s">
        <v>17</v>
      </c>
      <c r="C72" s="36" t="s">
        <v>51</v>
      </c>
      <c r="D72" s="8">
        <v>2014</v>
      </c>
      <c r="E72" s="21" t="s">
        <v>42</v>
      </c>
      <c r="F72" s="10">
        <v>41740</v>
      </c>
      <c r="G72" s="8">
        <v>11666</v>
      </c>
      <c r="H72" s="11" t="s">
        <v>134</v>
      </c>
      <c r="I72" s="12">
        <v>100</v>
      </c>
      <c r="J72" s="13" t="s">
        <v>53</v>
      </c>
      <c r="K72" s="13" t="s">
        <v>54</v>
      </c>
      <c r="L72" s="13"/>
      <c r="M72" s="13"/>
      <c r="N72" s="14"/>
      <c r="O72" s="14">
        <f t="shared" si="2"/>
        <v>100</v>
      </c>
      <c r="P72" s="15">
        <f t="shared" si="3"/>
        <v>41740</v>
      </c>
      <c r="Q72" s="15"/>
      <c r="R72" s="16"/>
      <c r="S72" s="16"/>
    </row>
    <row r="73" spans="1:19" x14ac:dyDescent="0.25">
      <c r="A73" s="8" t="s">
        <v>16</v>
      </c>
      <c r="B73" s="8" t="s">
        <v>17</v>
      </c>
      <c r="C73" s="36" t="s">
        <v>51</v>
      </c>
      <c r="D73" s="8">
        <v>2014</v>
      </c>
      <c r="E73" s="21" t="s">
        <v>42</v>
      </c>
      <c r="F73" s="10">
        <v>41740</v>
      </c>
      <c r="G73" s="8">
        <v>11669</v>
      </c>
      <c r="H73" s="11" t="s">
        <v>135</v>
      </c>
      <c r="I73" s="12">
        <v>5000</v>
      </c>
      <c r="J73" s="13" t="s">
        <v>53</v>
      </c>
      <c r="K73" s="13" t="s">
        <v>54</v>
      </c>
      <c r="L73" s="13"/>
      <c r="M73" s="13"/>
      <c r="N73" s="14"/>
      <c r="O73" s="14">
        <f t="shared" si="2"/>
        <v>5000</v>
      </c>
      <c r="P73" s="15">
        <f t="shared" si="3"/>
        <v>41740</v>
      </c>
      <c r="Q73" s="15"/>
      <c r="R73" s="16"/>
      <c r="S73" s="16"/>
    </row>
    <row r="74" spans="1:19" x14ac:dyDescent="0.25">
      <c r="A74" s="8" t="s">
        <v>16</v>
      </c>
      <c r="B74" s="8" t="s">
        <v>17</v>
      </c>
      <c r="C74" s="36" t="s">
        <v>18</v>
      </c>
      <c r="D74" s="8">
        <v>2014</v>
      </c>
      <c r="E74" s="21" t="s">
        <v>42</v>
      </c>
      <c r="F74" s="10">
        <v>41740</v>
      </c>
      <c r="G74" s="8"/>
      <c r="H74" s="17" t="s">
        <v>79</v>
      </c>
      <c r="I74" s="12">
        <v>-90</v>
      </c>
      <c r="J74" s="13" t="s">
        <v>21</v>
      </c>
      <c r="K74" s="13" t="s">
        <v>22</v>
      </c>
      <c r="L74" s="13" t="s">
        <v>71</v>
      </c>
      <c r="M74" s="13" t="s">
        <v>28</v>
      </c>
      <c r="N74" s="14"/>
      <c r="O74" s="14">
        <f t="shared" si="2"/>
        <v>-90</v>
      </c>
      <c r="P74" s="15">
        <f t="shared" si="3"/>
        <v>41740</v>
      </c>
      <c r="Q74" s="15"/>
      <c r="R74" s="16"/>
      <c r="S74" s="16"/>
    </row>
    <row r="75" spans="1:19" x14ac:dyDescent="0.25">
      <c r="A75" s="8" t="s">
        <v>16</v>
      </c>
      <c r="B75" s="8" t="s">
        <v>17</v>
      </c>
      <c r="C75" s="8" t="s">
        <v>18</v>
      </c>
      <c r="D75" s="8">
        <v>2014</v>
      </c>
      <c r="E75" s="21" t="s">
        <v>42</v>
      </c>
      <c r="F75" s="10">
        <v>41740</v>
      </c>
      <c r="G75" s="8"/>
      <c r="H75" s="13" t="s">
        <v>80</v>
      </c>
      <c r="I75" s="12">
        <v>-50</v>
      </c>
      <c r="J75" s="13" t="s">
        <v>21</v>
      </c>
      <c r="K75" s="13" t="s">
        <v>22</v>
      </c>
      <c r="L75" s="13" t="s">
        <v>23</v>
      </c>
      <c r="M75" s="13" t="s">
        <v>28</v>
      </c>
      <c r="N75" s="14"/>
      <c r="O75" s="14">
        <f t="shared" si="2"/>
        <v>-50</v>
      </c>
      <c r="P75" s="15">
        <f t="shared" si="3"/>
        <v>41740</v>
      </c>
      <c r="Q75" s="15"/>
      <c r="R75" s="16"/>
      <c r="S75" s="16"/>
    </row>
    <row r="76" spans="1:19" x14ac:dyDescent="0.25">
      <c r="A76" s="8" t="s">
        <v>16</v>
      </c>
      <c r="B76" s="8" t="s">
        <v>17</v>
      </c>
      <c r="C76" s="36" t="s">
        <v>18</v>
      </c>
      <c r="D76" s="8">
        <v>2014</v>
      </c>
      <c r="E76" s="21" t="s">
        <v>42</v>
      </c>
      <c r="F76" s="10">
        <v>41740</v>
      </c>
      <c r="G76" s="8"/>
      <c r="H76" s="17" t="s">
        <v>110</v>
      </c>
      <c r="I76" s="12">
        <f>-190-32</f>
        <v>-222</v>
      </c>
      <c r="J76" s="13" t="s">
        <v>21</v>
      </c>
      <c r="K76" s="13" t="s">
        <v>56</v>
      </c>
      <c r="L76" s="13" t="s">
        <v>111</v>
      </c>
      <c r="M76" s="13" t="s">
        <v>28</v>
      </c>
      <c r="N76" s="14"/>
      <c r="O76" s="14">
        <f t="shared" si="2"/>
        <v>-222</v>
      </c>
      <c r="P76" s="15">
        <f t="shared" si="3"/>
        <v>41740</v>
      </c>
      <c r="Q76" s="15"/>
      <c r="R76" s="16"/>
      <c r="S76" s="16"/>
    </row>
    <row r="77" spans="1:19" x14ac:dyDescent="0.25">
      <c r="A77" s="8" t="s">
        <v>16</v>
      </c>
      <c r="B77" s="8" t="s">
        <v>17</v>
      </c>
      <c r="C77" s="36" t="s">
        <v>18</v>
      </c>
      <c r="D77" s="8">
        <v>2014</v>
      </c>
      <c r="E77" s="21" t="s">
        <v>42</v>
      </c>
      <c r="F77" s="10">
        <v>41740</v>
      </c>
      <c r="G77" s="8"/>
      <c r="H77" s="17" t="s">
        <v>55</v>
      </c>
      <c r="I77" s="12">
        <f>-200-300-200</f>
        <v>-700</v>
      </c>
      <c r="J77" s="13" t="s">
        <v>21</v>
      </c>
      <c r="K77" s="13" t="s">
        <v>56</v>
      </c>
      <c r="L77" s="13" t="s">
        <v>57</v>
      </c>
      <c r="M77" s="13" t="s">
        <v>28</v>
      </c>
      <c r="N77" s="14"/>
      <c r="O77" s="14">
        <f t="shared" si="2"/>
        <v>-700</v>
      </c>
      <c r="P77" s="15">
        <f t="shared" si="3"/>
        <v>41740</v>
      </c>
      <c r="Q77" s="15"/>
      <c r="R77" s="16"/>
      <c r="S77" s="16"/>
    </row>
    <row r="78" spans="1:19" x14ac:dyDescent="0.25">
      <c r="A78" s="8" t="s">
        <v>16</v>
      </c>
      <c r="B78" s="8" t="s">
        <v>17</v>
      </c>
      <c r="C78" s="8" t="s">
        <v>18</v>
      </c>
      <c r="D78" s="8">
        <v>2014</v>
      </c>
      <c r="E78" s="21" t="s">
        <v>42</v>
      </c>
      <c r="F78" s="10">
        <v>41740</v>
      </c>
      <c r="G78" s="8"/>
      <c r="H78" s="17" t="s">
        <v>136</v>
      </c>
      <c r="I78" s="12">
        <v>-2000</v>
      </c>
      <c r="J78" s="13" t="s">
        <v>33</v>
      </c>
      <c r="K78" s="46" t="s">
        <v>34</v>
      </c>
      <c r="L78" s="13" t="s">
        <v>76</v>
      </c>
      <c r="M78" s="13"/>
      <c r="N78" s="14"/>
      <c r="O78" s="14">
        <f t="shared" si="2"/>
        <v>-2000</v>
      </c>
      <c r="P78" s="15">
        <f t="shared" si="3"/>
        <v>41740</v>
      </c>
      <c r="Q78" s="15"/>
      <c r="R78" s="16"/>
      <c r="S78" s="16"/>
    </row>
    <row r="79" spans="1:19" x14ac:dyDescent="0.25">
      <c r="A79" s="8" t="s">
        <v>16</v>
      </c>
      <c r="B79" s="8" t="s">
        <v>17</v>
      </c>
      <c r="C79" s="36" t="s">
        <v>18</v>
      </c>
      <c r="D79" s="8">
        <v>2014</v>
      </c>
      <c r="E79" s="21" t="s">
        <v>42</v>
      </c>
      <c r="F79" s="10">
        <v>41740</v>
      </c>
      <c r="G79" s="8"/>
      <c r="H79" s="11" t="s">
        <v>78</v>
      </c>
      <c r="I79" s="12">
        <v>-4300</v>
      </c>
      <c r="J79" s="13" t="s">
        <v>21</v>
      </c>
      <c r="K79" s="13" t="s">
        <v>56</v>
      </c>
      <c r="L79" s="13" t="s">
        <v>57</v>
      </c>
      <c r="M79" s="13"/>
      <c r="N79" s="14"/>
      <c r="O79" s="14">
        <f t="shared" si="2"/>
        <v>-4300</v>
      </c>
      <c r="P79" s="15">
        <f t="shared" si="3"/>
        <v>41740</v>
      </c>
      <c r="Q79" s="15"/>
      <c r="R79" s="16"/>
      <c r="S79" s="16"/>
    </row>
    <row r="80" spans="1:19" x14ac:dyDescent="0.25">
      <c r="A80" s="8" t="s">
        <v>16</v>
      </c>
      <c r="B80" s="8" t="s">
        <v>17</v>
      </c>
      <c r="C80" s="36" t="s">
        <v>51</v>
      </c>
      <c r="D80" s="8">
        <v>2014</v>
      </c>
      <c r="E80" s="21" t="s">
        <v>42</v>
      </c>
      <c r="F80" s="10">
        <v>41741</v>
      </c>
      <c r="G80" s="8">
        <v>11568</v>
      </c>
      <c r="H80" s="11" t="s">
        <v>137</v>
      </c>
      <c r="I80" s="12">
        <v>1500</v>
      </c>
      <c r="J80" s="13" t="s">
        <v>53</v>
      </c>
      <c r="K80" s="13" t="s">
        <v>54</v>
      </c>
      <c r="L80" s="13"/>
      <c r="M80" s="13"/>
      <c r="N80" s="14"/>
      <c r="O80" s="14">
        <f t="shared" si="2"/>
        <v>1500</v>
      </c>
      <c r="P80" s="15">
        <f t="shared" si="3"/>
        <v>41741</v>
      </c>
      <c r="Q80" s="15"/>
      <c r="R80" s="16"/>
      <c r="S80" s="16"/>
    </row>
    <row r="81" spans="1:19" x14ac:dyDescent="0.25">
      <c r="A81" s="8" t="s">
        <v>16</v>
      </c>
      <c r="B81" s="8" t="s">
        <v>17</v>
      </c>
      <c r="C81" s="36" t="s">
        <v>51</v>
      </c>
      <c r="D81" s="8">
        <v>2014</v>
      </c>
      <c r="E81" s="21" t="s">
        <v>42</v>
      </c>
      <c r="F81" s="10">
        <v>41741</v>
      </c>
      <c r="G81" s="8">
        <v>11671</v>
      </c>
      <c r="H81" s="11" t="s">
        <v>138</v>
      </c>
      <c r="I81" s="12">
        <v>2000</v>
      </c>
      <c r="J81" s="13" t="s">
        <v>53</v>
      </c>
      <c r="K81" s="13" t="s">
        <v>54</v>
      </c>
      <c r="L81" s="13"/>
      <c r="M81" s="13"/>
      <c r="N81" s="14"/>
      <c r="O81" s="14">
        <f t="shared" si="2"/>
        <v>2000</v>
      </c>
      <c r="P81" s="15">
        <f t="shared" si="3"/>
        <v>41741</v>
      </c>
      <c r="Q81" s="15"/>
      <c r="R81" s="16"/>
      <c r="S81" s="16"/>
    </row>
    <row r="82" spans="1:19" x14ac:dyDescent="0.25">
      <c r="A82" s="8" t="s">
        <v>16</v>
      </c>
      <c r="B82" s="8" t="s">
        <v>17</v>
      </c>
      <c r="C82" s="36" t="s">
        <v>51</v>
      </c>
      <c r="D82" s="8">
        <v>2014</v>
      </c>
      <c r="E82" s="21" t="s">
        <v>42</v>
      </c>
      <c r="F82" s="10">
        <v>41741</v>
      </c>
      <c r="G82" s="8">
        <v>11672</v>
      </c>
      <c r="H82" s="11" t="s">
        <v>139</v>
      </c>
      <c r="I82" s="12">
        <v>1500</v>
      </c>
      <c r="J82" s="13" t="s">
        <v>53</v>
      </c>
      <c r="K82" s="13" t="s">
        <v>54</v>
      </c>
      <c r="L82" s="13"/>
      <c r="M82" s="13"/>
      <c r="N82" s="14"/>
      <c r="O82" s="14">
        <f t="shared" si="2"/>
        <v>1500</v>
      </c>
      <c r="P82" s="15">
        <f t="shared" si="3"/>
        <v>41741</v>
      </c>
      <c r="Q82" s="15"/>
      <c r="R82" s="16"/>
      <c r="S82" s="16"/>
    </row>
    <row r="83" spans="1:19" x14ac:dyDescent="0.25">
      <c r="A83" s="8" t="s">
        <v>16</v>
      </c>
      <c r="B83" s="8" t="s">
        <v>17</v>
      </c>
      <c r="C83" s="36" t="s">
        <v>51</v>
      </c>
      <c r="D83" s="8">
        <v>2014</v>
      </c>
      <c r="E83" s="21" t="s">
        <v>42</v>
      </c>
      <c r="F83" s="10">
        <v>41741</v>
      </c>
      <c r="G83" s="8">
        <v>11674</v>
      </c>
      <c r="H83" s="11" t="s">
        <v>140</v>
      </c>
      <c r="I83" s="12">
        <v>1000</v>
      </c>
      <c r="J83" s="13" t="s">
        <v>53</v>
      </c>
      <c r="K83" s="13" t="s">
        <v>54</v>
      </c>
      <c r="L83" s="13"/>
      <c r="M83" s="13"/>
      <c r="N83" s="14"/>
      <c r="O83" s="14">
        <f t="shared" si="2"/>
        <v>1000</v>
      </c>
      <c r="P83" s="15">
        <f t="shared" si="3"/>
        <v>41741</v>
      </c>
      <c r="Q83" s="15"/>
      <c r="R83" s="16"/>
      <c r="S83" s="16"/>
    </row>
    <row r="84" spans="1:19" x14ac:dyDescent="0.25">
      <c r="A84" s="8" t="s">
        <v>16</v>
      </c>
      <c r="B84" s="8" t="s">
        <v>17</v>
      </c>
      <c r="C84" s="8" t="s">
        <v>51</v>
      </c>
      <c r="D84" s="8">
        <v>2014</v>
      </c>
      <c r="E84" s="21" t="s">
        <v>42</v>
      </c>
      <c r="F84" s="10">
        <v>41741</v>
      </c>
      <c r="G84" s="8">
        <v>11614</v>
      </c>
      <c r="H84" s="11" t="s">
        <v>141</v>
      </c>
      <c r="I84" s="12">
        <v>-200</v>
      </c>
      <c r="J84" s="13" t="s">
        <v>53</v>
      </c>
      <c r="K84" s="13" t="s">
        <v>54</v>
      </c>
      <c r="L84" s="13"/>
      <c r="M84" s="13"/>
      <c r="N84" s="14"/>
      <c r="O84" s="14">
        <f t="shared" si="2"/>
        <v>-200</v>
      </c>
      <c r="P84" s="15">
        <f t="shared" si="3"/>
        <v>41741</v>
      </c>
      <c r="Q84" s="15"/>
      <c r="R84" s="16"/>
      <c r="S84" s="16"/>
    </row>
    <row r="85" spans="1:19" x14ac:dyDescent="0.25">
      <c r="A85" s="8" t="s">
        <v>16</v>
      </c>
      <c r="B85" s="8" t="s">
        <v>17</v>
      </c>
      <c r="C85" s="36" t="s">
        <v>18</v>
      </c>
      <c r="D85" s="8">
        <v>2014</v>
      </c>
      <c r="E85" s="21" t="s">
        <v>42</v>
      </c>
      <c r="F85" s="10">
        <v>41741</v>
      </c>
      <c r="G85" s="8"/>
      <c r="H85" s="11" t="s">
        <v>142</v>
      </c>
      <c r="I85" s="12">
        <v>-56.06</v>
      </c>
      <c r="J85" s="13" t="s">
        <v>21</v>
      </c>
      <c r="K85" s="13" t="s">
        <v>143</v>
      </c>
      <c r="L85" s="13" t="s">
        <v>144</v>
      </c>
      <c r="M85" s="13" t="s">
        <v>145</v>
      </c>
      <c r="N85" s="14"/>
      <c r="O85" s="14">
        <f t="shared" si="2"/>
        <v>-56.06</v>
      </c>
      <c r="P85" s="15">
        <f t="shared" si="3"/>
        <v>41741</v>
      </c>
      <c r="Q85" s="15"/>
      <c r="R85" s="16"/>
      <c r="S85" s="16"/>
    </row>
    <row r="86" spans="1:19" x14ac:dyDescent="0.25">
      <c r="A86" s="8" t="s">
        <v>16</v>
      </c>
      <c r="B86" s="8" t="s">
        <v>17</v>
      </c>
      <c r="C86" s="36" t="s">
        <v>18</v>
      </c>
      <c r="D86" s="8">
        <v>2014</v>
      </c>
      <c r="E86" s="21" t="s">
        <v>42</v>
      </c>
      <c r="F86" s="10">
        <v>41741</v>
      </c>
      <c r="G86" s="8"/>
      <c r="H86" s="17" t="s">
        <v>142</v>
      </c>
      <c r="I86" s="12">
        <v>-46.09</v>
      </c>
      <c r="J86" s="13" t="s">
        <v>21</v>
      </c>
      <c r="K86" s="13" t="s">
        <v>143</v>
      </c>
      <c r="L86" s="13" t="s">
        <v>144</v>
      </c>
      <c r="M86" s="13" t="s">
        <v>28</v>
      </c>
      <c r="N86" s="14"/>
      <c r="O86" s="14">
        <f t="shared" si="2"/>
        <v>-46.09</v>
      </c>
      <c r="P86" s="15">
        <f t="shared" si="3"/>
        <v>41741</v>
      </c>
      <c r="Q86" s="15"/>
      <c r="R86" s="35"/>
      <c r="S86" s="16"/>
    </row>
    <row r="87" spans="1:19" x14ac:dyDescent="0.25">
      <c r="A87" s="8" t="s">
        <v>16</v>
      </c>
      <c r="B87" s="8" t="s">
        <v>17</v>
      </c>
      <c r="C87" s="36" t="s">
        <v>18</v>
      </c>
      <c r="D87" s="8">
        <v>2014</v>
      </c>
      <c r="E87" s="21" t="s">
        <v>42</v>
      </c>
      <c r="F87" s="10">
        <v>41741</v>
      </c>
      <c r="G87" s="8"/>
      <c r="H87" s="17" t="s">
        <v>146</v>
      </c>
      <c r="I87" s="12">
        <v>-804.25</v>
      </c>
      <c r="J87" s="13" t="s">
        <v>21</v>
      </c>
      <c r="K87" s="13" t="s">
        <v>143</v>
      </c>
      <c r="L87" s="13" t="s">
        <v>147</v>
      </c>
      <c r="M87" s="13" t="s">
        <v>28</v>
      </c>
      <c r="N87" s="14"/>
      <c r="O87" s="14">
        <f t="shared" si="2"/>
        <v>-804.25</v>
      </c>
      <c r="P87" s="15">
        <f t="shared" si="3"/>
        <v>41741</v>
      </c>
      <c r="Q87" s="15"/>
      <c r="R87" s="35"/>
      <c r="S87" s="16"/>
    </row>
    <row r="88" spans="1:19" x14ac:dyDescent="0.25">
      <c r="A88" s="8" t="s">
        <v>16</v>
      </c>
      <c r="B88" s="8" t="s">
        <v>17</v>
      </c>
      <c r="C88" s="36" t="s">
        <v>18</v>
      </c>
      <c r="D88" s="8">
        <v>2014</v>
      </c>
      <c r="E88" s="21" t="s">
        <v>42</v>
      </c>
      <c r="F88" s="10">
        <v>41741</v>
      </c>
      <c r="G88" s="8"/>
      <c r="H88" s="11" t="s">
        <v>148</v>
      </c>
      <c r="I88" s="12">
        <v>-250</v>
      </c>
      <c r="J88" s="13" t="s">
        <v>21</v>
      </c>
      <c r="K88" s="13" t="s">
        <v>22</v>
      </c>
      <c r="L88" s="13" t="s">
        <v>23</v>
      </c>
      <c r="M88" s="13"/>
      <c r="N88" s="14"/>
      <c r="O88" s="14">
        <f t="shared" si="2"/>
        <v>-250</v>
      </c>
      <c r="P88" s="15">
        <f t="shared" si="3"/>
        <v>41741</v>
      </c>
      <c r="Q88" s="15"/>
      <c r="R88" s="16"/>
      <c r="S88" s="16"/>
    </row>
    <row r="89" spans="1:19" x14ac:dyDescent="0.25">
      <c r="A89" s="8" t="s">
        <v>16</v>
      </c>
      <c r="B89" s="8" t="s">
        <v>17</v>
      </c>
      <c r="C89" s="8" t="s">
        <v>18</v>
      </c>
      <c r="D89" s="8">
        <v>2014</v>
      </c>
      <c r="E89" s="21" t="s">
        <v>42</v>
      </c>
      <c r="F89" s="10">
        <v>41741</v>
      </c>
      <c r="G89" s="8"/>
      <c r="H89" s="17" t="s">
        <v>20</v>
      </c>
      <c r="I89" s="12">
        <v>-160</v>
      </c>
      <c r="J89" s="13" t="s">
        <v>21</v>
      </c>
      <c r="K89" s="13" t="s">
        <v>22</v>
      </c>
      <c r="L89" s="13" t="s">
        <v>23</v>
      </c>
      <c r="M89" s="13"/>
      <c r="N89" s="14"/>
      <c r="O89" s="14">
        <f t="shared" si="2"/>
        <v>-160</v>
      </c>
      <c r="P89" s="15">
        <f t="shared" si="3"/>
        <v>41741</v>
      </c>
      <c r="Q89" s="15"/>
      <c r="R89" s="16"/>
      <c r="S89" s="16"/>
    </row>
    <row r="90" spans="1:19" x14ac:dyDescent="0.25">
      <c r="A90" s="8" t="s">
        <v>16</v>
      </c>
      <c r="B90" s="8" t="s">
        <v>17</v>
      </c>
      <c r="C90" s="8" t="s">
        <v>46</v>
      </c>
      <c r="D90" s="8">
        <v>2014</v>
      </c>
      <c r="E90" s="21" t="s">
        <v>42</v>
      </c>
      <c r="F90" s="10">
        <v>41741</v>
      </c>
      <c r="G90" s="8"/>
      <c r="H90" s="17" t="s">
        <v>149</v>
      </c>
      <c r="I90" s="12">
        <v>5000</v>
      </c>
      <c r="J90" s="13" t="s">
        <v>150</v>
      </c>
      <c r="K90" s="13"/>
      <c r="L90" s="13"/>
      <c r="M90" s="13"/>
      <c r="N90" s="14"/>
      <c r="O90" s="14">
        <f t="shared" si="2"/>
        <v>5000</v>
      </c>
      <c r="P90" s="15">
        <f t="shared" si="3"/>
        <v>41741</v>
      </c>
      <c r="Q90" s="15"/>
      <c r="R90" s="16"/>
      <c r="S90" s="16"/>
    </row>
    <row r="91" spans="1:19" x14ac:dyDescent="0.25">
      <c r="A91" s="8" t="s">
        <v>16</v>
      </c>
      <c r="B91" s="8" t="s">
        <v>17</v>
      </c>
      <c r="C91" s="8" t="s">
        <v>46</v>
      </c>
      <c r="D91" s="8">
        <v>2014</v>
      </c>
      <c r="E91" s="21" t="s">
        <v>42</v>
      </c>
      <c r="F91" s="10">
        <v>41741</v>
      </c>
      <c r="G91" s="8"/>
      <c r="H91" s="17" t="s">
        <v>149</v>
      </c>
      <c r="I91" s="12">
        <v>7000</v>
      </c>
      <c r="J91" s="13" t="s">
        <v>150</v>
      </c>
      <c r="K91" s="13"/>
      <c r="L91" s="13"/>
      <c r="M91" s="13"/>
      <c r="N91" s="14"/>
      <c r="O91" s="14">
        <f t="shared" si="2"/>
        <v>7000</v>
      </c>
      <c r="P91" s="15">
        <f t="shared" si="3"/>
        <v>41741</v>
      </c>
      <c r="Q91" s="15"/>
      <c r="R91" s="16"/>
      <c r="S91" s="16"/>
    </row>
    <row r="92" spans="1:19" x14ac:dyDescent="0.25">
      <c r="A92" s="8" t="s">
        <v>16</v>
      </c>
      <c r="B92" s="8" t="s">
        <v>17</v>
      </c>
      <c r="C92" s="36" t="s">
        <v>18</v>
      </c>
      <c r="D92" s="8">
        <v>2014</v>
      </c>
      <c r="E92" s="21" t="s">
        <v>42</v>
      </c>
      <c r="F92" s="10">
        <v>41744</v>
      </c>
      <c r="G92" s="8"/>
      <c r="H92" s="17" t="s">
        <v>120</v>
      </c>
      <c r="I92" s="12">
        <f>-388-170</f>
        <v>-558</v>
      </c>
      <c r="J92" s="13" t="s">
        <v>21</v>
      </c>
      <c r="K92" s="13" t="s">
        <v>22</v>
      </c>
      <c r="L92" s="13" t="s">
        <v>121</v>
      </c>
      <c r="M92" s="13"/>
      <c r="N92" s="14"/>
      <c r="O92" s="14">
        <f t="shared" si="2"/>
        <v>-558</v>
      </c>
      <c r="P92" s="15">
        <f t="shared" si="3"/>
        <v>41744</v>
      </c>
      <c r="Q92" s="15"/>
      <c r="R92" s="16"/>
      <c r="S92" s="16"/>
    </row>
    <row r="93" spans="1:19" x14ac:dyDescent="0.25">
      <c r="A93" s="8" t="s">
        <v>16</v>
      </c>
      <c r="B93" s="8" t="s">
        <v>17</v>
      </c>
      <c r="C93" s="36" t="s">
        <v>18</v>
      </c>
      <c r="D93" s="8">
        <v>2014</v>
      </c>
      <c r="E93" s="21" t="s">
        <v>42</v>
      </c>
      <c r="F93" s="10">
        <v>41744</v>
      </c>
      <c r="G93" s="8"/>
      <c r="H93" s="17" t="s">
        <v>55</v>
      </c>
      <c r="I93" s="12">
        <f>-200-140-445</f>
        <v>-785</v>
      </c>
      <c r="J93" s="13" t="s">
        <v>21</v>
      </c>
      <c r="K93" s="13" t="s">
        <v>56</v>
      </c>
      <c r="L93" s="13" t="s">
        <v>57</v>
      </c>
      <c r="M93" s="13" t="s">
        <v>28</v>
      </c>
      <c r="N93" s="14"/>
      <c r="O93" s="14">
        <f t="shared" si="2"/>
        <v>-785</v>
      </c>
      <c r="P93" s="15">
        <f t="shared" si="3"/>
        <v>41744</v>
      </c>
      <c r="Q93" s="15"/>
      <c r="R93" s="27"/>
      <c r="S93" s="28"/>
    </row>
    <row r="94" spans="1:19" x14ac:dyDescent="0.25">
      <c r="A94" s="8" t="s">
        <v>16</v>
      </c>
      <c r="B94" s="40" t="s">
        <v>17</v>
      </c>
      <c r="C94" s="41" t="s">
        <v>18</v>
      </c>
      <c r="D94" s="8">
        <v>2014</v>
      </c>
      <c r="E94" s="21" t="s">
        <v>42</v>
      </c>
      <c r="F94" s="10">
        <v>41744</v>
      </c>
      <c r="G94" s="8"/>
      <c r="H94" s="17" t="s">
        <v>133</v>
      </c>
      <c r="I94" s="12">
        <v>-160</v>
      </c>
      <c r="J94" s="13" t="s">
        <v>21</v>
      </c>
      <c r="K94" s="13" t="s">
        <v>22</v>
      </c>
      <c r="L94" s="13" t="s">
        <v>23</v>
      </c>
      <c r="M94" s="13"/>
      <c r="N94" s="14"/>
      <c r="O94" s="14">
        <f t="shared" si="2"/>
        <v>-160</v>
      </c>
      <c r="P94" s="15">
        <f t="shared" si="3"/>
        <v>41744</v>
      </c>
      <c r="Q94" s="15"/>
      <c r="R94" s="16"/>
      <c r="S94" s="16"/>
    </row>
    <row r="95" spans="1:19" x14ac:dyDescent="0.25">
      <c r="A95" s="8" t="s">
        <v>16</v>
      </c>
      <c r="B95" s="40" t="s">
        <v>17</v>
      </c>
      <c r="C95" s="41" t="s">
        <v>18</v>
      </c>
      <c r="D95" s="8">
        <v>2014</v>
      </c>
      <c r="E95" s="21" t="s">
        <v>42</v>
      </c>
      <c r="F95" s="10">
        <v>41744</v>
      </c>
      <c r="G95" s="42" t="s">
        <v>36</v>
      </c>
      <c r="H95" s="38" t="s">
        <v>151</v>
      </c>
      <c r="I95" s="43">
        <v>-15000</v>
      </c>
      <c r="J95" s="19" t="s">
        <v>38</v>
      </c>
      <c r="K95" s="19" t="s">
        <v>39</v>
      </c>
      <c r="L95" s="39" t="s">
        <v>40</v>
      </c>
      <c r="M95" s="44"/>
      <c r="N95" s="45"/>
      <c r="O95" s="14">
        <f t="shared" si="2"/>
        <v>-15000</v>
      </c>
      <c r="P95" s="15">
        <f t="shared" si="3"/>
        <v>41744</v>
      </c>
      <c r="Q95" s="15"/>
      <c r="R95" s="16"/>
      <c r="S95" s="16"/>
    </row>
    <row r="96" spans="1:19" x14ac:dyDescent="0.25">
      <c r="A96" s="23" t="s">
        <v>16</v>
      </c>
      <c r="B96" s="44" t="s">
        <v>17</v>
      </c>
      <c r="C96" s="25" t="s">
        <v>18</v>
      </c>
      <c r="D96" s="8">
        <v>2014</v>
      </c>
      <c r="E96" s="21" t="s">
        <v>42</v>
      </c>
      <c r="F96" s="22">
        <v>41744</v>
      </c>
      <c r="G96" s="23"/>
      <c r="H96" s="13" t="s">
        <v>133</v>
      </c>
      <c r="I96" s="12">
        <v>-175</v>
      </c>
      <c r="J96" s="13" t="s">
        <v>21</v>
      </c>
      <c r="K96" s="13" t="s">
        <v>22</v>
      </c>
      <c r="L96" s="13" t="s">
        <v>23</v>
      </c>
      <c r="M96" s="13"/>
      <c r="N96" s="31"/>
      <c r="O96" s="14">
        <f t="shared" si="2"/>
        <v>-175</v>
      </c>
      <c r="P96" s="15">
        <f t="shared" si="3"/>
        <v>41744</v>
      </c>
      <c r="Q96" s="15"/>
      <c r="R96" s="16"/>
      <c r="S96" s="16"/>
    </row>
    <row r="97" spans="1:19" x14ac:dyDescent="0.25">
      <c r="A97" s="8" t="s">
        <v>16</v>
      </c>
      <c r="B97" s="8" t="s">
        <v>17</v>
      </c>
      <c r="C97" s="8" t="s">
        <v>18</v>
      </c>
      <c r="D97" s="8">
        <v>2014</v>
      </c>
      <c r="E97" s="21" t="s">
        <v>42</v>
      </c>
      <c r="F97" s="10">
        <v>41745</v>
      </c>
      <c r="G97" s="8"/>
      <c r="H97" s="11" t="s">
        <v>152</v>
      </c>
      <c r="I97" s="12">
        <f>-160-25-22</f>
        <v>-207</v>
      </c>
      <c r="J97" s="13" t="s">
        <v>21</v>
      </c>
      <c r="K97" s="13" t="s">
        <v>22</v>
      </c>
      <c r="L97" s="13" t="s">
        <v>71</v>
      </c>
      <c r="M97" s="13"/>
      <c r="N97" s="14"/>
      <c r="O97" s="14">
        <f t="shared" si="2"/>
        <v>-207</v>
      </c>
      <c r="P97" s="15">
        <f t="shared" si="3"/>
        <v>41745</v>
      </c>
      <c r="Q97" s="15"/>
      <c r="R97" s="16"/>
      <c r="S97" s="16"/>
    </row>
    <row r="98" spans="1:19" x14ac:dyDescent="0.25">
      <c r="A98" s="23" t="s">
        <v>16</v>
      </c>
      <c r="B98" s="23" t="s">
        <v>17</v>
      </c>
      <c r="C98" s="23" t="s">
        <v>18</v>
      </c>
      <c r="D98" s="8">
        <v>2014</v>
      </c>
      <c r="E98" s="21" t="s">
        <v>42</v>
      </c>
      <c r="F98" s="22">
        <v>41745</v>
      </c>
      <c r="G98" s="23"/>
      <c r="H98" s="13" t="s">
        <v>153</v>
      </c>
      <c r="I98" s="12">
        <f>-60-60</f>
        <v>-120</v>
      </c>
      <c r="J98" s="13" t="s">
        <v>33</v>
      </c>
      <c r="K98" s="13" t="s">
        <v>34</v>
      </c>
      <c r="L98" s="13" t="s">
        <v>76</v>
      </c>
      <c r="M98" s="13"/>
      <c r="N98" s="31"/>
      <c r="O98" s="14">
        <f t="shared" si="2"/>
        <v>-120</v>
      </c>
      <c r="P98" s="15">
        <f t="shared" si="3"/>
        <v>41745</v>
      </c>
      <c r="Q98" s="15"/>
      <c r="R98" s="35"/>
      <c r="S98" s="16"/>
    </row>
    <row r="99" spans="1:19" x14ac:dyDescent="0.25">
      <c r="A99" s="8" t="s">
        <v>16</v>
      </c>
      <c r="B99" s="8" t="s">
        <v>17</v>
      </c>
      <c r="C99" s="36" t="s">
        <v>18</v>
      </c>
      <c r="D99" s="8">
        <v>2014</v>
      </c>
      <c r="E99" s="21" t="s">
        <v>42</v>
      </c>
      <c r="F99" s="10">
        <v>41746</v>
      </c>
      <c r="G99" s="8"/>
      <c r="H99" s="17" t="s">
        <v>110</v>
      </c>
      <c r="I99" s="12">
        <f>-474-115</f>
        <v>-589</v>
      </c>
      <c r="J99" s="13" t="s">
        <v>21</v>
      </c>
      <c r="K99" s="13" t="s">
        <v>56</v>
      </c>
      <c r="L99" s="13" t="s">
        <v>111</v>
      </c>
      <c r="M99" s="13" t="s">
        <v>28</v>
      </c>
      <c r="N99" s="14"/>
      <c r="O99" s="14">
        <f t="shared" si="2"/>
        <v>-589</v>
      </c>
      <c r="P99" s="15">
        <f t="shared" si="3"/>
        <v>41746</v>
      </c>
      <c r="Q99" s="15"/>
      <c r="R99" s="27"/>
      <c r="S99" s="28"/>
    </row>
    <row r="100" spans="1:19" x14ac:dyDescent="0.25">
      <c r="A100" s="8" t="s">
        <v>16</v>
      </c>
      <c r="B100" s="8" t="s">
        <v>17</v>
      </c>
      <c r="C100" s="36" t="s">
        <v>18</v>
      </c>
      <c r="D100" s="8">
        <v>2014</v>
      </c>
      <c r="E100" s="21" t="s">
        <v>42</v>
      </c>
      <c r="F100" s="10">
        <v>41746</v>
      </c>
      <c r="G100" s="8"/>
      <c r="H100" s="13" t="s">
        <v>122</v>
      </c>
      <c r="I100" s="12">
        <v>-5000</v>
      </c>
      <c r="J100" s="37" t="s">
        <v>33</v>
      </c>
      <c r="K100" s="13" t="s">
        <v>123</v>
      </c>
      <c r="L100" s="13" t="s">
        <v>124</v>
      </c>
      <c r="M100" s="18" t="s">
        <v>125</v>
      </c>
      <c r="N100" s="14"/>
      <c r="O100" s="14">
        <f t="shared" si="2"/>
        <v>-5000</v>
      </c>
      <c r="P100" s="15">
        <f t="shared" si="3"/>
        <v>41746</v>
      </c>
      <c r="Q100" s="15"/>
      <c r="R100" s="16"/>
      <c r="S100" s="16"/>
    </row>
    <row r="101" spans="1:19" x14ac:dyDescent="0.25">
      <c r="A101" s="23" t="s">
        <v>16</v>
      </c>
      <c r="B101" s="23" t="s">
        <v>17</v>
      </c>
      <c r="C101" s="23" t="s">
        <v>18</v>
      </c>
      <c r="D101" s="8">
        <v>2014</v>
      </c>
      <c r="E101" s="21" t="s">
        <v>42</v>
      </c>
      <c r="F101" s="22">
        <v>41746</v>
      </c>
      <c r="G101" s="23"/>
      <c r="H101" s="13" t="s">
        <v>154</v>
      </c>
      <c r="I101" s="12">
        <v>-440</v>
      </c>
      <c r="J101" s="13" t="s">
        <v>38</v>
      </c>
      <c r="K101" s="13" t="s">
        <v>155</v>
      </c>
      <c r="L101" s="13" t="s">
        <v>91</v>
      </c>
      <c r="M101" s="13"/>
      <c r="N101" s="31"/>
      <c r="O101" s="14">
        <f t="shared" si="2"/>
        <v>-440</v>
      </c>
      <c r="P101" s="15">
        <f t="shared" si="3"/>
        <v>41746</v>
      </c>
      <c r="Q101" s="15"/>
      <c r="R101" s="16"/>
      <c r="S101" s="16"/>
    </row>
    <row r="102" spans="1:19" x14ac:dyDescent="0.25">
      <c r="A102" s="23" t="s">
        <v>16</v>
      </c>
      <c r="B102" s="23" t="s">
        <v>17</v>
      </c>
      <c r="C102" s="23" t="s">
        <v>18</v>
      </c>
      <c r="D102" s="8">
        <v>2014</v>
      </c>
      <c r="E102" s="21" t="s">
        <v>42</v>
      </c>
      <c r="F102" s="22">
        <v>41746</v>
      </c>
      <c r="G102" s="23"/>
      <c r="H102" s="13" t="s">
        <v>156</v>
      </c>
      <c r="I102" s="12">
        <v>-117</v>
      </c>
      <c r="J102" s="13" t="s">
        <v>38</v>
      </c>
      <c r="K102" s="13" t="s">
        <v>155</v>
      </c>
      <c r="L102" s="13" t="s">
        <v>91</v>
      </c>
      <c r="M102" s="13"/>
      <c r="N102" s="31"/>
      <c r="O102" s="14">
        <f t="shared" si="2"/>
        <v>-117</v>
      </c>
      <c r="P102" s="15">
        <f t="shared" si="3"/>
        <v>41746</v>
      </c>
      <c r="Q102" s="15"/>
      <c r="R102" s="16"/>
      <c r="S102" s="16"/>
    </row>
    <row r="103" spans="1:19" x14ac:dyDescent="0.25">
      <c r="A103" s="23" t="s">
        <v>16</v>
      </c>
      <c r="B103" s="23" t="s">
        <v>17</v>
      </c>
      <c r="C103" s="23" t="s">
        <v>18</v>
      </c>
      <c r="D103" s="8">
        <v>2014</v>
      </c>
      <c r="E103" s="21" t="s">
        <v>42</v>
      </c>
      <c r="F103" s="22">
        <v>41746</v>
      </c>
      <c r="G103" s="23"/>
      <c r="H103" s="13" t="s">
        <v>157</v>
      </c>
      <c r="I103" s="12">
        <v>-589</v>
      </c>
      <c r="J103" s="13" t="s">
        <v>38</v>
      </c>
      <c r="K103" s="13" t="s">
        <v>155</v>
      </c>
      <c r="L103" s="13" t="s">
        <v>91</v>
      </c>
      <c r="M103" s="13"/>
      <c r="N103" s="31"/>
      <c r="O103" s="14">
        <f t="shared" si="2"/>
        <v>-589</v>
      </c>
      <c r="P103" s="15">
        <f t="shared" si="3"/>
        <v>41746</v>
      </c>
      <c r="Q103" s="15"/>
      <c r="R103" s="16"/>
      <c r="S103" s="16"/>
    </row>
    <row r="104" spans="1:19" x14ac:dyDescent="0.25">
      <c r="A104" s="23" t="s">
        <v>16</v>
      </c>
      <c r="B104" s="23" t="s">
        <v>17</v>
      </c>
      <c r="C104" s="23" t="s">
        <v>18</v>
      </c>
      <c r="D104" s="8">
        <v>2014</v>
      </c>
      <c r="E104" s="21" t="s">
        <v>42</v>
      </c>
      <c r="F104" s="22">
        <v>41746</v>
      </c>
      <c r="G104" s="23"/>
      <c r="H104" s="13" t="s">
        <v>158</v>
      </c>
      <c r="I104" s="12">
        <v>-117</v>
      </c>
      <c r="J104" s="13" t="s">
        <v>38</v>
      </c>
      <c r="K104" s="13" t="s">
        <v>155</v>
      </c>
      <c r="L104" s="13" t="s">
        <v>91</v>
      </c>
      <c r="M104" s="13"/>
      <c r="N104" s="31"/>
      <c r="O104" s="14">
        <f t="shared" si="2"/>
        <v>-117</v>
      </c>
      <c r="P104" s="15">
        <f t="shared" si="3"/>
        <v>41746</v>
      </c>
      <c r="Q104" s="15"/>
      <c r="R104" s="16"/>
      <c r="S104" s="16"/>
    </row>
    <row r="105" spans="1:19" x14ac:dyDescent="0.25">
      <c r="A105" s="23" t="s">
        <v>16</v>
      </c>
      <c r="B105" s="23" t="s">
        <v>17</v>
      </c>
      <c r="C105" s="23" t="s">
        <v>18</v>
      </c>
      <c r="D105" s="8">
        <v>2014</v>
      </c>
      <c r="E105" s="21" t="s">
        <v>42</v>
      </c>
      <c r="F105" s="22">
        <v>41746</v>
      </c>
      <c r="G105" s="23"/>
      <c r="H105" s="13" t="s">
        <v>159</v>
      </c>
      <c r="I105" s="12">
        <v>-259</v>
      </c>
      <c r="J105" s="13" t="s">
        <v>38</v>
      </c>
      <c r="K105" s="13" t="s">
        <v>155</v>
      </c>
      <c r="L105" s="13" t="s">
        <v>91</v>
      </c>
      <c r="M105" s="13"/>
      <c r="N105" s="31"/>
      <c r="O105" s="14">
        <f t="shared" si="2"/>
        <v>-259</v>
      </c>
      <c r="P105" s="15">
        <f t="shared" si="3"/>
        <v>41746</v>
      </c>
      <c r="Q105" s="15"/>
      <c r="R105" s="16"/>
      <c r="S105" s="16"/>
    </row>
    <row r="106" spans="1:19" x14ac:dyDescent="0.25">
      <c r="A106" s="23" t="s">
        <v>16</v>
      </c>
      <c r="B106" s="23" t="s">
        <v>17</v>
      </c>
      <c r="C106" s="23" t="s">
        <v>18</v>
      </c>
      <c r="D106" s="8">
        <v>2014</v>
      </c>
      <c r="E106" s="21" t="s">
        <v>42</v>
      </c>
      <c r="F106" s="22">
        <v>41746</v>
      </c>
      <c r="G106" s="23"/>
      <c r="H106" s="13" t="s">
        <v>160</v>
      </c>
      <c r="I106" s="12">
        <v>-47</v>
      </c>
      <c r="J106" s="13" t="s">
        <v>38</v>
      </c>
      <c r="K106" s="13" t="s">
        <v>155</v>
      </c>
      <c r="L106" s="13" t="s">
        <v>91</v>
      </c>
      <c r="M106" s="13"/>
      <c r="N106" s="31"/>
      <c r="O106" s="14">
        <f t="shared" si="2"/>
        <v>-47</v>
      </c>
      <c r="P106" s="15">
        <f t="shared" si="3"/>
        <v>41746</v>
      </c>
      <c r="Q106" s="15"/>
      <c r="R106" s="16"/>
      <c r="S106" s="16"/>
    </row>
    <row r="107" spans="1:19" x14ac:dyDescent="0.25">
      <c r="A107" s="23" t="s">
        <v>16</v>
      </c>
      <c r="B107" s="23" t="s">
        <v>17</v>
      </c>
      <c r="C107" s="23" t="s">
        <v>18</v>
      </c>
      <c r="D107" s="8">
        <v>2014</v>
      </c>
      <c r="E107" s="21" t="s">
        <v>42</v>
      </c>
      <c r="F107" s="22">
        <v>41746</v>
      </c>
      <c r="G107" s="23"/>
      <c r="H107" s="13" t="s">
        <v>161</v>
      </c>
      <c r="I107" s="12">
        <v>-117</v>
      </c>
      <c r="J107" s="13" t="s">
        <v>38</v>
      </c>
      <c r="K107" s="13" t="s">
        <v>155</v>
      </c>
      <c r="L107" s="13" t="s">
        <v>91</v>
      </c>
      <c r="M107" s="13"/>
      <c r="N107" s="31"/>
      <c r="O107" s="14">
        <f t="shared" si="2"/>
        <v>-117</v>
      </c>
      <c r="P107" s="15">
        <f t="shared" si="3"/>
        <v>41746</v>
      </c>
      <c r="Q107" s="15"/>
      <c r="R107" s="16"/>
      <c r="S107" s="16"/>
    </row>
    <row r="108" spans="1:19" x14ac:dyDescent="0.25">
      <c r="A108" s="23" t="s">
        <v>16</v>
      </c>
      <c r="B108" s="23" t="s">
        <v>17</v>
      </c>
      <c r="C108" s="23" t="s">
        <v>18</v>
      </c>
      <c r="D108" s="8">
        <v>2014</v>
      </c>
      <c r="E108" s="21" t="s">
        <v>42</v>
      </c>
      <c r="F108" s="22">
        <v>41746</v>
      </c>
      <c r="G108" s="23"/>
      <c r="H108" s="13" t="s">
        <v>162</v>
      </c>
      <c r="I108" s="12">
        <v>-117</v>
      </c>
      <c r="J108" s="13" t="s">
        <v>38</v>
      </c>
      <c r="K108" s="13" t="s">
        <v>155</v>
      </c>
      <c r="L108" s="13" t="s">
        <v>91</v>
      </c>
      <c r="M108" s="13"/>
      <c r="N108" s="31"/>
      <c r="O108" s="14">
        <f t="shared" si="2"/>
        <v>-117</v>
      </c>
      <c r="P108" s="15">
        <f t="shared" si="3"/>
        <v>41746</v>
      </c>
      <c r="Q108" s="15"/>
      <c r="R108" s="16"/>
      <c r="S108" s="16"/>
    </row>
    <row r="109" spans="1:19" x14ac:dyDescent="0.25">
      <c r="A109" s="23" t="s">
        <v>16</v>
      </c>
      <c r="B109" s="23" t="s">
        <v>17</v>
      </c>
      <c r="C109" s="23" t="s">
        <v>18</v>
      </c>
      <c r="D109" s="8">
        <v>2014</v>
      </c>
      <c r="E109" s="21" t="s">
        <v>42</v>
      </c>
      <c r="F109" s="22">
        <v>41746</v>
      </c>
      <c r="G109" s="23"/>
      <c r="H109" s="13" t="s">
        <v>163</v>
      </c>
      <c r="I109" s="12">
        <v>-117</v>
      </c>
      <c r="J109" s="13" t="s">
        <v>38</v>
      </c>
      <c r="K109" s="13" t="s">
        <v>155</v>
      </c>
      <c r="L109" s="13" t="s">
        <v>91</v>
      </c>
      <c r="M109" s="13"/>
      <c r="N109" s="31"/>
      <c r="O109" s="14">
        <f t="shared" si="2"/>
        <v>-117</v>
      </c>
      <c r="P109" s="15">
        <f t="shared" si="3"/>
        <v>41746</v>
      </c>
      <c r="Q109" s="15"/>
      <c r="R109" s="16"/>
      <c r="S109" s="16"/>
    </row>
    <row r="110" spans="1:19" x14ac:dyDescent="0.25">
      <c r="A110" s="23" t="s">
        <v>16</v>
      </c>
      <c r="B110" s="23" t="s">
        <v>17</v>
      </c>
      <c r="C110" s="23" t="s">
        <v>18</v>
      </c>
      <c r="D110" s="8">
        <v>2014</v>
      </c>
      <c r="E110" s="21" t="s">
        <v>42</v>
      </c>
      <c r="F110" s="22">
        <v>41746</v>
      </c>
      <c r="G110" s="23"/>
      <c r="H110" s="13" t="s">
        <v>164</v>
      </c>
      <c r="I110" s="12">
        <v>-94</v>
      </c>
      <c r="J110" s="13" t="s">
        <v>38</v>
      </c>
      <c r="K110" s="13" t="s">
        <v>155</v>
      </c>
      <c r="L110" s="13" t="s">
        <v>91</v>
      </c>
      <c r="M110" s="13"/>
      <c r="N110" s="31"/>
      <c r="O110" s="14">
        <f t="shared" si="2"/>
        <v>-94</v>
      </c>
      <c r="P110" s="15">
        <f t="shared" si="3"/>
        <v>41746</v>
      </c>
      <c r="Q110" s="15"/>
      <c r="R110" s="26"/>
      <c r="S110" s="26"/>
    </row>
    <row r="111" spans="1:19" x14ac:dyDescent="0.25">
      <c r="A111" s="23" t="s">
        <v>16</v>
      </c>
      <c r="B111" s="23" t="s">
        <v>17</v>
      </c>
      <c r="C111" s="23" t="s">
        <v>51</v>
      </c>
      <c r="D111" s="8">
        <v>2014</v>
      </c>
      <c r="E111" s="21" t="s">
        <v>42</v>
      </c>
      <c r="F111" s="22">
        <v>41746</v>
      </c>
      <c r="G111" s="23">
        <v>11645</v>
      </c>
      <c r="H111" s="13" t="s">
        <v>165</v>
      </c>
      <c r="I111" s="12">
        <v>2700</v>
      </c>
      <c r="J111" s="13" t="s">
        <v>53</v>
      </c>
      <c r="K111" s="13" t="s">
        <v>54</v>
      </c>
      <c r="L111" s="13"/>
      <c r="M111" s="13"/>
      <c r="N111" s="31"/>
      <c r="O111" s="14">
        <f t="shared" si="2"/>
        <v>2700</v>
      </c>
      <c r="P111" s="15">
        <f t="shared" si="3"/>
        <v>41746</v>
      </c>
      <c r="Q111" s="15"/>
      <c r="R111" s="26"/>
      <c r="S111" s="26"/>
    </row>
    <row r="112" spans="1:19" x14ac:dyDescent="0.25">
      <c r="A112" s="8" t="s">
        <v>16</v>
      </c>
      <c r="B112" s="8" t="s">
        <v>17</v>
      </c>
      <c r="C112" s="36" t="s">
        <v>18</v>
      </c>
      <c r="D112" s="8">
        <v>2014</v>
      </c>
      <c r="E112" s="21" t="s">
        <v>42</v>
      </c>
      <c r="F112" s="22">
        <v>41746</v>
      </c>
      <c r="G112" s="8"/>
      <c r="H112" s="11" t="s">
        <v>166</v>
      </c>
      <c r="I112" s="12">
        <v>-3200</v>
      </c>
      <c r="J112" s="13" t="s">
        <v>21</v>
      </c>
      <c r="K112" s="13" t="s">
        <v>56</v>
      </c>
      <c r="L112" s="13" t="s">
        <v>57</v>
      </c>
      <c r="M112" s="13" t="s">
        <v>167</v>
      </c>
      <c r="N112" s="14"/>
      <c r="O112" s="14">
        <f t="shared" si="2"/>
        <v>-3200</v>
      </c>
      <c r="P112" s="15">
        <f t="shared" si="3"/>
        <v>41746</v>
      </c>
      <c r="Q112" s="15"/>
      <c r="R112" s="26"/>
      <c r="S112" s="26"/>
    </row>
    <row r="113" spans="1:19" x14ac:dyDescent="0.25">
      <c r="A113" s="8" t="s">
        <v>16</v>
      </c>
      <c r="B113" s="8" t="s">
        <v>17</v>
      </c>
      <c r="C113" s="8" t="s">
        <v>18</v>
      </c>
      <c r="D113" s="8">
        <v>2014</v>
      </c>
      <c r="E113" s="21" t="s">
        <v>42</v>
      </c>
      <c r="F113" s="30">
        <v>41747</v>
      </c>
      <c r="G113" s="8"/>
      <c r="H113" s="17" t="s">
        <v>79</v>
      </c>
      <c r="I113" s="12">
        <v>-90</v>
      </c>
      <c r="J113" s="13" t="s">
        <v>21</v>
      </c>
      <c r="K113" s="13" t="s">
        <v>22</v>
      </c>
      <c r="L113" s="13" t="s">
        <v>71</v>
      </c>
      <c r="M113" s="13" t="s">
        <v>28</v>
      </c>
      <c r="N113" s="14"/>
      <c r="O113" s="14">
        <f t="shared" si="2"/>
        <v>-90</v>
      </c>
      <c r="P113" s="15">
        <f t="shared" si="3"/>
        <v>41747</v>
      </c>
      <c r="Q113" s="15"/>
      <c r="R113" s="26"/>
      <c r="S113" s="26"/>
    </row>
    <row r="114" spans="1:19" x14ac:dyDescent="0.25">
      <c r="A114" s="8" t="s">
        <v>16</v>
      </c>
      <c r="B114" s="8" t="s">
        <v>17</v>
      </c>
      <c r="C114" s="8" t="s">
        <v>18</v>
      </c>
      <c r="D114" s="8">
        <v>2014</v>
      </c>
      <c r="E114" s="21" t="s">
        <v>42</v>
      </c>
      <c r="F114" s="10">
        <v>41747</v>
      </c>
      <c r="G114" s="8"/>
      <c r="H114" s="13" t="s">
        <v>80</v>
      </c>
      <c r="I114" s="12">
        <v>-50</v>
      </c>
      <c r="J114" s="13" t="s">
        <v>21</v>
      </c>
      <c r="K114" s="13" t="s">
        <v>22</v>
      </c>
      <c r="L114" s="13" t="s">
        <v>23</v>
      </c>
      <c r="M114" s="13" t="s">
        <v>28</v>
      </c>
      <c r="N114" s="14"/>
      <c r="O114" s="14">
        <f t="shared" si="2"/>
        <v>-50</v>
      </c>
      <c r="P114" s="15">
        <f t="shared" si="3"/>
        <v>41747</v>
      </c>
      <c r="Q114" s="15"/>
      <c r="R114" s="26"/>
      <c r="S114" s="26"/>
    </row>
    <row r="115" spans="1:19" x14ac:dyDescent="0.25">
      <c r="A115" s="8" t="s">
        <v>16</v>
      </c>
      <c r="B115" s="8" t="s">
        <v>17</v>
      </c>
      <c r="C115" s="8" t="s">
        <v>18</v>
      </c>
      <c r="D115" s="8">
        <v>2014</v>
      </c>
      <c r="E115" s="21" t="s">
        <v>42</v>
      </c>
      <c r="F115" s="10">
        <v>41747</v>
      </c>
      <c r="G115" s="8"/>
      <c r="H115" s="11" t="s">
        <v>152</v>
      </c>
      <c r="I115" s="12">
        <v>-230</v>
      </c>
      <c r="J115" s="13" t="s">
        <v>21</v>
      </c>
      <c r="K115" s="13" t="s">
        <v>22</v>
      </c>
      <c r="L115" s="13" t="s">
        <v>71</v>
      </c>
      <c r="M115" s="13"/>
      <c r="N115" s="14"/>
      <c r="O115" s="14">
        <f t="shared" si="2"/>
        <v>-230</v>
      </c>
      <c r="P115" s="15">
        <f t="shared" si="3"/>
        <v>41747</v>
      </c>
      <c r="Q115" s="15"/>
      <c r="R115" s="48"/>
      <c r="S115" s="26"/>
    </row>
    <row r="116" spans="1:19" x14ac:dyDescent="0.25">
      <c r="A116" s="8" t="s">
        <v>16</v>
      </c>
      <c r="B116" s="40" t="s">
        <v>17</v>
      </c>
      <c r="C116" s="41" t="s">
        <v>18</v>
      </c>
      <c r="D116" s="8">
        <v>2014</v>
      </c>
      <c r="E116" s="21" t="s">
        <v>42</v>
      </c>
      <c r="F116" s="10">
        <v>41747</v>
      </c>
      <c r="G116" s="8"/>
      <c r="H116" s="11" t="s">
        <v>168</v>
      </c>
      <c r="I116" s="12">
        <v>-3000</v>
      </c>
      <c r="J116" s="13" t="s">
        <v>169</v>
      </c>
      <c r="K116" s="13" t="s">
        <v>170</v>
      </c>
      <c r="L116" s="13" t="s">
        <v>171</v>
      </c>
      <c r="M116" s="13"/>
      <c r="N116" s="14"/>
      <c r="O116" s="14">
        <f t="shared" si="2"/>
        <v>-3000</v>
      </c>
      <c r="P116" s="15">
        <f t="shared" si="3"/>
        <v>41747</v>
      </c>
      <c r="Q116" s="15"/>
      <c r="R116" s="26"/>
      <c r="S116" s="26"/>
    </row>
    <row r="117" spans="1:19" x14ac:dyDescent="0.25">
      <c r="A117" s="8" t="s">
        <v>16</v>
      </c>
      <c r="B117" s="8" t="s">
        <v>17</v>
      </c>
      <c r="C117" s="8" t="s">
        <v>18</v>
      </c>
      <c r="D117" s="8">
        <v>2014</v>
      </c>
      <c r="E117" s="21" t="s">
        <v>42</v>
      </c>
      <c r="F117" s="10">
        <v>41747</v>
      </c>
      <c r="G117" s="8"/>
      <c r="H117" s="11" t="s">
        <v>172</v>
      </c>
      <c r="I117" s="12">
        <v>-99.5</v>
      </c>
      <c r="J117" s="13" t="s">
        <v>21</v>
      </c>
      <c r="K117" s="13" t="s">
        <v>143</v>
      </c>
      <c r="L117" s="13" t="s">
        <v>173</v>
      </c>
      <c r="M117" s="13"/>
      <c r="N117" s="14"/>
      <c r="O117" s="14">
        <f t="shared" si="2"/>
        <v>-99.5</v>
      </c>
      <c r="P117" s="15">
        <f t="shared" si="3"/>
        <v>41747</v>
      </c>
      <c r="Q117" s="15"/>
      <c r="R117" s="26"/>
      <c r="S117" s="26"/>
    </row>
    <row r="118" spans="1:19" x14ac:dyDescent="0.25">
      <c r="A118" s="8" t="s">
        <v>16</v>
      </c>
      <c r="B118" s="8" t="s">
        <v>17</v>
      </c>
      <c r="C118" s="36" t="s">
        <v>18</v>
      </c>
      <c r="D118" s="8">
        <v>2014</v>
      </c>
      <c r="E118" s="21" t="s">
        <v>42</v>
      </c>
      <c r="F118" s="10">
        <v>41747</v>
      </c>
      <c r="G118" s="8"/>
      <c r="H118" s="11" t="s">
        <v>62</v>
      </c>
      <c r="I118" s="12">
        <f>-60-500</f>
        <v>-560</v>
      </c>
      <c r="J118" s="13" t="s">
        <v>21</v>
      </c>
      <c r="K118" s="13" t="s">
        <v>63</v>
      </c>
      <c r="L118" s="13" t="s">
        <v>64</v>
      </c>
      <c r="M118" s="13"/>
      <c r="N118" s="14"/>
      <c r="O118" s="14">
        <f t="shared" si="2"/>
        <v>-560</v>
      </c>
      <c r="P118" s="15">
        <f t="shared" si="3"/>
        <v>41747</v>
      </c>
      <c r="Q118" s="15"/>
      <c r="R118" s="26"/>
      <c r="S118" s="26"/>
    </row>
    <row r="119" spans="1:19" x14ac:dyDescent="0.25">
      <c r="A119" s="8" t="s">
        <v>16</v>
      </c>
      <c r="B119" s="8" t="s">
        <v>17</v>
      </c>
      <c r="C119" s="8" t="s">
        <v>18</v>
      </c>
      <c r="D119" s="8">
        <v>2014</v>
      </c>
      <c r="E119" s="21" t="s">
        <v>42</v>
      </c>
      <c r="F119" s="10">
        <v>41747</v>
      </c>
      <c r="G119" s="8"/>
      <c r="H119" s="11" t="s">
        <v>174</v>
      </c>
      <c r="I119" s="12">
        <v>-200</v>
      </c>
      <c r="J119" s="13" t="s">
        <v>21</v>
      </c>
      <c r="K119" s="13" t="s">
        <v>25</v>
      </c>
      <c r="L119" s="13" t="s">
        <v>26</v>
      </c>
      <c r="M119" s="13"/>
      <c r="N119" s="14"/>
      <c r="O119" s="14">
        <f t="shared" si="2"/>
        <v>-200</v>
      </c>
      <c r="P119" s="15">
        <f t="shared" si="3"/>
        <v>41747</v>
      </c>
      <c r="Q119" s="15"/>
      <c r="R119" s="26"/>
      <c r="S119" s="26"/>
    </row>
    <row r="120" spans="1:19" x14ac:dyDescent="0.25">
      <c r="A120" s="8" t="s">
        <v>16</v>
      </c>
      <c r="B120" s="8" t="s">
        <v>17</v>
      </c>
      <c r="C120" s="8" t="s">
        <v>18</v>
      </c>
      <c r="D120" s="8">
        <v>2014</v>
      </c>
      <c r="E120" s="21" t="s">
        <v>42</v>
      </c>
      <c r="F120" s="10">
        <v>41747</v>
      </c>
      <c r="G120" s="8"/>
      <c r="H120" s="17" t="s">
        <v>175</v>
      </c>
      <c r="I120" s="12">
        <v>-200</v>
      </c>
      <c r="J120" s="13" t="s">
        <v>38</v>
      </c>
      <c r="K120" s="13" t="s">
        <v>90</v>
      </c>
      <c r="L120" s="13" t="s">
        <v>91</v>
      </c>
      <c r="M120" s="13"/>
      <c r="N120" s="14"/>
      <c r="O120" s="14">
        <f t="shared" si="2"/>
        <v>-200</v>
      </c>
      <c r="P120" s="15">
        <f t="shared" si="3"/>
        <v>41747</v>
      </c>
      <c r="Q120" s="15"/>
      <c r="R120" s="26"/>
      <c r="S120" s="26"/>
    </row>
    <row r="121" spans="1:19" x14ac:dyDescent="0.25">
      <c r="A121" s="8" t="s">
        <v>16</v>
      </c>
      <c r="B121" s="8" t="s">
        <v>17</v>
      </c>
      <c r="C121" s="36" t="s">
        <v>51</v>
      </c>
      <c r="D121" s="8">
        <v>2014</v>
      </c>
      <c r="E121" s="21" t="s">
        <v>42</v>
      </c>
      <c r="F121" s="10">
        <v>41747</v>
      </c>
      <c r="G121" s="8">
        <v>11575</v>
      </c>
      <c r="H121" s="11" t="s">
        <v>176</v>
      </c>
      <c r="I121" s="12">
        <v>17500</v>
      </c>
      <c r="J121" s="13" t="s">
        <v>53</v>
      </c>
      <c r="K121" s="13" t="s">
        <v>54</v>
      </c>
      <c r="L121" s="13"/>
      <c r="M121" s="13"/>
      <c r="N121" s="14"/>
      <c r="O121" s="14">
        <f t="shared" si="2"/>
        <v>17500</v>
      </c>
      <c r="P121" s="15">
        <f t="shared" si="3"/>
        <v>41747</v>
      </c>
      <c r="Q121" s="15"/>
      <c r="R121" s="26"/>
      <c r="S121" s="26"/>
    </row>
    <row r="122" spans="1:19" x14ac:dyDescent="0.25">
      <c r="A122" s="8" t="s">
        <v>16</v>
      </c>
      <c r="B122" s="8" t="s">
        <v>17</v>
      </c>
      <c r="C122" s="36" t="s">
        <v>51</v>
      </c>
      <c r="D122" s="8">
        <v>2014</v>
      </c>
      <c r="E122" s="21" t="s">
        <v>42</v>
      </c>
      <c r="F122" s="10">
        <v>41747</v>
      </c>
      <c r="G122" s="8">
        <v>11670</v>
      </c>
      <c r="H122" s="11" t="s">
        <v>177</v>
      </c>
      <c r="I122" s="12">
        <v>800</v>
      </c>
      <c r="J122" s="13" t="s">
        <v>53</v>
      </c>
      <c r="K122" s="13" t="s">
        <v>54</v>
      </c>
      <c r="L122" s="13"/>
      <c r="M122" s="13"/>
      <c r="N122" s="14"/>
      <c r="O122" s="14">
        <f t="shared" si="2"/>
        <v>800</v>
      </c>
      <c r="P122" s="15">
        <f t="shared" si="3"/>
        <v>41747</v>
      </c>
      <c r="Q122" s="15"/>
      <c r="R122" s="26"/>
      <c r="S122" s="26"/>
    </row>
    <row r="123" spans="1:19" x14ac:dyDescent="0.25">
      <c r="A123" s="23" t="s">
        <v>16</v>
      </c>
      <c r="B123" s="8" t="s">
        <v>45</v>
      </c>
      <c r="C123" s="23" t="s">
        <v>51</v>
      </c>
      <c r="D123" s="8">
        <v>2014</v>
      </c>
      <c r="E123" s="21" t="s">
        <v>42</v>
      </c>
      <c r="F123" s="10">
        <v>41747</v>
      </c>
      <c r="G123" s="8">
        <v>11670</v>
      </c>
      <c r="H123" s="11" t="s">
        <v>177</v>
      </c>
      <c r="I123" s="12">
        <f>10.5*490</f>
        <v>5145</v>
      </c>
      <c r="J123" s="13" t="s">
        <v>53</v>
      </c>
      <c r="K123" s="13" t="s">
        <v>54</v>
      </c>
      <c r="L123" s="13"/>
      <c r="M123" s="13"/>
      <c r="N123" s="14">
        <v>10.5</v>
      </c>
      <c r="O123" s="14">
        <f t="shared" si="2"/>
        <v>490</v>
      </c>
      <c r="P123" s="15">
        <f t="shared" si="3"/>
        <v>41747</v>
      </c>
      <c r="Q123" s="15"/>
      <c r="R123" s="26"/>
      <c r="S123" s="26"/>
    </row>
    <row r="124" spans="1:19" x14ac:dyDescent="0.25">
      <c r="A124" s="23" t="s">
        <v>16</v>
      </c>
      <c r="B124" s="23" t="s">
        <v>17</v>
      </c>
      <c r="C124" s="23" t="s">
        <v>51</v>
      </c>
      <c r="D124" s="8">
        <v>2014</v>
      </c>
      <c r="E124" s="21" t="s">
        <v>42</v>
      </c>
      <c r="F124" s="22">
        <v>41748</v>
      </c>
      <c r="G124" s="23">
        <v>11675</v>
      </c>
      <c r="H124" s="13" t="s">
        <v>178</v>
      </c>
      <c r="I124" s="12">
        <v>200</v>
      </c>
      <c r="J124" s="13" t="s">
        <v>53</v>
      </c>
      <c r="K124" s="13" t="s">
        <v>54</v>
      </c>
      <c r="L124" s="13"/>
      <c r="M124" s="13"/>
      <c r="N124" s="31"/>
      <c r="O124" s="14">
        <f t="shared" si="2"/>
        <v>200</v>
      </c>
      <c r="P124" s="15">
        <f t="shared" si="3"/>
        <v>41748</v>
      </c>
      <c r="Q124" s="15"/>
      <c r="R124" s="26"/>
      <c r="S124" s="26"/>
    </row>
    <row r="125" spans="1:19" x14ac:dyDescent="0.25">
      <c r="A125" s="23" t="s">
        <v>16</v>
      </c>
      <c r="B125" s="23" t="s">
        <v>17</v>
      </c>
      <c r="C125" s="23" t="s">
        <v>51</v>
      </c>
      <c r="D125" s="8">
        <v>2014</v>
      </c>
      <c r="E125" s="21" t="s">
        <v>42</v>
      </c>
      <c r="F125" s="22">
        <v>41748</v>
      </c>
      <c r="G125" s="23">
        <v>11676</v>
      </c>
      <c r="H125" s="13" t="s">
        <v>179</v>
      </c>
      <c r="I125" s="12">
        <v>200</v>
      </c>
      <c r="J125" s="13" t="s">
        <v>53</v>
      </c>
      <c r="K125" s="13" t="s">
        <v>54</v>
      </c>
      <c r="L125" s="13"/>
      <c r="M125" s="13"/>
      <c r="N125" s="31"/>
      <c r="O125" s="14">
        <f t="shared" si="2"/>
        <v>200</v>
      </c>
      <c r="P125" s="15">
        <f t="shared" si="3"/>
        <v>41748</v>
      </c>
      <c r="Q125" s="15"/>
      <c r="R125" s="26"/>
      <c r="S125" s="26"/>
    </row>
    <row r="126" spans="1:19" x14ac:dyDescent="0.25">
      <c r="A126" s="23" t="s">
        <v>16</v>
      </c>
      <c r="B126" s="23" t="s">
        <v>17</v>
      </c>
      <c r="C126" s="23" t="s">
        <v>51</v>
      </c>
      <c r="D126" s="8">
        <v>2014</v>
      </c>
      <c r="E126" s="21" t="s">
        <v>42</v>
      </c>
      <c r="F126" s="22">
        <v>41748</v>
      </c>
      <c r="G126" s="23">
        <v>11677</v>
      </c>
      <c r="H126" s="13" t="s">
        <v>180</v>
      </c>
      <c r="I126" s="12">
        <v>100</v>
      </c>
      <c r="J126" s="13" t="s">
        <v>53</v>
      </c>
      <c r="K126" s="13" t="s">
        <v>54</v>
      </c>
      <c r="L126" s="13"/>
      <c r="M126" s="13"/>
      <c r="N126" s="31"/>
      <c r="O126" s="14">
        <f t="shared" si="2"/>
        <v>100</v>
      </c>
      <c r="P126" s="15">
        <f t="shared" si="3"/>
        <v>41748</v>
      </c>
      <c r="Q126" s="15"/>
      <c r="R126" s="26"/>
      <c r="S126" s="26"/>
    </row>
    <row r="127" spans="1:19" x14ac:dyDescent="0.25">
      <c r="A127" s="23" t="s">
        <v>16</v>
      </c>
      <c r="B127" s="23" t="s">
        <v>17</v>
      </c>
      <c r="C127" s="23" t="s">
        <v>51</v>
      </c>
      <c r="D127" s="8">
        <v>2014</v>
      </c>
      <c r="E127" s="21" t="s">
        <v>42</v>
      </c>
      <c r="F127" s="22">
        <v>41748</v>
      </c>
      <c r="G127" s="23">
        <v>11678</v>
      </c>
      <c r="H127" s="13" t="s">
        <v>181</v>
      </c>
      <c r="I127" s="12">
        <v>200</v>
      </c>
      <c r="J127" s="13" t="s">
        <v>53</v>
      </c>
      <c r="K127" s="13" t="s">
        <v>54</v>
      </c>
      <c r="L127" s="13"/>
      <c r="M127" s="13"/>
      <c r="N127" s="31"/>
      <c r="O127" s="14">
        <f t="shared" si="2"/>
        <v>200</v>
      </c>
      <c r="P127" s="15">
        <f t="shared" si="3"/>
        <v>41748</v>
      </c>
      <c r="Q127" s="15"/>
      <c r="R127" s="26"/>
      <c r="S127" s="26"/>
    </row>
    <row r="128" spans="1:19" x14ac:dyDescent="0.25">
      <c r="A128" s="23" t="s">
        <v>16</v>
      </c>
      <c r="B128" s="23" t="s">
        <v>17</v>
      </c>
      <c r="C128" s="23" t="s">
        <v>51</v>
      </c>
      <c r="D128" s="8">
        <v>2014</v>
      </c>
      <c r="E128" s="21" t="s">
        <v>42</v>
      </c>
      <c r="F128" s="22">
        <v>41748</v>
      </c>
      <c r="G128" s="23">
        <v>11682</v>
      </c>
      <c r="H128" s="13" t="s">
        <v>182</v>
      </c>
      <c r="I128" s="12">
        <v>4000</v>
      </c>
      <c r="J128" s="13" t="s">
        <v>53</v>
      </c>
      <c r="K128" s="13" t="s">
        <v>54</v>
      </c>
      <c r="L128" s="13"/>
      <c r="M128" s="13"/>
      <c r="N128" s="31"/>
      <c r="O128" s="14">
        <f t="shared" si="2"/>
        <v>4000</v>
      </c>
      <c r="P128" s="15">
        <f t="shared" si="3"/>
        <v>41748</v>
      </c>
      <c r="Q128" s="15"/>
      <c r="R128" s="26"/>
      <c r="S128" s="26"/>
    </row>
    <row r="129" spans="1:19" x14ac:dyDescent="0.25">
      <c r="A129" s="23" t="s">
        <v>16</v>
      </c>
      <c r="B129" s="23" t="s">
        <v>17</v>
      </c>
      <c r="C129" s="23" t="s">
        <v>51</v>
      </c>
      <c r="D129" s="8">
        <v>2014</v>
      </c>
      <c r="E129" s="21" t="s">
        <v>42</v>
      </c>
      <c r="F129" s="22">
        <v>41748</v>
      </c>
      <c r="G129" s="23">
        <v>11681</v>
      </c>
      <c r="H129" s="13" t="s">
        <v>183</v>
      </c>
      <c r="I129" s="12">
        <v>200</v>
      </c>
      <c r="J129" s="13" t="s">
        <v>53</v>
      </c>
      <c r="K129" s="13" t="s">
        <v>54</v>
      </c>
      <c r="L129" s="13"/>
      <c r="M129" s="13"/>
      <c r="N129" s="31"/>
      <c r="O129" s="14">
        <f t="shared" si="2"/>
        <v>200</v>
      </c>
      <c r="P129" s="15">
        <f t="shared" si="3"/>
        <v>41748</v>
      </c>
      <c r="Q129" s="15"/>
      <c r="R129" s="26"/>
      <c r="S129" s="26"/>
    </row>
    <row r="130" spans="1:19" x14ac:dyDescent="0.25">
      <c r="A130" s="23" t="s">
        <v>16</v>
      </c>
      <c r="B130" s="23" t="s">
        <v>17</v>
      </c>
      <c r="C130" s="23" t="s">
        <v>51</v>
      </c>
      <c r="D130" s="8">
        <v>2014</v>
      </c>
      <c r="E130" s="21" t="s">
        <v>42</v>
      </c>
      <c r="F130" s="22">
        <v>41748</v>
      </c>
      <c r="G130" s="23">
        <v>11680</v>
      </c>
      <c r="H130" s="13" t="s">
        <v>184</v>
      </c>
      <c r="I130" s="12">
        <v>200</v>
      </c>
      <c r="J130" s="13" t="s">
        <v>53</v>
      </c>
      <c r="K130" s="13" t="s">
        <v>54</v>
      </c>
      <c r="L130" s="13"/>
      <c r="M130" s="13"/>
      <c r="N130" s="31"/>
      <c r="O130" s="14">
        <f t="shared" ref="O130:O193" si="4">IF(B130="$",I130,I130/N130)</f>
        <v>200</v>
      </c>
      <c r="P130" s="15">
        <f t="shared" ref="P130:P193" si="5">F130</f>
        <v>41748</v>
      </c>
      <c r="Q130" s="15"/>
      <c r="R130" s="26"/>
      <c r="S130" s="26"/>
    </row>
    <row r="131" spans="1:19" x14ac:dyDescent="0.25">
      <c r="A131" s="23" t="s">
        <v>16</v>
      </c>
      <c r="B131" s="23" t="s">
        <v>17</v>
      </c>
      <c r="C131" s="23" t="s">
        <v>51</v>
      </c>
      <c r="D131" s="8">
        <v>2014</v>
      </c>
      <c r="E131" s="21" t="s">
        <v>42</v>
      </c>
      <c r="F131" s="22">
        <v>41749</v>
      </c>
      <c r="G131" s="23">
        <v>11685</v>
      </c>
      <c r="H131" s="13" t="s">
        <v>185</v>
      </c>
      <c r="I131" s="12">
        <v>200</v>
      </c>
      <c r="J131" s="13" t="s">
        <v>53</v>
      </c>
      <c r="K131" s="13" t="s">
        <v>54</v>
      </c>
      <c r="L131" s="13"/>
      <c r="M131" s="13"/>
      <c r="N131" s="31"/>
      <c r="O131" s="14">
        <f t="shared" si="4"/>
        <v>200</v>
      </c>
      <c r="P131" s="15">
        <f t="shared" si="5"/>
        <v>41749</v>
      </c>
      <c r="Q131" s="15"/>
      <c r="R131" s="26"/>
      <c r="S131" s="26"/>
    </row>
    <row r="132" spans="1:19" x14ac:dyDescent="0.25">
      <c r="A132" s="23" t="s">
        <v>16</v>
      </c>
      <c r="B132" s="23" t="s">
        <v>17</v>
      </c>
      <c r="C132" s="23" t="s">
        <v>51</v>
      </c>
      <c r="D132" s="8">
        <v>2014</v>
      </c>
      <c r="E132" s="21" t="s">
        <v>42</v>
      </c>
      <c r="F132" s="22">
        <v>41749</v>
      </c>
      <c r="G132" s="23">
        <v>11689</v>
      </c>
      <c r="H132" s="13" t="s">
        <v>186</v>
      </c>
      <c r="I132" s="12">
        <v>1000</v>
      </c>
      <c r="J132" s="13" t="s">
        <v>53</v>
      </c>
      <c r="K132" s="13" t="s">
        <v>54</v>
      </c>
      <c r="L132" s="13"/>
      <c r="M132" s="13"/>
      <c r="N132" s="31"/>
      <c r="O132" s="14">
        <f t="shared" si="4"/>
        <v>1000</v>
      </c>
      <c r="P132" s="15">
        <f t="shared" si="5"/>
        <v>41749</v>
      </c>
      <c r="Q132" s="15"/>
      <c r="R132" s="26"/>
      <c r="S132" s="26"/>
    </row>
    <row r="133" spans="1:19" x14ac:dyDescent="0.25">
      <c r="A133" s="23" t="s">
        <v>16</v>
      </c>
      <c r="B133" s="23" t="s">
        <v>17</v>
      </c>
      <c r="C133" s="23" t="s">
        <v>51</v>
      </c>
      <c r="D133" s="8">
        <v>2014</v>
      </c>
      <c r="E133" s="21" t="s">
        <v>42</v>
      </c>
      <c r="F133" s="22">
        <v>41749</v>
      </c>
      <c r="G133" s="23">
        <v>11687</v>
      </c>
      <c r="H133" s="13" t="s">
        <v>187</v>
      </c>
      <c r="I133" s="12">
        <v>3400</v>
      </c>
      <c r="J133" s="13" t="s">
        <v>53</v>
      </c>
      <c r="K133" s="13" t="s">
        <v>54</v>
      </c>
      <c r="L133" s="13"/>
      <c r="M133" s="13"/>
      <c r="N133" s="31"/>
      <c r="O133" s="14">
        <f t="shared" si="4"/>
        <v>3400</v>
      </c>
      <c r="P133" s="15">
        <f t="shared" si="5"/>
        <v>41749</v>
      </c>
      <c r="Q133" s="15"/>
      <c r="R133" s="48"/>
      <c r="S133" s="26"/>
    </row>
    <row r="134" spans="1:19" x14ac:dyDescent="0.25">
      <c r="A134" s="23" t="s">
        <v>16</v>
      </c>
      <c r="B134" s="23" t="s">
        <v>17</v>
      </c>
      <c r="C134" s="23" t="s">
        <v>51</v>
      </c>
      <c r="D134" s="8">
        <v>2014</v>
      </c>
      <c r="E134" s="21" t="s">
        <v>42</v>
      </c>
      <c r="F134" s="22">
        <v>41749</v>
      </c>
      <c r="G134" s="23">
        <v>11688</v>
      </c>
      <c r="H134" s="13" t="s">
        <v>188</v>
      </c>
      <c r="I134" s="12">
        <v>200</v>
      </c>
      <c r="J134" s="13" t="s">
        <v>53</v>
      </c>
      <c r="K134" s="13" t="s">
        <v>54</v>
      </c>
      <c r="L134" s="13"/>
      <c r="M134" s="13"/>
      <c r="N134" s="31"/>
      <c r="O134" s="14">
        <f t="shared" si="4"/>
        <v>200</v>
      </c>
      <c r="P134" s="15">
        <f t="shared" si="5"/>
        <v>41749</v>
      </c>
      <c r="Q134" s="15"/>
      <c r="R134" s="26"/>
      <c r="S134" s="26"/>
    </row>
    <row r="135" spans="1:19" x14ac:dyDescent="0.25">
      <c r="A135" s="23" t="s">
        <v>16</v>
      </c>
      <c r="B135" s="23" t="s">
        <v>17</v>
      </c>
      <c r="C135" s="23" t="s">
        <v>51</v>
      </c>
      <c r="D135" s="8">
        <v>2014</v>
      </c>
      <c r="E135" s="21" t="s">
        <v>42</v>
      </c>
      <c r="F135" s="22">
        <v>41749</v>
      </c>
      <c r="G135" s="23">
        <v>11690</v>
      </c>
      <c r="H135" s="13" t="s">
        <v>189</v>
      </c>
      <c r="I135" s="12">
        <v>200</v>
      </c>
      <c r="J135" s="13" t="s">
        <v>53</v>
      </c>
      <c r="K135" s="13" t="s">
        <v>54</v>
      </c>
      <c r="L135" s="13"/>
      <c r="M135" s="13"/>
      <c r="N135" s="31"/>
      <c r="O135" s="14">
        <f t="shared" si="4"/>
        <v>200</v>
      </c>
      <c r="P135" s="15">
        <f t="shared" si="5"/>
        <v>41749</v>
      </c>
      <c r="Q135" s="15"/>
      <c r="R135" s="26"/>
      <c r="S135" s="26"/>
    </row>
    <row r="136" spans="1:19" x14ac:dyDescent="0.25">
      <c r="A136" s="23" t="s">
        <v>16</v>
      </c>
      <c r="B136" s="23" t="s">
        <v>17</v>
      </c>
      <c r="C136" s="23" t="s">
        <v>51</v>
      </c>
      <c r="D136" s="8">
        <v>2014</v>
      </c>
      <c r="E136" s="21" t="s">
        <v>42</v>
      </c>
      <c r="F136" s="22">
        <v>41749</v>
      </c>
      <c r="G136" s="23">
        <v>11678</v>
      </c>
      <c r="H136" s="13" t="s">
        <v>181</v>
      </c>
      <c r="I136" s="12">
        <v>6300</v>
      </c>
      <c r="J136" s="13" t="s">
        <v>53</v>
      </c>
      <c r="K136" s="13" t="s">
        <v>54</v>
      </c>
      <c r="L136" s="13"/>
      <c r="M136" s="13"/>
      <c r="N136" s="31"/>
      <c r="O136" s="14">
        <f t="shared" si="4"/>
        <v>6300</v>
      </c>
      <c r="P136" s="15">
        <f t="shared" si="5"/>
        <v>41749</v>
      </c>
      <c r="Q136" s="15"/>
      <c r="R136" s="26"/>
      <c r="S136" s="26"/>
    </row>
    <row r="137" spans="1:19" x14ac:dyDescent="0.25">
      <c r="A137" s="23" t="s">
        <v>16</v>
      </c>
      <c r="B137" s="23" t="s">
        <v>17</v>
      </c>
      <c r="C137" s="23" t="s">
        <v>18</v>
      </c>
      <c r="D137" s="8">
        <v>2014</v>
      </c>
      <c r="E137" s="21" t="s">
        <v>42</v>
      </c>
      <c r="F137" s="22">
        <v>41750</v>
      </c>
      <c r="G137" s="23"/>
      <c r="H137" s="13" t="s">
        <v>110</v>
      </c>
      <c r="I137" s="12">
        <f>-112.2-23.1</f>
        <v>-135.30000000000001</v>
      </c>
      <c r="J137" s="13" t="s">
        <v>21</v>
      </c>
      <c r="K137" s="13" t="s">
        <v>56</v>
      </c>
      <c r="L137" s="13" t="s">
        <v>111</v>
      </c>
      <c r="M137" s="13" t="s">
        <v>28</v>
      </c>
      <c r="N137" s="31"/>
      <c r="O137" s="14">
        <f t="shared" si="4"/>
        <v>-135.30000000000001</v>
      </c>
      <c r="P137" s="15">
        <f t="shared" si="5"/>
        <v>41750</v>
      </c>
      <c r="Q137" s="15"/>
      <c r="R137" s="26"/>
      <c r="S137" s="26"/>
    </row>
    <row r="138" spans="1:19" x14ac:dyDescent="0.25">
      <c r="A138" s="23" t="s">
        <v>16</v>
      </c>
      <c r="B138" s="23" t="s">
        <v>17</v>
      </c>
      <c r="C138" s="23" t="s">
        <v>18</v>
      </c>
      <c r="D138" s="8">
        <v>2014</v>
      </c>
      <c r="E138" s="21" t="s">
        <v>42</v>
      </c>
      <c r="F138" s="22">
        <v>41750</v>
      </c>
      <c r="G138" s="23"/>
      <c r="H138" s="13" t="s">
        <v>190</v>
      </c>
      <c r="I138" s="12">
        <v>-31.3</v>
      </c>
      <c r="J138" s="13" t="s">
        <v>21</v>
      </c>
      <c r="K138" s="13" t="s">
        <v>22</v>
      </c>
      <c r="L138" s="13" t="s">
        <v>71</v>
      </c>
      <c r="M138" s="13" t="s">
        <v>28</v>
      </c>
      <c r="N138" s="31"/>
      <c r="O138" s="14">
        <f t="shared" si="4"/>
        <v>-31.3</v>
      </c>
      <c r="P138" s="15">
        <f t="shared" si="5"/>
        <v>41750</v>
      </c>
      <c r="Q138" s="15"/>
      <c r="R138" s="26"/>
      <c r="S138" s="26"/>
    </row>
    <row r="139" spans="1:19" x14ac:dyDescent="0.25">
      <c r="A139" s="23" t="s">
        <v>16</v>
      </c>
      <c r="B139" s="23" t="s">
        <v>17</v>
      </c>
      <c r="C139" s="23" t="s">
        <v>18</v>
      </c>
      <c r="D139" s="8">
        <v>2014</v>
      </c>
      <c r="E139" s="21" t="s">
        <v>42</v>
      </c>
      <c r="F139" s="22">
        <v>41750</v>
      </c>
      <c r="G139" s="23"/>
      <c r="H139" s="13" t="s">
        <v>191</v>
      </c>
      <c r="I139" s="12">
        <v>-100</v>
      </c>
      <c r="J139" s="13" t="s">
        <v>38</v>
      </c>
      <c r="K139" s="13" t="s">
        <v>90</v>
      </c>
      <c r="L139" s="13" t="s">
        <v>91</v>
      </c>
      <c r="M139" s="13"/>
      <c r="N139" s="31"/>
      <c r="O139" s="14">
        <f t="shared" si="4"/>
        <v>-100</v>
      </c>
      <c r="P139" s="15">
        <f t="shared" si="5"/>
        <v>41750</v>
      </c>
      <c r="Q139" s="15"/>
      <c r="R139" s="26"/>
      <c r="S139" s="26"/>
    </row>
    <row r="140" spans="1:19" x14ac:dyDescent="0.25">
      <c r="A140" s="23" t="s">
        <v>16</v>
      </c>
      <c r="B140" s="23" t="s">
        <v>17</v>
      </c>
      <c r="C140" s="23" t="s">
        <v>18</v>
      </c>
      <c r="D140" s="8">
        <v>2014</v>
      </c>
      <c r="E140" s="21" t="s">
        <v>42</v>
      </c>
      <c r="F140" s="22">
        <v>41750</v>
      </c>
      <c r="G140" s="23"/>
      <c r="H140" s="13" t="s">
        <v>192</v>
      </c>
      <c r="I140" s="12">
        <v>-2700</v>
      </c>
      <c r="J140" s="13" t="s">
        <v>21</v>
      </c>
      <c r="K140" s="13" t="s">
        <v>143</v>
      </c>
      <c r="L140" s="13" t="s">
        <v>193</v>
      </c>
      <c r="M140" s="13" t="s">
        <v>194</v>
      </c>
      <c r="N140" s="31"/>
      <c r="O140" s="14">
        <f t="shared" si="4"/>
        <v>-2700</v>
      </c>
      <c r="P140" s="15">
        <f t="shared" si="5"/>
        <v>41750</v>
      </c>
      <c r="Q140" s="15"/>
      <c r="R140" s="26"/>
      <c r="S140" s="26"/>
    </row>
    <row r="141" spans="1:19" x14ac:dyDescent="0.25">
      <c r="A141" s="23" t="s">
        <v>16</v>
      </c>
      <c r="B141" s="23" t="s">
        <v>17</v>
      </c>
      <c r="C141" s="23" t="s">
        <v>18</v>
      </c>
      <c r="D141" s="8">
        <v>2014</v>
      </c>
      <c r="E141" s="21" t="s">
        <v>42</v>
      </c>
      <c r="F141" s="22">
        <v>41750</v>
      </c>
      <c r="G141" s="23"/>
      <c r="H141" s="13" t="s">
        <v>195</v>
      </c>
      <c r="I141" s="12">
        <v>-1050</v>
      </c>
      <c r="J141" s="13" t="s">
        <v>21</v>
      </c>
      <c r="K141" s="13" t="s">
        <v>143</v>
      </c>
      <c r="L141" s="13" t="s">
        <v>196</v>
      </c>
      <c r="M141" s="13" t="s">
        <v>197</v>
      </c>
      <c r="N141" s="31"/>
      <c r="O141" s="14">
        <f t="shared" si="4"/>
        <v>-1050</v>
      </c>
      <c r="P141" s="15">
        <f t="shared" si="5"/>
        <v>41750</v>
      </c>
      <c r="Q141" s="15"/>
      <c r="R141" s="26"/>
      <c r="S141" s="26"/>
    </row>
    <row r="142" spans="1:19" x14ac:dyDescent="0.25">
      <c r="A142" s="23" t="s">
        <v>16</v>
      </c>
      <c r="B142" s="23" t="s">
        <v>17</v>
      </c>
      <c r="C142" s="23" t="s">
        <v>18</v>
      </c>
      <c r="D142" s="8">
        <v>2014</v>
      </c>
      <c r="E142" s="21" t="s">
        <v>42</v>
      </c>
      <c r="F142" s="22">
        <v>41750</v>
      </c>
      <c r="G142" s="23"/>
      <c r="H142" s="13" t="s">
        <v>198</v>
      </c>
      <c r="I142" s="12">
        <f>-20-36</f>
        <v>-56</v>
      </c>
      <c r="J142" s="13" t="s">
        <v>21</v>
      </c>
      <c r="K142" s="13" t="s">
        <v>56</v>
      </c>
      <c r="L142" s="13" t="s">
        <v>199</v>
      </c>
      <c r="M142" s="13"/>
      <c r="N142" s="31"/>
      <c r="O142" s="14">
        <f t="shared" si="4"/>
        <v>-56</v>
      </c>
      <c r="P142" s="15">
        <f t="shared" si="5"/>
        <v>41750</v>
      </c>
      <c r="Q142" s="15"/>
      <c r="R142" s="16"/>
      <c r="S142" s="16"/>
    </row>
    <row r="143" spans="1:19" x14ac:dyDescent="0.25">
      <c r="A143" s="23" t="s">
        <v>16</v>
      </c>
      <c r="B143" s="23" t="s">
        <v>17</v>
      </c>
      <c r="C143" s="23" t="s">
        <v>51</v>
      </c>
      <c r="D143" s="8">
        <v>2014</v>
      </c>
      <c r="E143" s="21" t="s">
        <v>42</v>
      </c>
      <c r="F143" s="22">
        <v>41750</v>
      </c>
      <c r="G143" s="23">
        <v>11585</v>
      </c>
      <c r="H143" s="13" t="s">
        <v>200</v>
      </c>
      <c r="I143" s="12">
        <v>16549</v>
      </c>
      <c r="J143" s="13" t="s">
        <v>53</v>
      </c>
      <c r="K143" s="13" t="s">
        <v>54</v>
      </c>
      <c r="L143" s="13"/>
      <c r="M143" s="13"/>
      <c r="N143" s="31"/>
      <c r="O143" s="14">
        <f t="shared" si="4"/>
        <v>16549</v>
      </c>
      <c r="P143" s="15">
        <f t="shared" si="5"/>
        <v>41750</v>
      </c>
      <c r="Q143" s="15"/>
      <c r="R143" s="26"/>
      <c r="S143" s="26"/>
    </row>
    <row r="144" spans="1:19" x14ac:dyDescent="0.25">
      <c r="A144" s="23" t="s">
        <v>16</v>
      </c>
      <c r="B144" s="23" t="s">
        <v>17</v>
      </c>
      <c r="C144" s="23" t="s">
        <v>51</v>
      </c>
      <c r="D144" s="8">
        <v>2014</v>
      </c>
      <c r="E144" s="21" t="s">
        <v>42</v>
      </c>
      <c r="F144" s="22">
        <v>41750</v>
      </c>
      <c r="G144" s="23">
        <v>11651</v>
      </c>
      <c r="H144" s="13" t="s">
        <v>88</v>
      </c>
      <c r="I144" s="12">
        <v>4000</v>
      </c>
      <c r="J144" s="13" t="s">
        <v>53</v>
      </c>
      <c r="K144" s="13" t="s">
        <v>54</v>
      </c>
      <c r="L144" s="13"/>
      <c r="M144" s="13"/>
      <c r="N144" s="31"/>
      <c r="O144" s="14">
        <f t="shared" si="4"/>
        <v>4000</v>
      </c>
      <c r="P144" s="15">
        <f t="shared" si="5"/>
        <v>41750</v>
      </c>
      <c r="Q144" s="15"/>
      <c r="R144" s="26"/>
      <c r="S144" s="26"/>
    </row>
    <row r="145" spans="1:19" x14ac:dyDescent="0.25">
      <c r="A145" s="23" t="s">
        <v>16</v>
      </c>
      <c r="B145" s="23" t="s">
        <v>17</v>
      </c>
      <c r="C145" s="23" t="s">
        <v>51</v>
      </c>
      <c r="D145" s="8">
        <v>2014</v>
      </c>
      <c r="E145" s="21" t="s">
        <v>42</v>
      </c>
      <c r="F145" s="22">
        <v>41750</v>
      </c>
      <c r="G145" s="23">
        <v>11682</v>
      </c>
      <c r="H145" s="13" t="s">
        <v>182</v>
      </c>
      <c r="I145" s="12">
        <v>4900</v>
      </c>
      <c r="J145" s="13" t="s">
        <v>53</v>
      </c>
      <c r="K145" s="13" t="s">
        <v>54</v>
      </c>
      <c r="L145" s="13"/>
      <c r="M145" s="13"/>
      <c r="N145" s="31"/>
      <c r="O145" s="14">
        <f t="shared" si="4"/>
        <v>4900</v>
      </c>
      <c r="P145" s="15">
        <f t="shared" si="5"/>
        <v>41750</v>
      </c>
      <c r="Q145" s="15"/>
      <c r="R145" s="26"/>
      <c r="S145" s="26"/>
    </row>
    <row r="146" spans="1:19" x14ac:dyDescent="0.25">
      <c r="A146" s="23" t="s">
        <v>16</v>
      </c>
      <c r="B146" s="23" t="s">
        <v>17</v>
      </c>
      <c r="C146" s="23" t="s">
        <v>18</v>
      </c>
      <c r="D146" s="8">
        <v>2014</v>
      </c>
      <c r="E146" s="21" t="s">
        <v>42</v>
      </c>
      <c r="F146" s="22">
        <v>41751</v>
      </c>
      <c r="G146" s="23"/>
      <c r="H146" s="13" t="s">
        <v>70</v>
      </c>
      <c r="I146" s="12">
        <f>-43.25-22-46.25</f>
        <v>-111.5</v>
      </c>
      <c r="J146" s="13" t="s">
        <v>21</v>
      </c>
      <c r="K146" s="13" t="s">
        <v>22</v>
      </c>
      <c r="L146" s="13" t="s">
        <v>71</v>
      </c>
      <c r="M146" s="13" t="s">
        <v>201</v>
      </c>
      <c r="N146" s="31"/>
      <c r="O146" s="14">
        <f t="shared" si="4"/>
        <v>-111.5</v>
      </c>
      <c r="P146" s="15">
        <f t="shared" si="5"/>
        <v>41751</v>
      </c>
      <c r="Q146" s="15"/>
      <c r="R146" s="26"/>
      <c r="S146" s="26"/>
    </row>
    <row r="147" spans="1:19" x14ac:dyDescent="0.25">
      <c r="A147" s="23" t="s">
        <v>16</v>
      </c>
      <c r="B147" s="23" t="s">
        <v>17</v>
      </c>
      <c r="C147" s="23" t="s">
        <v>18</v>
      </c>
      <c r="D147" s="8">
        <v>2014</v>
      </c>
      <c r="E147" s="21" t="s">
        <v>42</v>
      </c>
      <c r="F147" s="22">
        <v>41751</v>
      </c>
      <c r="G147" s="23"/>
      <c r="H147" s="13" t="s">
        <v>202</v>
      </c>
      <c r="I147" s="12">
        <v>-96.4</v>
      </c>
      <c r="J147" s="13" t="s">
        <v>21</v>
      </c>
      <c r="K147" s="13" t="s">
        <v>22</v>
      </c>
      <c r="L147" s="13" t="s">
        <v>71</v>
      </c>
      <c r="M147" s="13"/>
      <c r="N147" s="31"/>
      <c r="O147" s="14">
        <f t="shared" si="4"/>
        <v>-96.4</v>
      </c>
      <c r="P147" s="15">
        <f t="shared" si="5"/>
        <v>41751</v>
      </c>
      <c r="Q147" s="15"/>
      <c r="R147" s="26"/>
      <c r="S147" s="26"/>
    </row>
    <row r="148" spans="1:19" x14ac:dyDescent="0.25">
      <c r="A148" s="23" t="s">
        <v>16</v>
      </c>
      <c r="B148" s="23" t="s">
        <v>17</v>
      </c>
      <c r="C148" s="23" t="s">
        <v>18</v>
      </c>
      <c r="D148" s="8">
        <v>2014</v>
      </c>
      <c r="E148" s="21" t="s">
        <v>42</v>
      </c>
      <c r="F148" s="22">
        <v>41751</v>
      </c>
      <c r="G148" s="23"/>
      <c r="H148" s="13" t="s">
        <v>203</v>
      </c>
      <c r="I148" s="12">
        <v>-263</v>
      </c>
      <c r="J148" s="13" t="s">
        <v>21</v>
      </c>
      <c r="K148" s="13" t="s">
        <v>22</v>
      </c>
      <c r="L148" s="13" t="s">
        <v>71</v>
      </c>
      <c r="M148" s="13" t="s">
        <v>28</v>
      </c>
      <c r="N148" s="31"/>
      <c r="O148" s="14">
        <f t="shared" si="4"/>
        <v>-263</v>
      </c>
      <c r="P148" s="15">
        <f t="shared" si="5"/>
        <v>41751</v>
      </c>
      <c r="Q148" s="15"/>
      <c r="R148" s="26"/>
      <c r="S148" s="26"/>
    </row>
    <row r="149" spans="1:19" x14ac:dyDescent="0.25">
      <c r="A149" s="23" t="s">
        <v>16</v>
      </c>
      <c r="B149" s="23" t="s">
        <v>17</v>
      </c>
      <c r="C149" s="23" t="s">
        <v>18</v>
      </c>
      <c r="D149" s="8">
        <v>2014</v>
      </c>
      <c r="E149" s="21" t="s">
        <v>42</v>
      </c>
      <c r="F149" s="22">
        <v>41751</v>
      </c>
      <c r="G149" s="23"/>
      <c r="H149" s="13" t="s">
        <v>122</v>
      </c>
      <c r="I149" s="12">
        <v>-3000</v>
      </c>
      <c r="J149" s="13" t="s">
        <v>33</v>
      </c>
      <c r="K149" s="13" t="s">
        <v>123</v>
      </c>
      <c r="L149" s="13" t="s">
        <v>124</v>
      </c>
      <c r="M149" s="25" t="s">
        <v>125</v>
      </c>
      <c r="N149" s="31"/>
      <c r="O149" s="14">
        <f t="shared" si="4"/>
        <v>-3000</v>
      </c>
      <c r="P149" s="15">
        <f t="shared" si="5"/>
        <v>41751</v>
      </c>
      <c r="Q149" s="15"/>
      <c r="R149" s="26"/>
      <c r="S149" s="26"/>
    </row>
    <row r="150" spans="1:19" x14ac:dyDescent="0.25">
      <c r="A150" s="23" t="s">
        <v>16</v>
      </c>
      <c r="B150" s="23" t="s">
        <v>17</v>
      </c>
      <c r="C150" s="23" t="s">
        <v>18</v>
      </c>
      <c r="D150" s="8">
        <v>2014</v>
      </c>
      <c r="E150" s="21" t="s">
        <v>42</v>
      </c>
      <c r="F150" s="22">
        <v>41751</v>
      </c>
      <c r="G150" s="23"/>
      <c r="H150" s="13" t="s">
        <v>204</v>
      </c>
      <c r="I150" s="12">
        <v>-2726.84</v>
      </c>
      <c r="J150" s="13" t="s">
        <v>21</v>
      </c>
      <c r="K150" s="13" t="s">
        <v>143</v>
      </c>
      <c r="L150" s="13" t="s">
        <v>205</v>
      </c>
      <c r="M150" s="13" t="s">
        <v>145</v>
      </c>
      <c r="N150" s="31"/>
      <c r="O150" s="14">
        <f t="shared" si="4"/>
        <v>-2726.84</v>
      </c>
      <c r="P150" s="15">
        <f t="shared" si="5"/>
        <v>41751</v>
      </c>
      <c r="Q150" s="15"/>
      <c r="R150" s="26"/>
      <c r="S150" s="26"/>
    </row>
    <row r="151" spans="1:19" x14ac:dyDescent="0.25">
      <c r="A151" s="23" t="s">
        <v>16</v>
      </c>
      <c r="B151" s="23" t="s">
        <v>17</v>
      </c>
      <c r="C151" s="23" t="s">
        <v>18</v>
      </c>
      <c r="D151" s="8">
        <v>2014</v>
      </c>
      <c r="E151" s="21" t="s">
        <v>42</v>
      </c>
      <c r="F151" s="22">
        <v>41751</v>
      </c>
      <c r="G151" s="23"/>
      <c r="H151" s="13" t="s">
        <v>70</v>
      </c>
      <c r="I151" s="12">
        <f>-26-10-11</f>
        <v>-47</v>
      </c>
      <c r="J151" s="13" t="s">
        <v>21</v>
      </c>
      <c r="K151" s="13" t="s">
        <v>22</v>
      </c>
      <c r="L151" s="13" t="s">
        <v>71</v>
      </c>
      <c r="M151" s="13" t="s">
        <v>201</v>
      </c>
      <c r="N151" s="31"/>
      <c r="O151" s="14">
        <f t="shared" si="4"/>
        <v>-47</v>
      </c>
      <c r="P151" s="15">
        <f t="shared" si="5"/>
        <v>41751</v>
      </c>
      <c r="Q151" s="15"/>
      <c r="R151" s="26"/>
      <c r="S151" s="26"/>
    </row>
    <row r="152" spans="1:19" x14ac:dyDescent="0.25">
      <c r="A152" s="23" t="s">
        <v>16</v>
      </c>
      <c r="B152" s="23" t="s">
        <v>17</v>
      </c>
      <c r="C152" s="23" t="s">
        <v>18</v>
      </c>
      <c r="D152" s="8">
        <v>2014</v>
      </c>
      <c r="E152" s="21" t="s">
        <v>42</v>
      </c>
      <c r="F152" s="22">
        <v>41751</v>
      </c>
      <c r="G152" s="23"/>
      <c r="H152" s="13" t="s">
        <v>79</v>
      </c>
      <c r="I152" s="12">
        <v>-45</v>
      </c>
      <c r="J152" s="13" t="s">
        <v>21</v>
      </c>
      <c r="K152" s="13" t="s">
        <v>22</v>
      </c>
      <c r="L152" s="13" t="s">
        <v>71</v>
      </c>
      <c r="M152" s="13" t="s">
        <v>206</v>
      </c>
      <c r="N152" s="31"/>
      <c r="O152" s="14">
        <f t="shared" si="4"/>
        <v>-45</v>
      </c>
      <c r="P152" s="15">
        <f t="shared" si="5"/>
        <v>41751</v>
      </c>
      <c r="Q152" s="15"/>
      <c r="R152" s="26"/>
      <c r="S152" s="26"/>
    </row>
    <row r="153" spans="1:19" x14ac:dyDescent="0.25">
      <c r="A153" s="23" t="s">
        <v>16</v>
      </c>
      <c r="B153" s="23" t="s">
        <v>17</v>
      </c>
      <c r="C153" s="23" t="s">
        <v>51</v>
      </c>
      <c r="D153" s="8">
        <v>2014</v>
      </c>
      <c r="E153" s="21" t="s">
        <v>42</v>
      </c>
      <c r="F153" s="22">
        <v>41751</v>
      </c>
      <c r="G153" s="23">
        <v>11571</v>
      </c>
      <c r="H153" s="13" t="s">
        <v>207</v>
      </c>
      <c r="I153" s="12">
        <v>36470</v>
      </c>
      <c r="J153" s="13" t="s">
        <v>53</v>
      </c>
      <c r="K153" s="13" t="s">
        <v>54</v>
      </c>
      <c r="L153" s="13"/>
      <c r="M153" s="13"/>
      <c r="N153" s="31"/>
      <c r="O153" s="14">
        <f t="shared" si="4"/>
        <v>36470</v>
      </c>
      <c r="P153" s="15">
        <f t="shared" si="5"/>
        <v>41751</v>
      </c>
      <c r="Q153" s="15"/>
      <c r="R153" s="26"/>
      <c r="S153" s="26"/>
    </row>
    <row r="154" spans="1:19" x14ac:dyDescent="0.25">
      <c r="A154" s="23" t="s">
        <v>16</v>
      </c>
      <c r="B154" s="23" t="s">
        <v>17</v>
      </c>
      <c r="C154" s="23" t="s">
        <v>51</v>
      </c>
      <c r="D154" s="8">
        <v>2014</v>
      </c>
      <c r="E154" s="21" t="s">
        <v>42</v>
      </c>
      <c r="F154" s="22">
        <v>41751</v>
      </c>
      <c r="G154" s="23">
        <v>11691</v>
      </c>
      <c r="H154" s="13" t="s">
        <v>208</v>
      </c>
      <c r="I154" s="12">
        <v>10000</v>
      </c>
      <c r="J154" s="13" t="s">
        <v>53</v>
      </c>
      <c r="K154" s="13" t="s">
        <v>54</v>
      </c>
      <c r="L154" s="13"/>
      <c r="M154" s="13"/>
      <c r="N154" s="31"/>
      <c r="O154" s="14">
        <f t="shared" si="4"/>
        <v>10000</v>
      </c>
      <c r="P154" s="15">
        <f t="shared" si="5"/>
        <v>41751</v>
      </c>
      <c r="Q154" s="15"/>
      <c r="R154" s="26"/>
      <c r="S154" s="26"/>
    </row>
    <row r="155" spans="1:19" x14ac:dyDescent="0.25">
      <c r="A155" s="8" t="s">
        <v>16</v>
      </c>
      <c r="B155" s="8" t="s">
        <v>17</v>
      </c>
      <c r="C155" s="23" t="s">
        <v>51</v>
      </c>
      <c r="D155" s="8">
        <v>2014</v>
      </c>
      <c r="E155" s="21" t="s">
        <v>42</v>
      </c>
      <c r="F155" s="22">
        <v>41752</v>
      </c>
      <c r="G155" s="23">
        <v>11658</v>
      </c>
      <c r="H155" s="13" t="s">
        <v>209</v>
      </c>
      <c r="I155" s="12">
        <v>5000</v>
      </c>
      <c r="J155" s="13" t="s">
        <v>53</v>
      </c>
      <c r="K155" s="13" t="s">
        <v>54</v>
      </c>
      <c r="L155" s="13"/>
      <c r="M155" s="13"/>
      <c r="N155" s="31"/>
      <c r="O155" s="14">
        <f t="shared" si="4"/>
        <v>5000</v>
      </c>
      <c r="P155" s="15">
        <f t="shared" si="5"/>
        <v>41752</v>
      </c>
      <c r="Q155" s="15"/>
      <c r="R155" s="26"/>
      <c r="S155" s="26"/>
    </row>
    <row r="156" spans="1:19" x14ac:dyDescent="0.25">
      <c r="A156" s="8" t="s">
        <v>16</v>
      </c>
      <c r="B156" s="8" t="s">
        <v>17</v>
      </c>
      <c r="C156" s="8" t="s">
        <v>18</v>
      </c>
      <c r="D156" s="8">
        <v>2014</v>
      </c>
      <c r="E156" s="21" t="s">
        <v>42</v>
      </c>
      <c r="F156" s="22">
        <v>41752</v>
      </c>
      <c r="G156" s="8"/>
      <c r="H156" s="11" t="s">
        <v>210</v>
      </c>
      <c r="I156" s="12">
        <v>-53</v>
      </c>
      <c r="J156" s="13" t="s">
        <v>21</v>
      </c>
      <c r="K156" s="13" t="s">
        <v>63</v>
      </c>
      <c r="L156" s="13" t="s">
        <v>64</v>
      </c>
      <c r="M156" s="13" t="s">
        <v>211</v>
      </c>
      <c r="N156" s="14"/>
      <c r="O156" s="14">
        <f t="shared" si="4"/>
        <v>-53</v>
      </c>
      <c r="P156" s="15">
        <f t="shared" si="5"/>
        <v>41752</v>
      </c>
      <c r="Q156" s="15"/>
      <c r="R156" s="26"/>
      <c r="S156" s="26"/>
    </row>
    <row r="157" spans="1:19" x14ac:dyDescent="0.25">
      <c r="A157" s="8" t="s">
        <v>16</v>
      </c>
      <c r="B157" s="8" t="s">
        <v>17</v>
      </c>
      <c r="C157" s="8" t="s">
        <v>18</v>
      </c>
      <c r="D157" s="8">
        <v>2014</v>
      </c>
      <c r="E157" s="21" t="s">
        <v>42</v>
      </c>
      <c r="F157" s="22">
        <v>41752</v>
      </c>
      <c r="G157" s="8"/>
      <c r="H157" s="17" t="s">
        <v>212</v>
      </c>
      <c r="I157" s="12">
        <v>-500.94</v>
      </c>
      <c r="J157" s="13" t="s">
        <v>33</v>
      </c>
      <c r="K157" s="13" t="s">
        <v>34</v>
      </c>
      <c r="L157" s="13" t="s">
        <v>35</v>
      </c>
      <c r="M157" s="13"/>
      <c r="N157" s="14"/>
      <c r="O157" s="14">
        <f t="shared" si="4"/>
        <v>-500.94</v>
      </c>
      <c r="P157" s="15">
        <f t="shared" si="5"/>
        <v>41752</v>
      </c>
      <c r="Q157" s="15"/>
      <c r="R157" s="26"/>
      <c r="S157" s="26"/>
    </row>
    <row r="158" spans="1:19" x14ac:dyDescent="0.25">
      <c r="A158" s="8" t="s">
        <v>16</v>
      </c>
      <c r="B158" s="8" t="s">
        <v>17</v>
      </c>
      <c r="C158" s="8" t="s">
        <v>18</v>
      </c>
      <c r="D158" s="8">
        <v>2014</v>
      </c>
      <c r="E158" s="21" t="s">
        <v>42</v>
      </c>
      <c r="F158" s="22">
        <v>41752</v>
      </c>
      <c r="G158" s="8"/>
      <c r="H158" s="11" t="s">
        <v>213</v>
      </c>
      <c r="I158" s="12">
        <v>-3205.3</v>
      </c>
      <c r="J158" s="13" t="s">
        <v>21</v>
      </c>
      <c r="K158" s="13" t="s">
        <v>56</v>
      </c>
      <c r="L158" s="13" t="s">
        <v>57</v>
      </c>
      <c r="M158" s="13" t="s">
        <v>214</v>
      </c>
      <c r="N158" s="14"/>
      <c r="O158" s="14">
        <f t="shared" si="4"/>
        <v>-3205.3</v>
      </c>
      <c r="P158" s="15">
        <f t="shared" si="5"/>
        <v>41752</v>
      </c>
      <c r="Q158" s="15"/>
      <c r="R158" s="26"/>
      <c r="S158" s="26"/>
    </row>
    <row r="159" spans="1:19" x14ac:dyDescent="0.25">
      <c r="A159" s="8" t="s">
        <v>16</v>
      </c>
      <c r="B159" s="8" t="s">
        <v>17</v>
      </c>
      <c r="C159" s="36" t="s">
        <v>51</v>
      </c>
      <c r="D159" s="8">
        <v>2014</v>
      </c>
      <c r="E159" s="21" t="s">
        <v>42</v>
      </c>
      <c r="F159" s="10">
        <v>41752</v>
      </c>
      <c r="G159" s="8"/>
      <c r="H159" s="11" t="s">
        <v>215</v>
      </c>
      <c r="I159" s="12">
        <v>-100</v>
      </c>
      <c r="J159" s="13" t="s">
        <v>53</v>
      </c>
      <c r="K159" s="13" t="s">
        <v>54</v>
      </c>
      <c r="L159" s="13"/>
      <c r="M159" s="13"/>
      <c r="N159" s="14"/>
      <c r="O159" s="14">
        <f t="shared" si="4"/>
        <v>-100</v>
      </c>
      <c r="P159" s="15">
        <f t="shared" si="5"/>
        <v>41752</v>
      </c>
      <c r="Q159" s="15"/>
      <c r="R159" s="26"/>
      <c r="S159" s="26"/>
    </row>
    <row r="160" spans="1:19" x14ac:dyDescent="0.25">
      <c r="A160" s="23" t="s">
        <v>16</v>
      </c>
      <c r="B160" s="23" t="s">
        <v>17</v>
      </c>
      <c r="C160" s="23" t="s">
        <v>18</v>
      </c>
      <c r="D160" s="8">
        <v>2014</v>
      </c>
      <c r="E160" s="21" t="s">
        <v>42</v>
      </c>
      <c r="F160" s="22">
        <v>41752</v>
      </c>
      <c r="G160" s="23"/>
      <c r="H160" s="13" t="s">
        <v>216</v>
      </c>
      <c r="I160" s="12">
        <v>-75</v>
      </c>
      <c r="J160" s="13" t="s">
        <v>21</v>
      </c>
      <c r="K160" s="13" t="s">
        <v>22</v>
      </c>
      <c r="L160" s="13" t="s">
        <v>71</v>
      </c>
      <c r="M160" s="13" t="s">
        <v>201</v>
      </c>
      <c r="N160" s="31"/>
      <c r="O160" s="14">
        <f t="shared" si="4"/>
        <v>-75</v>
      </c>
      <c r="P160" s="15">
        <f t="shared" si="5"/>
        <v>41752</v>
      </c>
      <c r="Q160" s="15"/>
      <c r="R160" s="26"/>
      <c r="S160" s="26"/>
    </row>
    <row r="161" spans="1:19" x14ac:dyDescent="0.25">
      <c r="A161" s="8" t="s">
        <v>16</v>
      </c>
      <c r="B161" s="8" t="s">
        <v>17</v>
      </c>
      <c r="C161" s="8" t="s">
        <v>18</v>
      </c>
      <c r="D161" s="8">
        <v>2014</v>
      </c>
      <c r="E161" s="21" t="s">
        <v>42</v>
      </c>
      <c r="F161" s="10">
        <v>41752</v>
      </c>
      <c r="G161" s="8"/>
      <c r="H161" s="11" t="s">
        <v>217</v>
      </c>
      <c r="I161" s="12">
        <v>-890</v>
      </c>
      <c r="J161" s="13" t="s">
        <v>21</v>
      </c>
      <c r="K161" s="13" t="s">
        <v>63</v>
      </c>
      <c r="L161" s="13" t="s">
        <v>64</v>
      </c>
      <c r="M161" s="13"/>
      <c r="N161" s="14"/>
      <c r="O161" s="14">
        <f t="shared" si="4"/>
        <v>-890</v>
      </c>
      <c r="P161" s="15">
        <f t="shared" si="5"/>
        <v>41752</v>
      </c>
      <c r="Q161" s="15"/>
      <c r="R161" s="26"/>
      <c r="S161" s="26"/>
    </row>
    <row r="162" spans="1:19" x14ac:dyDescent="0.25">
      <c r="A162" s="23" t="s">
        <v>16</v>
      </c>
      <c r="B162" s="23" t="s">
        <v>17</v>
      </c>
      <c r="C162" s="23" t="s">
        <v>18</v>
      </c>
      <c r="D162" s="8">
        <v>2014</v>
      </c>
      <c r="E162" s="21" t="s">
        <v>42</v>
      </c>
      <c r="F162" s="22">
        <v>41752</v>
      </c>
      <c r="G162" s="23"/>
      <c r="H162" s="13" t="s">
        <v>216</v>
      </c>
      <c r="I162" s="12">
        <v>-191.5</v>
      </c>
      <c r="J162" s="13" t="s">
        <v>21</v>
      </c>
      <c r="K162" s="13" t="s">
        <v>22</v>
      </c>
      <c r="L162" s="13" t="s">
        <v>71</v>
      </c>
      <c r="M162" s="13" t="s">
        <v>201</v>
      </c>
      <c r="N162" s="31"/>
      <c r="O162" s="14">
        <f t="shared" si="4"/>
        <v>-191.5</v>
      </c>
      <c r="P162" s="15">
        <f t="shared" si="5"/>
        <v>41752</v>
      </c>
      <c r="Q162" s="15"/>
      <c r="R162" s="26"/>
      <c r="S162" s="26"/>
    </row>
    <row r="163" spans="1:19" x14ac:dyDescent="0.25">
      <c r="A163" s="8" t="s">
        <v>16</v>
      </c>
      <c r="B163" s="8" t="s">
        <v>17</v>
      </c>
      <c r="C163" s="8" t="s">
        <v>18</v>
      </c>
      <c r="D163" s="8">
        <v>2014</v>
      </c>
      <c r="E163" s="21" t="s">
        <v>42</v>
      </c>
      <c r="F163" s="22">
        <v>41752</v>
      </c>
      <c r="G163" s="8"/>
      <c r="H163" s="11" t="s">
        <v>218</v>
      </c>
      <c r="I163" s="12">
        <v>-49</v>
      </c>
      <c r="J163" s="13" t="s">
        <v>21</v>
      </c>
      <c r="K163" s="13" t="s">
        <v>22</v>
      </c>
      <c r="L163" s="13" t="s">
        <v>121</v>
      </c>
      <c r="M163" s="13" t="s">
        <v>219</v>
      </c>
      <c r="N163" s="14"/>
      <c r="O163" s="14">
        <f t="shared" si="4"/>
        <v>-49</v>
      </c>
      <c r="P163" s="15">
        <f t="shared" si="5"/>
        <v>41752</v>
      </c>
      <c r="Q163" s="15"/>
      <c r="R163" s="26"/>
      <c r="S163" s="26"/>
    </row>
    <row r="164" spans="1:19" x14ac:dyDescent="0.25">
      <c r="A164" s="8" t="s">
        <v>16</v>
      </c>
      <c r="B164" s="8" t="s">
        <v>17</v>
      </c>
      <c r="C164" s="8" t="s">
        <v>18</v>
      </c>
      <c r="D164" s="8">
        <v>2014</v>
      </c>
      <c r="E164" s="21" t="s">
        <v>42</v>
      </c>
      <c r="F164" s="22">
        <v>41752</v>
      </c>
      <c r="G164" s="8"/>
      <c r="H164" s="13" t="s">
        <v>220</v>
      </c>
      <c r="I164" s="12">
        <v>-170</v>
      </c>
      <c r="J164" s="13" t="s">
        <v>21</v>
      </c>
      <c r="K164" s="13" t="s">
        <v>22</v>
      </c>
      <c r="L164" s="13" t="s">
        <v>23</v>
      </c>
      <c r="M164" s="13"/>
      <c r="N164" s="14"/>
      <c r="O164" s="14">
        <f t="shared" si="4"/>
        <v>-170</v>
      </c>
      <c r="P164" s="15">
        <f t="shared" si="5"/>
        <v>41752</v>
      </c>
      <c r="Q164" s="15"/>
      <c r="R164" s="16"/>
      <c r="S164" s="16"/>
    </row>
    <row r="165" spans="1:19" x14ac:dyDescent="0.25">
      <c r="A165" s="8" t="s">
        <v>16</v>
      </c>
      <c r="B165" s="8" t="s">
        <v>17</v>
      </c>
      <c r="C165" s="8" t="s">
        <v>18</v>
      </c>
      <c r="D165" s="8">
        <v>2014</v>
      </c>
      <c r="E165" s="21" t="s">
        <v>42</v>
      </c>
      <c r="F165" s="22">
        <v>41752</v>
      </c>
      <c r="G165" s="8"/>
      <c r="H165" s="13" t="s">
        <v>221</v>
      </c>
      <c r="I165" s="12">
        <v>-25</v>
      </c>
      <c r="J165" s="13" t="s">
        <v>21</v>
      </c>
      <c r="K165" s="13" t="s">
        <v>22</v>
      </c>
      <c r="L165" s="13" t="s">
        <v>23</v>
      </c>
      <c r="M165" s="13"/>
      <c r="N165" s="14"/>
      <c r="O165" s="14">
        <f t="shared" si="4"/>
        <v>-25</v>
      </c>
      <c r="P165" s="15">
        <f t="shared" si="5"/>
        <v>41752</v>
      </c>
      <c r="Q165" s="15"/>
      <c r="R165" s="16"/>
      <c r="S165" s="16"/>
    </row>
    <row r="166" spans="1:19" x14ac:dyDescent="0.25">
      <c r="A166" s="8" t="s">
        <v>16</v>
      </c>
      <c r="B166" s="8" t="s">
        <v>17</v>
      </c>
      <c r="C166" s="8" t="s">
        <v>18</v>
      </c>
      <c r="D166" s="8">
        <v>2014</v>
      </c>
      <c r="E166" s="21" t="s">
        <v>42</v>
      </c>
      <c r="F166" s="22">
        <v>41752</v>
      </c>
      <c r="G166" s="8"/>
      <c r="H166" s="11" t="s">
        <v>222</v>
      </c>
      <c r="I166" s="12">
        <v>-419</v>
      </c>
      <c r="J166" s="13" t="s">
        <v>21</v>
      </c>
      <c r="K166" s="13" t="s">
        <v>63</v>
      </c>
      <c r="L166" s="13" t="s">
        <v>64</v>
      </c>
      <c r="M166" s="13"/>
      <c r="N166" s="14"/>
      <c r="O166" s="14">
        <f t="shared" si="4"/>
        <v>-419</v>
      </c>
      <c r="P166" s="15">
        <f t="shared" si="5"/>
        <v>41752</v>
      </c>
      <c r="Q166" s="15"/>
      <c r="R166" s="16"/>
      <c r="S166" s="16"/>
    </row>
    <row r="167" spans="1:19" x14ac:dyDescent="0.25">
      <c r="A167" s="8" t="s">
        <v>16</v>
      </c>
      <c r="B167" s="8" t="s">
        <v>17</v>
      </c>
      <c r="C167" s="8" t="s">
        <v>18</v>
      </c>
      <c r="D167" s="8">
        <v>2014</v>
      </c>
      <c r="E167" s="21" t="s">
        <v>42</v>
      </c>
      <c r="F167" s="22">
        <v>41752</v>
      </c>
      <c r="G167" s="8"/>
      <c r="H167" s="11" t="s">
        <v>223</v>
      </c>
      <c r="I167" s="12">
        <v>-29.7</v>
      </c>
      <c r="J167" s="48" t="s">
        <v>33</v>
      </c>
      <c r="K167" s="13" t="s">
        <v>224</v>
      </c>
      <c r="L167" s="13" t="s">
        <v>225</v>
      </c>
      <c r="M167" s="13" t="s">
        <v>226</v>
      </c>
      <c r="N167" s="14"/>
      <c r="O167" s="14">
        <f t="shared" si="4"/>
        <v>-29.7</v>
      </c>
      <c r="P167" s="15">
        <f t="shared" si="5"/>
        <v>41752</v>
      </c>
      <c r="Q167" s="15"/>
      <c r="R167" s="16"/>
      <c r="S167" s="16"/>
    </row>
    <row r="168" spans="1:19" x14ac:dyDescent="0.25">
      <c r="A168" s="8" t="s">
        <v>16</v>
      </c>
      <c r="B168" s="8" t="s">
        <v>17</v>
      </c>
      <c r="C168" s="8" t="s">
        <v>18</v>
      </c>
      <c r="D168" s="8">
        <v>2014</v>
      </c>
      <c r="E168" s="21" t="s">
        <v>42</v>
      </c>
      <c r="F168" s="22">
        <v>41752</v>
      </c>
      <c r="G168" s="8"/>
      <c r="H168" s="11" t="s">
        <v>227</v>
      </c>
      <c r="I168" s="12">
        <f>-600-500-300-25</f>
        <v>-1425</v>
      </c>
      <c r="J168" s="13" t="s">
        <v>21</v>
      </c>
      <c r="K168" s="13" t="s">
        <v>56</v>
      </c>
      <c r="L168" s="13" t="s">
        <v>57</v>
      </c>
      <c r="M168" s="13" t="s">
        <v>214</v>
      </c>
      <c r="N168" s="14"/>
      <c r="O168" s="14">
        <f t="shared" si="4"/>
        <v>-1425</v>
      </c>
      <c r="P168" s="15">
        <f t="shared" si="5"/>
        <v>41752</v>
      </c>
      <c r="Q168" s="15"/>
      <c r="R168" s="16"/>
      <c r="S168" s="16"/>
    </row>
    <row r="169" spans="1:19" x14ac:dyDescent="0.25">
      <c r="A169" s="8" t="s">
        <v>16</v>
      </c>
      <c r="B169" s="8" t="s">
        <v>17</v>
      </c>
      <c r="C169" s="8" t="s">
        <v>18</v>
      </c>
      <c r="D169" s="8">
        <v>2014</v>
      </c>
      <c r="E169" s="21" t="s">
        <v>42</v>
      </c>
      <c r="F169" s="22">
        <v>41752</v>
      </c>
      <c r="G169" s="8"/>
      <c r="H169" s="11" t="s">
        <v>228</v>
      </c>
      <c r="I169" s="12">
        <v>-20</v>
      </c>
      <c r="J169" s="13" t="s">
        <v>21</v>
      </c>
      <c r="K169" s="13" t="s">
        <v>63</v>
      </c>
      <c r="L169" s="13" t="s">
        <v>64</v>
      </c>
      <c r="M169" s="13"/>
      <c r="N169" s="14"/>
      <c r="O169" s="14">
        <f t="shared" si="4"/>
        <v>-20</v>
      </c>
      <c r="P169" s="15">
        <f t="shared" si="5"/>
        <v>41752</v>
      </c>
      <c r="Q169" s="15"/>
      <c r="R169" s="16"/>
      <c r="S169" s="16"/>
    </row>
    <row r="170" spans="1:19" x14ac:dyDescent="0.25">
      <c r="A170" s="8" t="s">
        <v>16</v>
      </c>
      <c r="B170" s="8" t="s">
        <v>17</v>
      </c>
      <c r="C170" s="8" t="s">
        <v>18</v>
      </c>
      <c r="D170" s="8">
        <v>2014</v>
      </c>
      <c r="E170" s="21" t="s">
        <v>42</v>
      </c>
      <c r="F170" s="22">
        <v>41752</v>
      </c>
      <c r="G170" s="8"/>
      <c r="H170" s="17" t="s">
        <v>229</v>
      </c>
      <c r="I170" s="12">
        <v>-60</v>
      </c>
      <c r="J170" s="13" t="s">
        <v>33</v>
      </c>
      <c r="K170" s="13" t="s">
        <v>34</v>
      </c>
      <c r="L170" s="13" t="s">
        <v>76</v>
      </c>
      <c r="M170" s="13"/>
      <c r="N170" s="14"/>
      <c r="O170" s="14">
        <f t="shared" si="4"/>
        <v>-60</v>
      </c>
      <c r="P170" s="15">
        <f t="shared" si="5"/>
        <v>41752</v>
      </c>
      <c r="Q170" s="15"/>
      <c r="R170" s="16"/>
      <c r="S170" s="16"/>
    </row>
    <row r="171" spans="1:19" x14ac:dyDescent="0.25">
      <c r="A171" s="8" t="s">
        <v>16</v>
      </c>
      <c r="B171" s="8" t="s">
        <v>17</v>
      </c>
      <c r="C171" s="8" t="s">
        <v>18</v>
      </c>
      <c r="D171" s="8">
        <v>2014</v>
      </c>
      <c r="E171" s="21" t="s">
        <v>42</v>
      </c>
      <c r="F171" s="22">
        <v>41752</v>
      </c>
      <c r="G171" s="8"/>
      <c r="H171" s="17" t="s">
        <v>229</v>
      </c>
      <c r="I171" s="12">
        <v>-100</v>
      </c>
      <c r="J171" s="13" t="s">
        <v>33</v>
      </c>
      <c r="K171" s="13" t="s">
        <v>34</v>
      </c>
      <c r="L171" s="13" t="s">
        <v>76</v>
      </c>
      <c r="M171" s="13"/>
      <c r="N171" s="14"/>
      <c r="O171" s="14">
        <f t="shared" si="4"/>
        <v>-100</v>
      </c>
      <c r="P171" s="15">
        <f t="shared" si="5"/>
        <v>41752</v>
      </c>
      <c r="Q171" s="15"/>
      <c r="R171" s="26"/>
      <c r="S171" s="26"/>
    </row>
    <row r="172" spans="1:19" x14ac:dyDescent="0.25">
      <c r="A172" s="8" t="s">
        <v>16</v>
      </c>
      <c r="B172" s="8" t="s">
        <v>17</v>
      </c>
      <c r="C172" s="8" t="s">
        <v>18</v>
      </c>
      <c r="D172" s="8">
        <v>2014</v>
      </c>
      <c r="E172" s="21" t="s">
        <v>42</v>
      </c>
      <c r="F172" s="22">
        <v>41752</v>
      </c>
      <c r="G172" s="8"/>
      <c r="H172" s="11" t="s">
        <v>230</v>
      </c>
      <c r="I172" s="12">
        <v>-3457.18</v>
      </c>
      <c r="J172" s="13" t="s">
        <v>33</v>
      </c>
      <c r="K172" s="13" t="s">
        <v>224</v>
      </c>
      <c r="L172" s="13" t="s">
        <v>231</v>
      </c>
      <c r="M172" s="13"/>
      <c r="N172" s="14"/>
      <c r="O172" s="14">
        <f t="shared" si="4"/>
        <v>-3457.18</v>
      </c>
      <c r="P172" s="15">
        <f t="shared" si="5"/>
        <v>41752</v>
      </c>
      <c r="Q172" s="15"/>
      <c r="R172" s="26"/>
      <c r="S172" s="26"/>
    </row>
    <row r="173" spans="1:19" x14ac:dyDescent="0.25">
      <c r="A173" s="23" t="s">
        <v>16</v>
      </c>
      <c r="B173" s="23" t="s">
        <v>17</v>
      </c>
      <c r="C173" s="23" t="s">
        <v>18</v>
      </c>
      <c r="D173" s="8">
        <v>2014</v>
      </c>
      <c r="E173" s="21" t="s">
        <v>42</v>
      </c>
      <c r="F173" s="22">
        <v>41753</v>
      </c>
      <c r="G173" s="23"/>
      <c r="H173" s="13" t="s">
        <v>232</v>
      </c>
      <c r="I173" s="12">
        <v>-42</v>
      </c>
      <c r="J173" s="13" t="s">
        <v>21</v>
      </c>
      <c r="K173" s="13" t="s">
        <v>22</v>
      </c>
      <c r="L173" s="13" t="s">
        <v>121</v>
      </c>
      <c r="M173" s="13"/>
      <c r="N173" s="31"/>
      <c r="O173" s="14">
        <f t="shared" si="4"/>
        <v>-42</v>
      </c>
      <c r="P173" s="15">
        <f t="shared" si="5"/>
        <v>41753</v>
      </c>
      <c r="Q173" s="15"/>
      <c r="R173" s="26"/>
      <c r="S173" s="26"/>
    </row>
    <row r="174" spans="1:19" x14ac:dyDescent="0.25">
      <c r="A174" s="23" t="s">
        <v>16</v>
      </c>
      <c r="B174" s="23" t="s">
        <v>17</v>
      </c>
      <c r="C174" s="23" t="s">
        <v>18</v>
      </c>
      <c r="D174" s="8">
        <v>2014</v>
      </c>
      <c r="E174" s="21" t="s">
        <v>42</v>
      </c>
      <c r="F174" s="22">
        <v>41753</v>
      </c>
      <c r="G174" s="23"/>
      <c r="H174" s="13" t="s">
        <v>233</v>
      </c>
      <c r="I174" s="12">
        <v>-10</v>
      </c>
      <c r="J174" s="13" t="s">
        <v>21</v>
      </c>
      <c r="K174" s="13" t="s">
        <v>22</v>
      </c>
      <c r="L174" s="13" t="s">
        <v>121</v>
      </c>
      <c r="M174" s="13"/>
      <c r="N174" s="31"/>
      <c r="O174" s="14">
        <f t="shared" si="4"/>
        <v>-10</v>
      </c>
      <c r="P174" s="15">
        <f t="shared" si="5"/>
        <v>41753</v>
      </c>
      <c r="Q174" s="15"/>
      <c r="R174" s="26"/>
      <c r="S174" s="26"/>
    </row>
    <row r="175" spans="1:19" x14ac:dyDescent="0.25">
      <c r="A175" s="23" t="s">
        <v>16</v>
      </c>
      <c r="B175" s="23" t="s">
        <v>17</v>
      </c>
      <c r="C175" s="23" t="s">
        <v>51</v>
      </c>
      <c r="D175" s="8">
        <v>2014</v>
      </c>
      <c r="E175" s="21" t="s">
        <v>42</v>
      </c>
      <c r="F175" s="22">
        <v>41753</v>
      </c>
      <c r="G175" s="23">
        <v>11693</v>
      </c>
      <c r="H175" s="13" t="s">
        <v>234</v>
      </c>
      <c r="I175" s="12">
        <v>500</v>
      </c>
      <c r="J175" s="13" t="s">
        <v>53</v>
      </c>
      <c r="K175" s="13" t="s">
        <v>54</v>
      </c>
      <c r="L175" s="13"/>
      <c r="M175" s="13"/>
      <c r="N175" s="31"/>
      <c r="O175" s="14">
        <f t="shared" si="4"/>
        <v>500</v>
      </c>
      <c r="P175" s="15">
        <f t="shared" si="5"/>
        <v>41753</v>
      </c>
      <c r="Q175" s="15"/>
      <c r="R175" s="16"/>
      <c r="S175" s="16"/>
    </row>
    <row r="176" spans="1:19" x14ac:dyDescent="0.25">
      <c r="A176" s="23" t="s">
        <v>16</v>
      </c>
      <c r="B176" s="23" t="s">
        <v>17</v>
      </c>
      <c r="C176" s="23" t="s">
        <v>51</v>
      </c>
      <c r="D176" s="8">
        <v>2014</v>
      </c>
      <c r="E176" s="21" t="s">
        <v>42</v>
      </c>
      <c r="F176" s="22">
        <v>41753</v>
      </c>
      <c r="G176" s="23">
        <v>11692</v>
      </c>
      <c r="H176" s="13" t="s">
        <v>235</v>
      </c>
      <c r="I176" s="12">
        <v>10000</v>
      </c>
      <c r="J176" s="13" t="s">
        <v>53</v>
      </c>
      <c r="K176" s="13" t="s">
        <v>54</v>
      </c>
      <c r="L176" s="13"/>
      <c r="M176" s="13"/>
      <c r="N176" s="31"/>
      <c r="O176" s="14">
        <f t="shared" si="4"/>
        <v>10000</v>
      </c>
      <c r="P176" s="15">
        <f t="shared" si="5"/>
        <v>41753</v>
      </c>
      <c r="Q176" s="15"/>
      <c r="R176" s="26"/>
      <c r="S176" s="26"/>
    </row>
    <row r="177" spans="1:19" x14ac:dyDescent="0.25">
      <c r="A177" s="23" t="s">
        <v>16</v>
      </c>
      <c r="B177" s="23" t="s">
        <v>17</v>
      </c>
      <c r="C177" s="23" t="s">
        <v>51</v>
      </c>
      <c r="D177" s="8">
        <v>2014</v>
      </c>
      <c r="E177" s="21" t="s">
        <v>42</v>
      </c>
      <c r="F177" s="22">
        <v>41753</v>
      </c>
      <c r="G177" s="23">
        <v>11559</v>
      </c>
      <c r="H177" s="13" t="s">
        <v>236</v>
      </c>
      <c r="I177" s="12">
        <v>500</v>
      </c>
      <c r="J177" s="13" t="s">
        <v>53</v>
      </c>
      <c r="K177" s="13" t="s">
        <v>54</v>
      </c>
      <c r="L177" s="13"/>
      <c r="M177" s="13"/>
      <c r="N177" s="31"/>
      <c r="O177" s="14">
        <f t="shared" si="4"/>
        <v>500</v>
      </c>
      <c r="P177" s="15">
        <f t="shared" si="5"/>
        <v>41753</v>
      </c>
      <c r="Q177" s="15"/>
      <c r="R177" s="16"/>
      <c r="S177" s="16"/>
    </row>
    <row r="178" spans="1:19" x14ac:dyDescent="0.25">
      <c r="A178" s="23" t="s">
        <v>16</v>
      </c>
      <c r="B178" s="23" t="s">
        <v>45</v>
      </c>
      <c r="C178" s="23" t="s">
        <v>51</v>
      </c>
      <c r="D178" s="8">
        <v>2014</v>
      </c>
      <c r="E178" s="21" t="s">
        <v>42</v>
      </c>
      <c r="F178" s="22">
        <v>41753</v>
      </c>
      <c r="G178" s="23">
        <v>11559</v>
      </c>
      <c r="H178" s="13" t="s">
        <v>236</v>
      </c>
      <c r="I178" s="12">
        <f>1000*10.7</f>
        <v>10700</v>
      </c>
      <c r="J178" s="13" t="s">
        <v>53</v>
      </c>
      <c r="K178" s="13" t="s">
        <v>54</v>
      </c>
      <c r="L178" s="13"/>
      <c r="M178" s="13"/>
      <c r="N178" s="31">
        <v>10.7</v>
      </c>
      <c r="O178" s="14">
        <f t="shared" si="4"/>
        <v>1000.0000000000001</v>
      </c>
      <c r="P178" s="15">
        <f t="shared" si="5"/>
        <v>41753</v>
      </c>
      <c r="Q178" s="15"/>
      <c r="R178" s="16"/>
      <c r="S178" s="16"/>
    </row>
    <row r="179" spans="1:19" x14ac:dyDescent="0.25">
      <c r="A179" s="23" t="s">
        <v>16</v>
      </c>
      <c r="B179" s="23" t="s">
        <v>17</v>
      </c>
      <c r="C179" s="23" t="s">
        <v>18</v>
      </c>
      <c r="D179" s="8">
        <v>2014</v>
      </c>
      <c r="E179" s="21" t="s">
        <v>42</v>
      </c>
      <c r="F179" s="22">
        <v>41753</v>
      </c>
      <c r="G179" s="8"/>
      <c r="H179" s="11" t="s">
        <v>237</v>
      </c>
      <c r="I179" s="12">
        <v>-65.5</v>
      </c>
      <c r="J179" s="13" t="s">
        <v>21</v>
      </c>
      <c r="K179" s="13" t="s">
        <v>22</v>
      </c>
      <c r="L179" s="13" t="s">
        <v>121</v>
      </c>
      <c r="M179" s="13"/>
      <c r="N179" s="14"/>
      <c r="O179" s="14">
        <f t="shared" si="4"/>
        <v>-65.5</v>
      </c>
      <c r="P179" s="15">
        <f t="shared" si="5"/>
        <v>41753</v>
      </c>
      <c r="Q179" s="15"/>
      <c r="R179" s="16"/>
      <c r="S179" s="16"/>
    </row>
    <row r="180" spans="1:19" x14ac:dyDescent="0.25">
      <c r="A180" s="23" t="s">
        <v>16</v>
      </c>
      <c r="B180" s="23" t="s">
        <v>17</v>
      </c>
      <c r="C180" s="23" t="s">
        <v>18</v>
      </c>
      <c r="D180" s="8">
        <v>2014</v>
      </c>
      <c r="E180" s="21" t="s">
        <v>42</v>
      </c>
      <c r="F180" s="22">
        <v>41753</v>
      </c>
      <c r="G180" s="23"/>
      <c r="H180" s="13" t="s">
        <v>202</v>
      </c>
      <c r="I180" s="12">
        <v>-24</v>
      </c>
      <c r="J180" s="13" t="s">
        <v>21</v>
      </c>
      <c r="K180" s="13" t="s">
        <v>22</v>
      </c>
      <c r="L180" s="13" t="s">
        <v>71</v>
      </c>
      <c r="M180" s="13"/>
      <c r="N180" s="31"/>
      <c r="O180" s="14">
        <f t="shared" si="4"/>
        <v>-24</v>
      </c>
      <c r="P180" s="15">
        <f t="shared" si="5"/>
        <v>41753</v>
      </c>
      <c r="Q180" s="15"/>
      <c r="R180" s="26"/>
      <c r="S180" s="26"/>
    </row>
    <row r="181" spans="1:19" x14ac:dyDescent="0.25">
      <c r="A181" s="23" t="s">
        <v>16</v>
      </c>
      <c r="B181" s="23" t="s">
        <v>17</v>
      </c>
      <c r="C181" s="23" t="s">
        <v>18</v>
      </c>
      <c r="D181" s="8">
        <v>2014</v>
      </c>
      <c r="E181" s="21" t="s">
        <v>42</v>
      </c>
      <c r="F181" s="22">
        <v>41753</v>
      </c>
      <c r="G181" s="23"/>
      <c r="H181" s="13" t="s">
        <v>110</v>
      </c>
      <c r="I181" s="12">
        <f>-26.4-22-46.2</f>
        <v>-94.6</v>
      </c>
      <c r="J181" s="13" t="s">
        <v>21</v>
      </c>
      <c r="K181" s="13" t="s">
        <v>56</v>
      </c>
      <c r="L181" s="13" t="s">
        <v>111</v>
      </c>
      <c r="M181" s="13" t="s">
        <v>28</v>
      </c>
      <c r="N181" s="31"/>
      <c r="O181" s="14">
        <f t="shared" si="4"/>
        <v>-94.6</v>
      </c>
      <c r="P181" s="15">
        <f t="shared" si="5"/>
        <v>41753</v>
      </c>
      <c r="Q181" s="15"/>
      <c r="R181" s="16"/>
      <c r="S181" s="16"/>
    </row>
    <row r="182" spans="1:19" x14ac:dyDescent="0.25">
      <c r="A182" s="23" t="s">
        <v>16</v>
      </c>
      <c r="B182" s="23" t="s">
        <v>17</v>
      </c>
      <c r="C182" s="23" t="s">
        <v>18</v>
      </c>
      <c r="D182" s="8">
        <v>2014</v>
      </c>
      <c r="E182" s="21" t="s">
        <v>42</v>
      </c>
      <c r="F182" s="22">
        <v>41753</v>
      </c>
      <c r="G182" s="23"/>
      <c r="H182" s="13" t="s">
        <v>238</v>
      </c>
      <c r="I182" s="12">
        <v>-45</v>
      </c>
      <c r="J182" s="13" t="s">
        <v>21</v>
      </c>
      <c r="K182" s="13" t="s">
        <v>22</v>
      </c>
      <c r="L182" s="13" t="s">
        <v>71</v>
      </c>
      <c r="M182" s="13"/>
      <c r="N182" s="31"/>
      <c r="O182" s="14">
        <f t="shared" si="4"/>
        <v>-45</v>
      </c>
      <c r="P182" s="15">
        <f t="shared" si="5"/>
        <v>41753</v>
      </c>
      <c r="Q182" s="15"/>
      <c r="R182" s="16"/>
      <c r="S182" s="16"/>
    </row>
    <row r="183" spans="1:19" x14ac:dyDescent="0.25">
      <c r="A183" s="8" t="s">
        <v>16</v>
      </c>
      <c r="B183" s="8" t="s">
        <v>17</v>
      </c>
      <c r="C183" s="8" t="s">
        <v>18</v>
      </c>
      <c r="D183" s="8">
        <v>2014</v>
      </c>
      <c r="E183" s="21" t="s">
        <v>42</v>
      </c>
      <c r="F183" s="22">
        <v>41753</v>
      </c>
      <c r="G183" s="8"/>
      <c r="H183" s="11" t="s">
        <v>239</v>
      </c>
      <c r="I183" s="12">
        <v>-394.82</v>
      </c>
      <c r="J183" s="13" t="s">
        <v>38</v>
      </c>
      <c r="K183" s="13" t="s">
        <v>240</v>
      </c>
      <c r="L183" s="13" t="s">
        <v>241</v>
      </c>
      <c r="M183" s="13" t="s">
        <v>242</v>
      </c>
      <c r="N183" s="31"/>
      <c r="O183" s="14">
        <f t="shared" si="4"/>
        <v>-394.82</v>
      </c>
      <c r="P183" s="15">
        <f t="shared" si="5"/>
        <v>41753</v>
      </c>
      <c r="Q183" s="15"/>
      <c r="R183" s="16"/>
      <c r="S183" s="16"/>
    </row>
    <row r="184" spans="1:19" x14ac:dyDescent="0.25">
      <c r="A184" s="8" t="s">
        <v>16</v>
      </c>
      <c r="B184" s="8" t="s">
        <v>17</v>
      </c>
      <c r="C184" s="8" t="s">
        <v>18</v>
      </c>
      <c r="D184" s="8">
        <v>2014</v>
      </c>
      <c r="E184" s="21" t="s">
        <v>42</v>
      </c>
      <c r="F184" s="22">
        <v>41753</v>
      </c>
      <c r="G184" s="8"/>
      <c r="H184" s="11" t="s">
        <v>243</v>
      </c>
      <c r="I184" s="12">
        <v>-99.5</v>
      </c>
      <c r="J184" s="13" t="s">
        <v>21</v>
      </c>
      <c r="K184" s="13" t="s">
        <v>143</v>
      </c>
      <c r="L184" s="13" t="s">
        <v>173</v>
      </c>
      <c r="M184" s="13" t="s">
        <v>244</v>
      </c>
      <c r="N184" s="31"/>
      <c r="O184" s="14">
        <f t="shared" si="4"/>
        <v>-99.5</v>
      </c>
      <c r="P184" s="15">
        <f t="shared" si="5"/>
        <v>41753</v>
      </c>
      <c r="Q184" s="15"/>
      <c r="R184" s="26"/>
      <c r="S184" s="26"/>
    </row>
    <row r="185" spans="1:19" x14ac:dyDescent="0.25">
      <c r="A185" s="8" t="s">
        <v>16</v>
      </c>
      <c r="B185" s="8" t="s">
        <v>17</v>
      </c>
      <c r="C185" s="8" t="s">
        <v>18</v>
      </c>
      <c r="D185" s="8">
        <v>2014</v>
      </c>
      <c r="E185" s="21" t="s">
        <v>42</v>
      </c>
      <c r="F185" s="22">
        <v>41753</v>
      </c>
      <c r="G185" s="23"/>
      <c r="H185" s="11" t="s">
        <v>245</v>
      </c>
      <c r="I185" s="12">
        <v>-28.5</v>
      </c>
      <c r="J185" s="49" t="s">
        <v>21</v>
      </c>
      <c r="K185" s="49" t="s">
        <v>56</v>
      </c>
      <c r="L185" s="49" t="s">
        <v>111</v>
      </c>
      <c r="M185" s="49" t="s">
        <v>28</v>
      </c>
      <c r="N185" s="31"/>
      <c r="O185" s="14">
        <f t="shared" si="4"/>
        <v>-28.5</v>
      </c>
      <c r="P185" s="15">
        <f t="shared" si="5"/>
        <v>41753</v>
      </c>
      <c r="Q185" s="15"/>
      <c r="R185" s="26"/>
      <c r="S185" s="26"/>
    </row>
    <row r="186" spans="1:19" x14ac:dyDescent="0.25">
      <c r="A186" s="23" t="s">
        <v>16</v>
      </c>
      <c r="B186" s="23" t="s">
        <v>17</v>
      </c>
      <c r="C186" s="23" t="s">
        <v>18</v>
      </c>
      <c r="D186" s="8">
        <v>2014</v>
      </c>
      <c r="E186" s="21" t="s">
        <v>42</v>
      </c>
      <c r="F186" s="22">
        <v>41753</v>
      </c>
      <c r="G186" s="23"/>
      <c r="H186" s="13" t="s">
        <v>246</v>
      </c>
      <c r="I186" s="12">
        <f>-12-185-280</f>
        <v>-477</v>
      </c>
      <c r="J186" s="13" t="s">
        <v>21</v>
      </c>
      <c r="K186" s="13" t="s">
        <v>56</v>
      </c>
      <c r="L186" s="13" t="s">
        <v>111</v>
      </c>
      <c r="M186" s="13" t="s">
        <v>28</v>
      </c>
      <c r="N186" s="31"/>
      <c r="O186" s="14">
        <f t="shared" si="4"/>
        <v>-477</v>
      </c>
      <c r="P186" s="15">
        <f t="shared" si="5"/>
        <v>41753</v>
      </c>
      <c r="Q186" s="15"/>
      <c r="R186" s="26"/>
      <c r="S186" s="26"/>
    </row>
    <row r="187" spans="1:19" x14ac:dyDescent="0.25">
      <c r="A187" s="8" t="s">
        <v>16</v>
      </c>
      <c r="B187" s="8" t="s">
        <v>17</v>
      </c>
      <c r="C187" s="36" t="s">
        <v>46</v>
      </c>
      <c r="D187" s="8">
        <v>2014</v>
      </c>
      <c r="E187" s="21" t="s">
        <v>42</v>
      </c>
      <c r="F187" s="10">
        <v>41753</v>
      </c>
      <c r="G187" s="8"/>
      <c r="H187" s="17" t="s">
        <v>47</v>
      </c>
      <c r="I187" s="12">
        <v>-30000</v>
      </c>
      <c r="J187" s="13" t="s">
        <v>48</v>
      </c>
      <c r="K187" s="13" t="s">
        <v>49</v>
      </c>
      <c r="L187" s="13" t="s">
        <v>50</v>
      </c>
      <c r="M187" s="13"/>
      <c r="N187" s="31"/>
      <c r="O187" s="14">
        <f t="shared" si="4"/>
        <v>-30000</v>
      </c>
      <c r="P187" s="15">
        <f t="shared" si="5"/>
        <v>41753</v>
      </c>
      <c r="Q187" s="15"/>
      <c r="R187" s="16"/>
      <c r="S187" s="16"/>
    </row>
    <row r="188" spans="1:19" x14ac:dyDescent="0.25">
      <c r="A188" s="23" t="s">
        <v>16</v>
      </c>
      <c r="B188" s="23" t="s">
        <v>17</v>
      </c>
      <c r="C188" s="23" t="s">
        <v>18</v>
      </c>
      <c r="D188" s="8">
        <v>2014</v>
      </c>
      <c r="E188" s="21" t="s">
        <v>42</v>
      </c>
      <c r="F188" s="22">
        <v>41753</v>
      </c>
      <c r="G188" s="23"/>
      <c r="H188" s="13" t="s">
        <v>246</v>
      </c>
      <c r="I188" s="12">
        <f>-12-185-280</f>
        <v>-477</v>
      </c>
      <c r="J188" s="13" t="s">
        <v>21</v>
      </c>
      <c r="K188" s="13" t="s">
        <v>56</v>
      </c>
      <c r="L188" s="13" t="s">
        <v>111</v>
      </c>
      <c r="M188" s="13" t="s">
        <v>28</v>
      </c>
      <c r="N188" s="31"/>
      <c r="O188" s="14">
        <f t="shared" si="4"/>
        <v>-477</v>
      </c>
      <c r="P188" s="15">
        <f t="shared" si="5"/>
        <v>41753</v>
      </c>
      <c r="Q188" s="15"/>
      <c r="R188" s="16"/>
      <c r="S188" s="16"/>
    </row>
    <row r="189" spans="1:19" x14ac:dyDescent="0.25">
      <c r="A189" s="23" t="s">
        <v>16</v>
      </c>
      <c r="B189" s="23" t="s">
        <v>17</v>
      </c>
      <c r="C189" s="23" t="s">
        <v>18</v>
      </c>
      <c r="D189" s="8">
        <v>2014</v>
      </c>
      <c r="E189" s="21" t="s">
        <v>42</v>
      </c>
      <c r="F189" s="22">
        <v>41753</v>
      </c>
      <c r="G189" s="23"/>
      <c r="H189" s="13" t="s">
        <v>247</v>
      </c>
      <c r="I189" s="12">
        <f>-5-5-18-375-55</f>
        <v>-458</v>
      </c>
      <c r="J189" s="13" t="s">
        <v>21</v>
      </c>
      <c r="K189" s="13" t="s">
        <v>56</v>
      </c>
      <c r="L189" s="13" t="s">
        <v>111</v>
      </c>
      <c r="M189" s="13" t="s">
        <v>28</v>
      </c>
      <c r="N189" s="31"/>
      <c r="O189" s="14">
        <f t="shared" si="4"/>
        <v>-458</v>
      </c>
      <c r="P189" s="15">
        <f t="shared" si="5"/>
        <v>41753</v>
      </c>
      <c r="Q189" s="15"/>
      <c r="R189" s="26"/>
      <c r="S189" s="26"/>
    </row>
    <row r="190" spans="1:19" x14ac:dyDescent="0.25">
      <c r="A190" s="8" t="s">
        <v>16</v>
      </c>
      <c r="B190" s="8" t="s">
        <v>17</v>
      </c>
      <c r="C190" s="8" t="s">
        <v>18</v>
      </c>
      <c r="D190" s="8">
        <v>2014</v>
      </c>
      <c r="E190" s="21" t="s">
        <v>42</v>
      </c>
      <c r="F190" s="22">
        <v>41753</v>
      </c>
      <c r="G190" s="23"/>
      <c r="H190" s="11" t="s">
        <v>248</v>
      </c>
      <c r="I190" s="12">
        <f>-24-22</f>
        <v>-46</v>
      </c>
      <c r="J190" s="49" t="s">
        <v>21</v>
      </c>
      <c r="K190" s="49" t="s">
        <v>56</v>
      </c>
      <c r="L190" s="49" t="s">
        <v>111</v>
      </c>
      <c r="M190" s="49" t="s">
        <v>28</v>
      </c>
      <c r="N190" s="31"/>
      <c r="O190" s="14">
        <f t="shared" si="4"/>
        <v>-46</v>
      </c>
      <c r="P190" s="15">
        <f t="shared" si="5"/>
        <v>41753</v>
      </c>
      <c r="Q190" s="15"/>
      <c r="R190" s="16"/>
      <c r="S190" s="16"/>
    </row>
    <row r="191" spans="1:19" x14ac:dyDescent="0.25">
      <c r="A191" s="23" t="s">
        <v>16</v>
      </c>
      <c r="B191" s="23" t="s">
        <v>17</v>
      </c>
      <c r="C191" s="23" t="s">
        <v>18</v>
      </c>
      <c r="D191" s="8">
        <v>2014</v>
      </c>
      <c r="E191" s="21" t="s">
        <v>42</v>
      </c>
      <c r="F191" s="22">
        <v>41753</v>
      </c>
      <c r="G191" s="23" t="s">
        <v>249</v>
      </c>
      <c r="H191" s="13" t="s">
        <v>220</v>
      </c>
      <c r="I191" s="12">
        <v>-200</v>
      </c>
      <c r="J191" s="13" t="s">
        <v>21</v>
      </c>
      <c r="K191" s="13" t="s">
        <v>22</v>
      </c>
      <c r="L191" s="13" t="s">
        <v>23</v>
      </c>
      <c r="M191" s="13"/>
      <c r="N191" s="31"/>
      <c r="O191" s="14">
        <f t="shared" si="4"/>
        <v>-200</v>
      </c>
      <c r="P191" s="15">
        <f t="shared" si="5"/>
        <v>41753</v>
      </c>
      <c r="Q191" s="15"/>
      <c r="R191" s="26"/>
      <c r="S191" s="26"/>
    </row>
    <row r="192" spans="1:19" x14ac:dyDescent="0.25">
      <c r="A192" s="23" t="s">
        <v>16</v>
      </c>
      <c r="B192" s="23" t="s">
        <v>17</v>
      </c>
      <c r="C192" s="23" t="s">
        <v>18</v>
      </c>
      <c r="D192" s="8">
        <v>2014</v>
      </c>
      <c r="E192" s="21" t="s">
        <v>42</v>
      </c>
      <c r="F192" s="22">
        <v>41753</v>
      </c>
      <c r="G192" s="23"/>
      <c r="H192" s="13" t="s">
        <v>250</v>
      </c>
      <c r="I192" s="12">
        <v>-100</v>
      </c>
      <c r="J192" s="13" t="s">
        <v>21</v>
      </c>
      <c r="K192" s="13" t="s">
        <v>56</v>
      </c>
      <c r="L192" s="13" t="s">
        <v>111</v>
      </c>
      <c r="M192" s="13" t="s">
        <v>28</v>
      </c>
      <c r="N192" s="31"/>
      <c r="O192" s="14">
        <f t="shared" si="4"/>
        <v>-100</v>
      </c>
      <c r="P192" s="15">
        <f t="shared" si="5"/>
        <v>41753</v>
      </c>
      <c r="Q192" s="15"/>
      <c r="R192" s="26"/>
      <c r="S192" s="26"/>
    </row>
    <row r="193" spans="1:19" x14ac:dyDescent="0.25">
      <c r="A193" s="23" t="s">
        <v>16</v>
      </c>
      <c r="B193" s="23" t="s">
        <v>17</v>
      </c>
      <c r="C193" s="23" t="s">
        <v>18</v>
      </c>
      <c r="D193" s="8">
        <v>2014</v>
      </c>
      <c r="E193" s="21" t="s">
        <v>42</v>
      </c>
      <c r="F193" s="30">
        <v>41754</v>
      </c>
      <c r="G193" s="23" t="s">
        <v>249</v>
      </c>
      <c r="H193" s="13" t="s">
        <v>122</v>
      </c>
      <c r="I193" s="12">
        <v>-3000</v>
      </c>
      <c r="J193" s="13" t="s">
        <v>33</v>
      </c>
      <c r="K193" s="13" t="s">
        <v>123</v>
      </c>
      <c r="L193" s="13" t="s">
        <v>124</v>
      </c>
      <c r="M193" s="25" t="s">
        <v>125</v>
      </c>
      <c r="N193" s="31"/>
      <c r="O193" s="14">
        <f t="shared" si="4"/>
        <v>-3000</v>
      </c>
      <c r="P193" s="15">
        <f t="shared" si="5"/>
        <v>41754</v>
      </c>
      <c r="Q193" s="15"/>
      <c r="R193" s="26"/>
      <c r="S193" s="26"/>
    </row>
    <row r="194" spans="1:19" x14ac:dyDescent="0.25">
      <c r="A194" s="8" t="s">
        <v>16</v>
      </c>
      <c r="B194" s="8" t="s">
        <v>17</v>
      </c>
      <c r="C194" s="8" t="s">
        <v>18</v>
      </c>
      <c r="D194" s="8">
        <v>2014</v>
      </c>
      <c r="E194" s="21" t="s">
        <v>42</v>
      </c>
      <c r="F194" s="10">
        <v>41754</v>
      </c>
      <c r="G194" s="23" t="s">
        <v>249</v>
      </c>
      <c r="H194" s="17" t="s">
        <v>251</v>
      </c>
      <c r="I194" s="12">
        <v>-112</v>
      </c>
      <c r="J194" s="13" t="s">
        <v>38</v>
      </c>
      <c r="K194" s="13" t="s">
        <v>90</v>
      </c>
      <c r="L194" s="13" t="s">
        <v>91</v>
      </c>
      <c r="M194" s="13"/>
      <c r="N194" s="31"/>
      <c r="O194" s="14">
        <f t="shared" ref="O194:O257" si="6">IF(B194="$",I194,I194/N194)</f>
        <v>-112</v>
      </c>
      <c r="P194" s="15">
        <f t="shared" ref="P194:P258" si="7">F194</f>
        <v>41754</v>
      </c>
      <c r="Q194" s="15"/>
      <c r="R194" s="26"/>
      <c r="S194" s="26"/>
    </row>
    <row r="195" spans="1:19" x14ac:dyDescent="0.25">
      <c r="A195" s="8" t="s">
        <v>16</v>
      </c>
      <c r="B195" s="8" t="s">
        <v>17</v>
      </c>
      <c r="C195" s="8" t="s">
        <v>18</v>
      </c>
      <c r="D195" s="8">
        <v>2014</v>
      </c>
      <c r="E195" s="21" t="s">
        <v>42</v>
      </c>
      <c r="F195" s="22">
        <v>41754</v>
      </c>
      <c r="G195" s="23" t="s">
        <v>249</v>
      </c>
      <c r="H195" s="11" t="s">
        <v>166</v>
      </c>
      <c r="I195" s="12">
        <v>-4000</v>
      </c>
      <c r="J195" s="13" t="s">
        <v>21</v>
      </c>
      <c r="K195" s="13" t="s">
        <v>56</v>
      </c>
      <c r="L195" s="13" t="s">
        <v>57</v>
      </c>
      <c r="M195" s="13" t="s">
        <v>167</v>
      </c>
      <c r="N195" s="31"/>
      <c r="O195" s="14">
        <f t="shared" si="6"/>
        <v>-4000</v>
      </c>
      <c r="P195" s="15">
        <f t="shared" si="7"/>
        <v>41754</v>
      </c>
      <c r="Q195" s="15"/>
      <c r="R195" s="26"/>
      <c r="S195" s="26"/>
    </row>
    <row r="196" spans="1:19" x14ac:dyDescent="0.25">
      <c r="A196" s="23" t="s">
        <v>16</v>
      </c>
      <c r="B196" s="23" t="s">
        <v>17</v>
      </c>
      <c r="C196" s="23" t="s">
        <v>18</v>
      </c>
      <c r="D196" s="8">
        <v>2014</v>
      </c>
      <c r="E196" s="21" t="s">
        <v>42</v>
      </c>
      <c r="F196" s="10">
        <v>41754</v>
      </c>
      <c r="G196" s="23"/>
      <c r="H196" s="13" t="s">
        <v>122</v>
      </c>
      <c r="I196" s="12">
        <v>-3000</v>
      </c>
      <c r="J196" s="13" t="s">
        <v>33</v>
      </c>
      <c r="K196" s="13" t="s">
        <v>123</v>
      </c>
      <c r="L196" s="13" t="s">
        <v>124</v>
      </c>
      <c r="M196" s="25" t="s">
        <v>125</v>
      </c>
      <c r="N196" s="31"/>
      <c r="O196" s="14">
        <f t="shared" si="6"/>
        <v>-3000</v>
      </c>
      <c r="P196" s="15">
        <f t="shared" si="7"/>
        <v>41754</v>
      </c>
      <c r="Q196" s="15"/>
      <c r="R196" s="26"/>
      <c r="S196" s="26"/>
    </row>
    <row r="197" spans="1:19" x14ac:dyDescent="0.25">
      <c r="A197" s="23" t="s">
        <v>16</v>
      </c>
      <c r="B197" s="23" t="s">
        <v>17</v>
      </c>
      <c r="C197" s="23" t="s">
        <v>18</v>
      </c>
      <c r="D197" s="8">
        <v>2014</v>
      </c>
      <c r="E197" s="21" t="s">
        <v>42</v>
      </c>
      <c r="F197" s="22">
        <v>41754</v>
      </c>
      <c r="G197" s="23"/>
      <c r="H197" s="13" t="s">
        <v>252</v>
      </c>
      <c r="I197" s="12">
        <v>-90</v>
      </c>
      <c r="J197" s="13" t="s">
        <v>21</v>
      </c>
      <c r="K197" s="13" t="s">
        <v>22</v>
      </c>
      <c r="L197" s="13" t="s">
        <v>71</v>
      </c>
      <c r="M197" s="13" t="s">
        <v>206</v>
      </c>
      <c r="N197" s="31"/>
      <c r="O197" s="14">
        <f t="shared" si="6"/>
        <v>-90</v>
      </c>
      <c r="P197" s="15">
        <f t="shared" si="7"/>
        <v>41754</v>
      </c>
      <c r="Q197" s="15"/>
      <c r="R197" s="16"/>
      <c r="S197" s="16"/>
    </row>
    <row r="198" spans="1:19" x14ac:dyDescent="0.25">
      <c r="A198" s="8" t="s">
        <v>16</v>
      </c>
      <c r="B198" s="8" t="s">
        <v>17</v>
      </c>
      <c r="C198" s="8" t="s">
        <v>18</v>
      </c>
      <c r="D198" s="8">
        <v>2014</v>
      </c>
      <c r="E198" s="21" t="s">
        <v>42</v>
      </c>
      <c r="F198" s="22">
        <v>41754</v>
      </c>
      <c r="G198" s="8"/>
      <c r="H198" s="13" t="s">
        <v>80</v>
      </c>
      <c r="I198" s="12">
        <v>-50</v>
      </c>
      <c r="J198" s="13" t="s">
        <v>21</v>
      </c>
      <c r="K198" s="13" t="s">
        <v>22</v>
      </c>
      <c r="L198" s="13" t="s">
        <v>23</v>
      </c>
      <c r="M198" s="13" t="s">
        <v>28</v>
      </c>
      <c r="N198" s="31"/>
      <c r="O198" s="14">
        <f t="shared" si="6"/>
        <v>-50</v>
      </c>
      <c r="P198" s="15">
        <f t="shared" si="7"/>
        <v>41754</v>
      </c>
      <c r="Q198" s="15"/>
      <c r="R198" s="26"/>
      <c r="S198" s="26"/>
    </row>
    <row r="199" spans="1:19" x14ac:dyDescent="0.25">
      <c r="A199" s="8" t="s">
        <v>16</v>
      </c>
      <c r="B199" s="8" t="s">
        <v>17</v>
      </c>
      <c r="C199" s="8" t="s">
        <v>18</v>
      </c>
      <c r="D199" s="8">
        <v>2014</v>
      </c>
      <c r="E199" s="21" t="s">
        <v>42</v>
      </c>
      <c r="F199" s="22">
        <v>41754</v>
      </c>
      <c r="G199" s="23" t="s">
        <v>249</v>
      </c>
      <c r="H199" s="11" t="s">
        <v>253</v>
      </c>
      <c r="I199" s="12">
        <v>-101</v>
      </c>
      <c r="J199" s="13" t="s">
        <v>21</v>
      </c>
      <c r="K199" s="13" t="s">
        <v>56</v>
      </c>
      <c r="L199" s="13" t="s">
        <v>254</v>
      </c>
      <c r="M199" s="13" t="s">
        <v>255</v>
      </c>
      <c r="N199" s="31"/>
      <c r="O199" s="14">
        <f t="shared" si="6"/>
        <v>-101</v>
      </c>
      <c r="P199" s="15">
        <f t="shared" si="7"/>
        <v>41754</v>
      </c>
      <c r="Q199" s="15"/>
      <c r="R199" s="26"/>
      <c r="S199" s="26"/>
    </row>
    <row r="200" spans="1:19" x14ac:dyDescent="0.25">
      <c r="A200" s="23" t="s">
        <v>16</v>
      </c>
      <c r="B200" s="23" t="s">
        <v>17</v>
      </c>
      <c r="C200" s="23" t="s">
        <v>18</v>
      </c>
      <c r="D200" s="8">
        <v>2014</v>
      </c>
      <c r="E200" s="21" t="s">
        <v>42</v>
      </c>
      <c r="F200" s="22">
        <v>41754</v>
      </c>
      <c r="G200" s="23" t="s">
        <v>249</v>
      </c>
      <c r="H200" s="13" t="s">
        <v>256</v>
      </c>
      <c r="I200" s="12">
        <v>-329</v>
      </c>
      <c r="J200" s="13" t="s">
        <v>38</v>
      </c>
      <c r="K200" s="13" t="s">
        <v>155</v>
      </c>
      <c r="L200" s="13" t="s">
        <v>91</v>
      </c>
      <c r="M200" s="13"/>
      <c r="N200" s="31"/>
      <c r="O200" s="14">
        <f t="shared" si="6"/>
        <v>-329</v>
      </c>
      <c r="P200" s="15">
        <f t="shared" si="7"/>
        <v>41754</v>
      </c>
      <c r="Q200" s="15"/>
      <c r="R200" s="16"/>
      <c r="S200" s="16"/>
    </row>
    <row r="201" spans="1:19" x14ac:dyDescent="0.25">
      <c r="A201" s="23" t="s">
        <v>16</v>
      </c>
      <c r="B201" s="23" t="s">
        <v>17</v>
      </c>
      <c r="C201" s="23" t="s">
        <v>18</v>
      </c>
      <c r="D201" s="8">
        <v>2014</v>
      </c>
      <c r="E201" s="21" t="s">
        <v>42</v>
      </c>
      <c r="F201" s="22">
        <v>41754</v>
      </c>
      <c r="G201" s="23" t="s">
        <v>249</v>
      </c>
      <c r="H201" s="13" t="s">
        <v>154</v>
      </c>
      <c r="I201" s="12">
        <v>-118</v>
      </c>
      <c r="J201" s="13" t="s">
        <v>38</v>
      </c>
      <c r="K201" s="13" t="s">
        <v>155</v>
      </c>
      <c r="L201" s="13" t="s">
        <v>91</v>
      </c>
      <c r="M201" s="13"/>
      <c r="N201" s="31"/>
      <c r="O201" s="14">
        <f t="shared" si="6"/>
        <v>-118</v>
      </c>
      <c r="P201" s="15">
        <f t="shared" si="7"/>
        <v>41754</v>
      </c>
      <c r="Q201" s="15"/>
      <c r="R201" s="35"/>
      <c r="S201" s="16"/>
    </row>
    <row r="202" spans="1:19" x14ac:dyDescent="0.25">
      <c r="A202" s="23" t="s">
        <v>16</v>
      </c>
      <c r="B202" s="23" t="s">
        <v>17</v>
      </c>
      <c r="C202" s="23" t="s">
        <v>18</v>
      </c>
      <c r="D202" s="8">
        <v>2014</v>
      </c>
      <c r="E202" s="21" t="s">
        <v>42</v>
      </c>
      <c r="F202" s="22">
        <v>41754</v>
      </c>
      <c r="G202" s="23" t="s">
        <v>249</v>
      </c>
      <c r="H202" s="13" t="s">
        <v>257</v>
      </c>
      <c r="I202" s="12">
        <v>-300</v>
      </c>
      <c r="J202" s="13" t="s">
        <v>38</v>
      </c>
      <c r="K202" s="13" t="s">
        <v>90</v>
      </c>
      <c r="L202" s="13" t="s">
        <v>91</v>
      </c>
      <c r="M202" s="13"/>
      <c r="N202" s="31"/>
      <c r="O202" s="14">
        <f t="shared" si="6"/>
        <v>-300</v>
      </c>
      <c r="P202" s="15">
        <f t="shared" si="7"/>
        <v>41754</v>
      </c>
      <c r="Q202" s="15"/>
      <c r="R202" s="35"/>
      <c r="S202" s="16"/>
    </row>
    <row r="203" spans="1:19" x14ac:dyDescent="0.25">
      <c r="A203" s="23" t="s">
        <v>16</v>
      </c>
      <c r="B203" s="23" t="s">
        <v>17</v>
      </c>
      <c r="C203" s="23" t="s">
        <v>18</v>
      </c>
      <c r="D203" s="8">
        <v>2014</v>
      </c>
      <c r="E203" s="21" t="s">
        <v>42</v>
      </c>
      <c r="F203" s="22">
        <v>41754</v>
      </c>
      <c r="G203" s="23" t="s">
        <v>249</v>
      </c>
      <c r="H203" s="13" t="s">
        <v>157</v>
      </c>
      <c r="I203" s="12">
        <v>-658</v>
      </c>
      <c r="J203" s="13" t="s">
        <v>38</v>
      </c>
      <c r="K203" s="13" t="s">
        <v>155</v>
      </c>
      <c r="L203" s="13" t="s">
        <v>91</v>
      </c>
      <c r="M203" s="13"/>
      <c r="N203" s="31"/>
      <c r="O203" s="14">
        <f t="shared" si="6"/>
        <v>-658</v>
      </c>
      <c r="P203" s="15">
        <f t="shared" si="7"/>
        <v>41754</v>
      </c>
      <c r="Q203" s="15"/>
      <c r="R203" s="26"/>
      <c r="S203" s="26"/>
    </row>
    <row r="204" spans="1:19" x14ac:dyDescent="0.25">
      <c r="A204" s="23" t="s">
        <v>16</v>
      </c>
      <c r="B204" s="23" t="s">
        <v>17</v>
      </c>
      <c r="C204" s="23" t="s">
        <v>18</v>
      </c>
      <c r="D204" s="8">
        <v>2014</v>
      </c>
      <c r="E204" s="21" t="s">
        <v>42</v>
      </c>
      <c r="F204" s="22">
        <v>41754</v>
      </c>
      <c r="G204" s="23" t="s">
        <v>249</v>
      </c>
      <c r="H204" s="13" t="s">
        <v>163</v>
      </c>
      <c r="I204" s="12">
        <v>-47</v>
      </c>
      <c r="J204" s="13" t="s">
        <v>38</v>
      </c>
      <c r="K204" s="13" t="s">
        <v>155</v>
      </c>
      <c r="L204" s="13" t="s">
        <v>91</v>
      </c>
      <c r="M204" s="13"/>
      <c r="N204" s="31"/>
      <c r="O204" s="14">
        <f t="shared" si="6"/>
        <v>-47</v>
      </c>
      <c r="P204" s="15">
        <f t="shared" si="7"/>
        <v>41754</v>
      </c>
      <c r="Q204" s="15"/>
      <c r="R204" s="16"/>
      <c r="S204" s="16"/>
    </row>
    <row r="205" spans="1:19" x14ac:dyDescent="0.25">
      <c r="A205" s="23" t="s">
        <v>16</v>
      </c>
      <c r="B205" s="23" t="s">
        <v>17</v>
      </c>
      <c r="C205" s="23" t="s">
        <v>18</v>
      </c>
      <c r="D205" s="8">
        <v>2014</v>
      </c>
      <c r="E205" s="21" t="s">
        <v>42</v>
      </c>
      <c r="F205" s="22">
        <v>41754</v>
      </c>
      <c r="G205" s="23" t="s">
        <v>249</v>
      </c>
      <c r="H205" s="13" t="s">
        <v>156</v>
      </c>
      <c r="I205" s="12">
        <v>-71</v>
      </c>
      <c r="J205" s="13" t="s">
        <v>38</v>
      </c>
      <c r="K205" s="13" t="s">
        <v>155</v>
      </c>
      <c r="L205" s="13" t="s">
        <v>91</v>
      </c>
      <c r="M205" s="13"/>
      <c r="N205" s="31"/>
      <c r="O205" s="14">
        <f t="shared" si="6"/>
        <v>-71</v>
      </c>
      <c r="P205" s="15">
        <f t="shared" si="7"/>
        <v>41754</v>
      </c>
      <c r="Q205" s="15"/>
      <c r="R205" s="16"/>
      <c r="S205" s="16"/>
    </row>
    <row r="206" spans="1:19" x14ac:dyDescent="0.25">
      <c r="A206" s="23" t="s">
        <v>16</v>
      </c>
      <c r="B206" s="23" t="s">
        <v>17</v>
      </c>
      <c r="C206" s="23" t="s">
        <v>18</v>
      </c>
      <c r="D206" s="8">
        <v>2014</v>
      </c>
      <c r="E206" s="21" t="s">
        <v>42</v>
      </c>
      <c r="F206" s="22">
        <v>41754</v>
      </c>
      <c r="G206" s="23" t="s">
        <v>249</v>
      </c>
      <c r="H206" s="13" t="s">
        <v>258</v>
      </c>
      <c r="I206" s="12">
        <v>-500</v>
      </c>
      <c r="J206" s="13" t="s">
        <v>38</v>
      </c>
      <c r="K206" s="13" t="s">
        <v>90</v>
      </c>
      <c r="L206" s="13" t="s">
        <v>91</v>
      </c>
      <c r="M206" s="13"/>
      <c r="N206" s="31"/>
      <c r="O206" s="14">
        <f t="shared" si="6"/>
        <v>-500</v>
      </c>
      <c r="P206" s="15">
        <f t="shared" si="7"/>
        <v>41754</v>
      </c>
      <c r="Q206" s="15"/>
      <c r="R206" s="16"/>
      <c r="S206" s="16"/>
    </row>
    <row r="207" spans="1:19" x14ac:dyDescent="0.25">
      <c r="A207" s="23" t="s">
        <v>16</v>
      </c>
      <c r="B207" s="23" t="s">
        <v>17</v>
      </c>
      <c r="C207" s="23" t="s">
        <v>18</v>
      </c>
      <c r="D207" s="8">
        <v>2014</v>
      </c>
      <c r="E207" s="21" t="s">
        <v>42</v>
      </c>
      <c r="F207" s="22">
        <v>41754</v>
      </c>
      <c r="G207" s="23" t="s">
        <v>249</v>
      </c>
      <c r="H207" s="13" t="s">
        <v>259</v>
      </c>
      <c r="I207" s="12">
        <v>-200</v>
      </c>
      <c r="J207" s="13" t="s">
        <v>38</v>
      </c>
      <c r="K207" s="13" t="s">
        <v>90</v>
      </c>
      <c r="L207" s="13" t="s">
        <v>91</v>
      </c>
      <c r="M207" s="13"/>
      <c r="N207" s="31"/>
      <c r="O207" s="14">
        <f t="shared" si="6"/>
        <v>-200</v>
      </c>
      <c r="P207" s="15">
        <f t="shared" si="7"/>
        <v>41754</v>
      </c>
      <c r="Q207" s="15"/>
      <c r="R207" s="35"/>
      <c r="S207" s="16"/>
    </row>
    <row r="208" spans="1:19" x14ac:dyDescent="0.25">
      <c r="A208" s="23" t="s">
        <v>16</v>
      </c>
      <c r="B208" s="23" t="s">
        <v>17</v>
      </c>
      <c r="C208" s="23" t="s">
        <v>18</v>
      </c>
      <c r="D208" s="8">
        <v>2014</v>
      </c>
      <c r="E208" s="21" t="s">
        <v>42</v>
      </c>
      <c r="F208" s="22">
        <v>41754</v>
      </c>
      <c r="G208" s="23" t="s">
        <v>249</v>
      </c>
      <c r="H208" s="13" t="s">
        <v>259</v>
      </c>
      <c r="I208" s="12">
        <v>-300</v>
      </c>
      <c r="J208" s="13" t="s">
        <v>38</v>
      </c>
      <c r="K208" s="13" t="s">
        <v>90</v>
      </c>
      <c r="L208" s="13" t="s">
        <v>91</v>
      </c>
      <c r="M208" s="13"/>
      <c r="N208" s="31"/>
      <c r="O208" s="14">
        <f t="shared" si="6"/>
        <v>-300</v>
      </c>
      <c r="P208" s="15">
        <f t="shared" si="7"/>
        <v>41754</v>
      </c>
      <c r="Q208" s="15"/>
      <c r="R208" s="35"/>
      <c r="S208" s="16"/>
    </row>
    <row r="209" spans="1:19" x14ac:dyDescent="0.25">
      <c r="A209" s="23" t="s">
        <v>16</v>
      </c>
      <c r="B209" s="23" t="s">
        <v>17</v>
      </c>
      <c r="C209" s="23" t="s">
        <v>18</v>
      </c>
      <c r="D209" s="8">
        <v>2014</v>
      </c>
      <c r="E209" s="21" t="s">
        <v>42</v>
      </c>
      <c r="F209" s="22">
        <v>41754</v>
      </c>
      <c r="G209" s="23" t="s">
        <v>249</v>
      </c>
      <c r="H209" s="13" t="s">
        <v>260</v>
      </c>
      <c r="I209" s="12">
        <v>-188</v>
      </c>
      <c r="J209" s="13" t="s">
        <v>38</v>
      </c>
      <c r="K209" s="13" t="s">
        <v>155</v>
      </c>
      <c r="L209" s="13" t="s">
        <v>91</v>
      </c>
      <c r="M209" s="13"/>
      <c r="N209" s="31"/>
      <c r="O209" s="14">
        <f t="shared" si="6"/>
        <v>-188</v>
      </c>
      <c r="P209" s="15">
        <f t="shared" si="7"/>
        <v>41754</v>
      </c>
      <c r="Q209" s="15"/>
      <c r="R209" s="35"/>
      <c r="S209" s="16"/>
    </row>
    <row r="210" spans="1:19" x14ac:dyDescent="0.25">
      <c r="A210" s="23" t="s">
        <v>16</v>
      </c>
      <c r="B210" s="23" t="s">
        <v>17</v>
      </c>
      <c r="C210" s="23" t="s">
        <v>18</v>
      </c>
      <c r="D210" s="8">
        <v>2014</v>
      </c>
      <c r="E210" s="21" t="s">
        <v>42</v>
      </c>
      <c r="F210" s="22">
        <v>41754</v>
      </c>
      <c r="G210" s="23" t="s">
        <v>249</v>
      </c>
      <c r="H210" s="13" t="s">
        <v>260</v>
      </c>
      <c r="I210" s="12">
        <v>-188</v>
      </c>
      <c r="J210" s="13" t="s">
        <v>38</v>
      </c>
      <c r="K210" s="13" t="s">
        <v>155</v>
      </c>
      <c r="L210" s="13" t="s">
        <v>91</v>
      </c>
      <c r="M210" s="13"/>
      <c r="N210" s="31"/>
      <c r="O210" s="14">
        <f t="shared" si="6"/>
        <v>-188</v>
      </c>
      <c r="P210" s="15">
        <f t="shared" si="7"/>
        <v>41754</v>
      </c>
      <c r="Q210" s="15"/>
      <c r="R210" s="26"/>
      <c r="S210" s="26"/>
    </row>
    <row r="211" spans="1:19" x14ac:dyDescent="0.25">
      <c r="A211" s="8" t="s">
        <v>16</v>
      </c>
      <c r="B211" s="8" t="s">
        <v>17</v>
      </c>
      <c r="C211" s="8" t="s">
        <v>18</v>
      </c>
      <c r="D211" s="8">
        <v>2014</v>
      </c>
      <c r="E211" s="21" t="s">
        <v>42</v>
      </c>
      <c r="F211" s="22">
        <v>41754</v>
      </c>
      <c r="G211" s="23" t="s">
        <v>249</v>
      </c>
      <c r="H211" s="11" t="s">
        <v>261</v>
      </c>
      <c r="I211" s="12">
        <v>-410.08</v>
      </c>
      <c r="J211" s="49" t="s">
        <v>21</v>
      </c>
      <c r="K211" s="49" t="s">
        <v>56</v>
      </c>
      <c r="L211" s="49" t="s">
        <v>111</v>
      </c>
      <c r="M211" s="49" t="s">
        <v>28</v>
      </c>
      <c r="N211" s="31"/>
      <c r="O211" s="14">
        <f t="shared" si="6"/>
        <v>-410.08</v>
      </c>
      <c r="P211" s="15">
        <f t="shared" si="7"/>
        <v>41754</v>
      </c>
      <c r="Q211" s="15"/>
      <c r="R211" s="16"/>
      <c r="S211" s="16"/>
    </row>
    <row r="212" spans="1:19" x14ac:dyDescent="0.25">
      <c r="A212" s="8" t="s">
        <v>16</v>
      </c>
      <c r="B212" s="8" t="s">
        <v>17</v>
      </c>
      <c r="C212" s="8" t="s">
        <v>18</v>
      </c>
      <c r="D212" s="8">
        <v>2014</v>
      </c>
      <c r="E212" s="21" t="s">
        <v>42</v>
      </c>
      <c r="F212" s="22">
        <v>41754</v>
      </c>
      <c r="G212" s="23" t="s">
        <v>249</v>
      </c>
      <c r="H212" s="11" t="s">
        <v>262</v>
      </c>
      <c r="I212" s="12">
        <f>-1000-900</f>
        <v>-1900</v>
      </c>
      <c r="J212" s="13" t="s">
        <v>33</v>
      </c>
      <c r="K212" s="13" t="s">
        <v>263</v>
      </c>
      <c r="L212" s="13" t="s">
        <v>264</v>
      </c>
      <c r="M212" s="13" t="s">
        <v>226</v>
      </c>
      <c r="N212" s="31"/>
      <c r="O212" s="14">
        <f t="shared" si="6"/>
        <v>-1900</v>
      </c>
      <c r="P212" s="15">
        <f t="shared" si="7"/>
        <v>41754</v>
      </c>
      <c r="Q212" s="15"/>
      <c r="R212" s="16"/>
      <c r="S212" s="16"/>
    </row>
    <row r="213" spans="1:19" x14ac:dyDescent="0.25">
      <c r="A213" s="23" t="s">
        <v>16</v>
      </c>
      <c r="B213" s="23" t="s">
        <v>17</v>
      </c>
      <c r="C213" s="23" t="s">
        <v>51</v>
      </c>
      <c r="D213" s="8">
        <v>2014</v>
      </c>
      <c r="E213" s="21" t="s">
        <v>42</v>
      </c>
      <c r="F213" s="22">
        <v>41755</v>
      </c>
      <c r="G213" s="8">
        <v>11694</v>
      </c>
      <c r="H213" s="17" t="s">
        <v>265</v>
      </c>
      <c r="I213" s="12">
        <v>300</v>
      </c>
      <c r="J213" s="13" t="s">
        <v>53</v>
      </c>
      <c r="K213" s="13" t="s">
        <v>54</v>
      </c>
      <c r="L213" s="13"/>
      <c r="M213" s="13"/>
      <c r="N213" s="31"/>
      <c r="O213" s="14">
        <f t="shared" si="6"/>
        <v>300</v>
      </c>
      <c r="P213" s="15">
        <f t="shared" si="7"/>
        <v>41755</v>
      </c>
      <c r="Q213" s="15"/>
      <c r="R213" s="16"/>
      <c r="S213" s="16"/>
    </row>
    <row r="214" spans="1:19" x14ac:dyDescent="0.25">
      <c r="A214" s="23" t="s">
        <v>16</v>
      </c>
      <c r="B214" s="23" t="s">
        <v>17</v>
      </c>
      <c r="C214" s="23" t="s">
        <v>51</v>
      </c>
      <c r="D214" s="8">
        <v>2014</v>
      </c>
      <c r="E214" s="21" t="s">
        <v>42</v>
      </c>
      <c r="F214" s="22">
        <v>41755</v>
      </c>
      <c r="G214" s="8">
        <v>11700</v>
      </c>
      <c r="H214" s="17" t="s">
        <v>266</v>
      </c>
      <c r="I214" s="12">
        <v>500</v>
      </c>
      <c r="J214" s="13" t="s">
        <v>53</v>
      </c>
      <c r="K214" s="13" t="s">
        <v>54</v>
      </c>
      <c r="L214" s="13"/>
      <c r="M214" s="13"/>
      <c r="N214" s="31"/>
      <c r="O214" s="14">
        <f t="shared" si="6"/>
        <v>500</v>
      </c>
      <c r="P214" s="15">
        <f t="shared" si="7"/>
        <v>41755</v>
      </c>
      <c r="Q214" s="15"/>
      <c r="R214" s="16"/>
      <c r="S214" s="16"/>
    </row>
    <row r="215" spans="1:19" x14ac:dyDescent="0.25">
      <c r="A215" s="23" t="s">
        <v>16</v>
      </c>
      <c r="B215" s="23" t="s">
        <v>17</v>
      </c>
      <c r="C215" s="23" t="s">
        <v>51</v>
      </c>
      <c r="D215" s="8">
        <v>2014</v>
      </c>
      <c r="E215" s="21" t="s">
        <v>42</v>
      </c>
      <c r="F215" s="22">
        <v>41755</v>
      </c>
      <c r="G215" s="8">
        <v>11656</v>
      </c>
      <c r="H215" s="17" t="s">
        <v>267</v>
      </c>
      <c r="I215" s="12">
        <v>1000</v>
      </c>
      <c r="J215" s="13" t="s">
        <v>53</v>
      </c>
      <c r="K215" s="13" t="s">
        <v>54</v>
      </c>
      <c r="L215" s="13"/>
      <c r="M215" s="13"/>
      <c r="N215" s="31"/>
      <c r="O215" s="14">
        <f t="shared" si="6"/>
        <v>1000</v>
      </c>
      <c r="P215" s="15">
        <f t="shared" si="7"/>
        <v>41755</v>
      </c>
      <c r="Q215" s="15"/>
      <c r="R215" s="16"/>
      <c r="S215" s="16"/>
    </row>
    <row r="216" spans="1:19" x14ac:dyDescent="0.25">
      <c r="A216" s="23" t="s">
        <v>16</v>
      </c>
      <c r="B216" s="23" t="s">
        <v>17</v>
      </c>
      <c r="C216" s="23" t="s">
        <v>51</v>
      </c>
      <c r="D216" s="8">
        <v>2014</v>
      </c>
      <c r="E216" s="21" t="s">
        <v>42</v>
      </c>
      <c r="F216" s="22">
        <v>41755</v>
      </c>
      <c r="G216" s="8">
        <v>11695</v>
      </c>
      <c r="H216" s="17" t="s">
        <v>268</v>
      </c>
      <c r="I216" s="12">
        <v>1000</v>
      </c>
      <c r="J216" s="13" t="s">
        <v>53</v>
      </c>
      <c r="K216" s="13" t="s">
        <v>54</v>
      </c>
      <c r="L216" s="13"/>
      <c r="M216" s="13"/>
      <c r="N216" s="31"/>
      <c r="O216" s="14">
        <f t="shared" si="6"/>
        <v>1000</v>
      </c>
      <c r="P216" s="15">
        <f t="shared" si="7"/>
        <v>41755</v>
      </c>
      <c r="Q216" s="15"/>
      <c r="R216" s="16"/>
      <c r="S216" s="16"/>
    </row>
    <row r="217" spans="1:19" x14ac:dyDescent="0.25">
      <c r="A217" s="8" t="s">
        <v>16</v>
      </c>
      <c r="B217" s="8" t="s">
        <v>17</v>
      </c>
      <c r="C217" s="8" t="s">
        <v>18</v>
      </c>
      <c r="D217" s="8">
        <v>2014</v>
      </c>
      <c r="E217" s="21" t="s">
        <v>42</v>
      </c>
      <c r="F217" s="22">
        <v>41757</v>
      </c>
      <c r="G217" s="23"/>
      <c r="H217" s="11" t="s">
        <v>269</v>
      </c>
      <c r="I217" s="12">
        <v>-150</v>
      </c>
      <c r="J217" s="49" t="s">
        <v>21</v>
      </c>
      <c r="K217" s="49" t="s">
        <v>56</v>
      </c>
      <c r="L217" s="49" t="s">
        <v>111</v>
      </c>
      <c r="M217" s="49" t="s">
        <v>28</v>
      </c>
      <c r="N217" s="31"/>
      <c r="O217" s="14">
        <f t="shared" si="6"/>
        <v>-150</v>
      </c>
      <c r="P217" s="15">
        <f t="shared" si="7"/>
        <v>41757</v>
      </c>
      <c r="Q217" s="15"/>
      <c r="R217" s="16"/>
      <c r="S217" s="16"/>
    </row>
    <row r="218" spans="1:19" x14ac:dyDescent="0.25">
      <c r="A218" s="23" t="s">
        <v>16</v>
      </c>
      <c r="B218" s="23" t="s">
        <v>17</v>
      </c>
      <c r="C218" s="23" t="s">
        <v>18</v>
      </c>
      <c r="D218" s="8">
        <v>2014</v>
      </c>
      <c r="E218" s="21" t="s">
        <v>42</v>
      </c>
      <c r="F218" s="22">
        <v>41757</v>
      </c>
      <c r="G218" s="23" t="s">
        <v>249</v>
      </c>
      <c r="H218" s="13" t="s">
        <v>270</v>
      </c>
      <c r="I218" s="12">
        <v>-164</v>
      </c>
      <c r="J218" s="13" t="s">
        <v>38</v>
      </c>
      <c r="K218" s="13" t="s">
        <v>90</v>
      </c>
      <c r="L218" s="13" t="s">
        <v>91</v>
      </c>
      <c r="M218" s="13"/>
      <c r="N218" s="31"/>
      <c r="O218" s="14">
        <f t="shared" si="6"/>
        <v>-164</v>
      </c>
      <c r="P218" s="15">
        <f t="shared" si="7"/>
        <v>41757</v>
      </c>
      <c r="Q218" s="15"/>
      <c r="R218" s="26"/>
      <c r="S218" s="26"/>
    </row>
    <row r="219" spans="1:19" x14ac:dyDescent="0.25">
      <c r="A219" s="23" t="s">
        <v>16</v>
      </c>
      <c r="B219" s="23" t="s">
        <v>17</v>
      </c>
      <c r="C219" s="23" t="s">
        <v>18</v>
      </c>
      <c r="D219" s="8">
        <v>2014</v>
      </c>
      <c r="E219" s="21" t="s">
        <v>42</v>
      </c>
      <c r="F219" s="22">
        <v>41757</v>
      </c>
      <c r="G219" s="23" t="s">
        <v>249</v>
      </c>
      <c r="H219" s="13" t="s">
        <v>271</v>
      </c>
      <c r="I219" s="12">
        <v>-300</v>
      </c>
      <c r="J219" s="13" t="s">
        <v>38</v>
      </c>
      <c r="K219" s="13" t="s">
        <v>90</v>
      </c>
      <c r="L219" s="13" t="s">
        <v>91</v>
      </c>
      <c r="M219" s="13"/>
      <c r="N219" s="31"/>
      <c r="O219" s="14">
        <f t="shared" si="6"/>
        <v>-300</v>
      </c>
      <c r="P219" s="15">
        <f t="shared" si="7"/>
        <v>41757</v>
      </c>
      <c r="Q219" s="15"/>
      <c r="R219" s="26"/>
      <c r="S219" s="26"/>
    </row>
    <row r="220" spans="1:19" x14ac:dyDescent="0.25">
      <c r="A220" s="23" t="s">
        <v>16</v>
      </c>
      <c r="B220" s="23" t="s">
        <v>17</v>
      </c>
      <c r="C220" s="23" t="s">
        <v>18</v>
      </c>
      <c r="D220" s="8">
        <v>2014</v>
      </c>
      <c r="E220" s="21" t="s">
        <v>42</v>
      </c>
      <c r="F220" s="22">
        <v>41757</v>
      </c>
      <c r="G220" s="23" t="s">
        <v>249</v>
      </c>
      <c r="H220" s="13" t="s">
        <v>257</v>
      </c>
      <c r="I220" s="12">
        <v>-100</v>
      </c>
      <c r="J220" s="13" t="s">
        <v>38</v>
      </c>
      <c r="K220" s="13" t="s">
        <v>90</v>
      </c>
      <c r="L220" s="13" t="s">
        <v>91</v>
      </c>
      <c r="M220" s="13"/>
      <c r="N220" s="31"/>
      <c r="O220" s="14">
        <f t="shared" si="6"/>
        <v>-100</v>
      </c>
      <c r="P220" s="15">
        <f t="shared" si="7"/>
        <v>41757</v>
      </c>
      <c r="Q220" s="15"/>
      <c r="R220" s="35"/>
      <c r="S220" s="16"/>
    </row>
    <row r="221" spans="1:19" x14ac:dyDescent="0.25">
      <c r="A221" s="23" t="s">
        <v>16</v>
      </c>
      <c r="B221" s="23" t="s">
        <v>17</v>
      </c>
      <c r="C221" s="23" t="s">
        <v>18</v>
      </c>
      <c r="D221" s="8">
        <v>2014</v>
      </c>
      <c r="E221" s="21" t="s">
        <v>42</v>
      </c>
      <c r="F221" s="22">
        <v>41757</v>
      </c>
      <c r="G221" s="23" t="s">
        <v>249</v>
      </c>
      <c r="H221" s="13" t="s">
        <v>272</v>
      </c>
      <c r="I221" s="12">
        <v>-100</v>
      </c>
      <c r="J221" s="13" t="s">
        <v>38</v>
      </c>
      <c r="K221" s="13" t="s">
        <v>90</v>
      </c>
      <c r="L221" s="13" t="s">
        <v>91</v>
      </c>
      <c r="M221" s="13"/>
      <c r="N221" s="31"/>
      <c r="O221" s="14">
        <f t="shared" si="6"/>
        <v>-100</v>
      </c>
      <c r="P221" s="15">
        <f t="shared" si="7"/>
        <v>41757</v>
      </c>
      <c r="Q221" s="15"/>
      <c r="R221" s="26"/>
      <c r="S221" s="26"/>
    </row>
    <row r="222" spans="1:19" x14ac:dyDescent="0.25">
      <c r="A222" s="23" t="s">
        <v>16</v>
      </c>
      <c r="B222" s="23" t="s">
        <v>17</v>
      </c>
      <c r="C222" s="23" t="s">
        <v>18</v>
      </c>
      <c r="D222" s="8">
        <v>2014</v>
      </c>
      <c r="E222" s="21" t="s">
        <v>42</v>
      </c>
      <c r="F222" s="22">
        <v>41757</v>
      </c>
      <c r="G222" s="23" t="s">
        <v>249</v>
      </c>
      <c r="H222" s="13" t="s">
        <v>273</v>
      </c>
      <c r="I222" s="12">
        <v>-100</v>
      </c>
      <c r="J222" s="13" t="s">
        <v>38</v>
      </c>
      <c r="K222" s="13" t="s">
        <v>90</v>
      </c>
      <c r="L222" s="13" t="s">
        <v>91</v>
      </c>
      <c r="M222" s="13"/>
      <c r="N222" s="31"/>
      <c r="O222" s="14">
        <f t="shared" si="6"/>
        <v>-100</v>
      </c>
      <c r="P222" s="15">
        <f t="shared" si="7"/>
        <v>41757</v>
      </c>
      <c r="Q222" s="15"/>
      <c r="R222" s="26"/>
      <c r="S222" s="26"/>
    </row>
    <row r="223" spans="1:19" x14ac:dyDescent="0.25">
      <c r="A223" s="23" t="s">
        <v>16</v>
      </c>
      <c r="B223" s="23" t="s">
        <v>17</v>
      </c>
      <c r="C223" s="23" t="s">
        <v>18</v>
      </c>
      <c r="D223" s="8">
        <v>2014</v>
      </c>
      <c r="E223" s="21" t="s">
        <v>42</v>
      </c>
      <c r="F223" s="22">
        <v>41757</v>
      </c>
      <c r="G223" s="23" t="s">
        <v>249</v>
      </c>
      <c r="H223" s="13" t="s">
        <v>274</v>
      </c>
      <c r="I223" s="12">
        <v>-300</v>
      </c>
      <c r="J223" s="13" t="s">
        <v>38</v>
      </c>
      <c r="K223" s="13" t="s">
        <v>90</v>
      </c>
      <c r="L223" s="13" t="s">
        <v>91</v>
      </c>
      <c r="M223" s="13"/>
      <c r="N223" s="31"/>
      <c r="O223" s="14">
        <f t="shared" si="6"/>
        <v>-300</v>
      </c>
      <c r="P223" s="15">
        <f t="shared" si="7"/>
        <v>41757</v>
      </c>
      <c r="Q223" s="15"/>
      <c r="R223" s="26"/>
      <c r="S223" s="26"/>
    </row>
    <row r="224" spans="1:19" x14ac:dyDescent="0.25">
      <c r="A224" s="23" t="s">
        <v>16</v>
      </c>
      <c r="B224" s="23" t="s">
        <v>17</v>
      </c>
      <c r="C224" s="23" t="s">
        <v>18</v>
      </c>
      <c r="D224" s="8">
        <v>2014</v>
      </c>
      <c r="E224" s="21" t="s">
        <v>42</v>
      </c>
      <c r="F224" s="22">
        <v>41757</v>
      </c>
      <c r="G224" s="23" t="s">
        <v>249</v>
      </c>
      <c r="H224" s="13" t="s">
        <v>275</v>
      </c>
      <c r="I224" s="12">
        <v>-500</v>
      </c>
      <c r="J224" s="13" t="s">
        <v>38</v>
      </c>
      <c r="K224" s="13" t="s">
        <v>90</v>
      </c>
      <c r="L224" s="13" t="s">
        <v>91</v>
      </c>
      <c r="M224" s="13"/>
      <c r="N224" s="31"/>
      <c r="O224" s="14">
        <f t="shared" si="6"/>
        <v>-500</v>
      </c>
      <c r="P224" s="15">
        <f t="shared" si="7"/>
        <v>41757</v>
      </c>
      <c r="Q224" s="15"/>
      <c r="R224" s="26"/>
      <c r="S224" s="26"/>
    </row>
    <row r="225" spans="1:19" x14ac:dyDescent="0.25">
      <c r="A225" s="23" t="s">
        <v>16</v>
      </c>
      <c r="B225" s="23" t="s">
        <v>17</v>
      </c>
      <c r="C225" s="23" t="s">
        <v>18</v>
      </c>
      <c r="D225" s="8">
        <v>2014</v>
      </c>
      <c r="E225" s="21" t="s">
        <v>42</v>
      </c>
      <c r="F225" s="22">
        <v>41757</v>
      </c>
      <c r="G225" s="23" t="s">
        <v>249</v>
      </c>
      <c r="H225" s="13" t="s">
        <v>276</v>
      </c>
      <c r="I225" s="12">
        <v>-300</v>
      </c>
      <c r="J225" s="13" t="s">
        <v>38</v>
      </c>
      <c r="K225" s="13" t="s">
        <v>90</v>
      </c>
      <c r="L225" s="13" t="s">
        <v>91</v>
      </c>
      <c r="M225" s="13"/>
      <c r="N225" s="31"/>
      <c r="O225" s="14">
        <f t="shared" si="6"/>
        <v>-300</v>
      </c>
      <c r="P225" s="15">
        <f t="shared" si="7"/>
        <v>41757</v>
      </c>
      <c r="Q225" s="15"/>
      <c r="R225" s="26"/>
      <c r="S225" s="26"/>
    </row>
    <row r="226" spans="1:19" x14ac:dyDescent="0.25">
      <c r="A226" s="8" t="s">
        <v>16</v>
      </c>
      <c r="B226" s="8" t="s">
        <v>17</v>
      </c>
      <c r="C226" s="8" t="s">
        <v>18</v>
      </c>
      <c r="D226" s="8">
        <v>2014</v>
      </c>
      <c r="E226" s="21" t="s">
        <v>42</v>
      </c>
      <c r="F226" s="22">
        <v>41757</v>
      </c>
      <c r="G226" s="8"/>
      <c r="H226" s="17" t="s">
        <v>277</v>
      </c>
      <c r="I226" s="12">
        <v>-1286.3499999999999</v>
      </c>
      <c r="J226" s="13" t="s">
        <v>33</v>
      </c>
      <c r="K226" s="13" t="s">
        <v>278</v>
      </c>
      <c r="L226" s="13" t="s">
        <v>76</v>
      </c>
      <c r="M226" s="13"/>
      <c r="N226" s="31"/>
      <c r="O226" s="14">
        <f t="shared" si="6"/>
        <v>-1286.3499999999999</v>
      </c>
      <c r="P226" s="15">
        <f t="shared" si="7"/>
        <v>41757</v>
      </c>
      <c r="Q226" s="15"/>
      <c r="R226" s="26"/>
      <c r="S226" s="26"/>
    </row>
    <row r="227" spans="1:19" x14ac:dyDescent="0.25">
      <c r="A227" s="8" t="s">
        <v>16</v>
      </c>
      <c r="B227" s="8" t="s">
        <v>17</v>
      </c>
      <c r="C227" s="8" t="s">
        <v>18</v>
      </c>
      <c r="D227" s="8">
        <v>2014</v>
      </c>
      <c r="E227" s="21" t="s">
        <v>42</v>
      </c>
      <c r="F227" s="22">
        <v>41757</v>
      </c>
      <c r="G227" s="8"/>
      <c r="H227" s="17" t="s">
        <v>229</v>
      </c>
      <c r="I227" s="12">
        <v>-79</v>
      </c>
      <c r="J227" s="13" t="s">
        <v>33</v>
      </c>
      <c r="K227" s="13" t="s">
        <v>34</v>
      </c>
      <c r="L227" s="13" t="s">
        <v>76</v>
      </c>
      <c r="M227" s="13"/>
      <c r="N227" s="31"/>
      <c r="O227" s="14">
        <f t="shared" si="6"/>
        <v>-79</v>
      </c>
      <c r="P227" s="15">
        <f t="shared" si="7"/>
        <v>41757</v>
      </c>
      <c r="Q227" s="15"/>
      <c r="R227" s="26"/>
      <c r="S227" s="26"/>
    </row>
    <row r="228" spans="1:19" x14ac:dyDescent="0.25">
      <c r="A228" s="23" t="s">
        <v>16</v>
      </c>
      <c r="B228" s="23" t="s">
        <v>17</v>
      </c>
      <c r="C228" s="23" t="s">
        <v>18</v>
      </c>
      <c r="D228" s="8">
        <v>2014</v>
      </c>
      <c r="E228" s="21" t="s">
        <v>42</v>
      </c>
      <c r="F228" s="22">
        <v>41757</v>
      </c>
      <c r="G228" s="23"/>
      <c r="H228" s="13" t="s">
        <v>233</v>
      </c>
      <c r="I228" s="12">
        <v>-298</v>
      </c>
      <c r="J228" s="13" t="s">
        <v>21</v>
      </c>
      <c r="K228" s="13" t="s">
        <v>22</v>
      </c>
      <c r="L228" s="13" t="s">
        <v>121</v>
      </c>
      <c r="M228" s="13"/>
      <c r="N228" s="31"/>
      <c r="O228" s="14">
        <f t="shared" si="6"/>
        <v>-298</v>
      </c>
      <c r="P228" s="15">
        <f t="shared" si="7"/>
        <v>41757</v>
      </c>
      <c r="Q228" s="15"/>
      <c r="R228" s="26"/>
      <c r="S228" s="26"/>
    </row>
    <row r="229" spans="1:19" x14ac:dyDescent="0.25">
      <c r="A229" s="8" t="s">
        <v>16</v>
      </c>
      <c r="B229" s="8" t="s">
        <v>17</v>
      </c>
      <c r="C229" s="8" t="s">
        <v>18</v>
      </c>
      <c r="D229" s="8">
        <v>2014</v>
      </c>
      <c r="E229" s="21" t="s">
        <v>42</v>
      </c>
      <c r="F229" s="10">
        <v>41757</v>
      </c>
      <c r="G229" s="8"/>
      <c r="H229" s="11" t="s">
        <v>62</v>
      </c>
      <c r="I229" s="12">
        <f>-120-90-65</f>
        <v>-275</v>
      </c>
      <c r="J229" s="13" t="s">
        <v>21</v>
      </c>
      <c r="K229" s="13" t="s">
        <v>63</v>
      </c>
      <c r="L229" s="13" t="s">
        <v>64</v>
      </c>
      <c r="M229" s="13"/>
      <c r="N229" s="31"/>
      <c r="O229" s="14">
        <f t="shared" si="6"/>
        <v>-275</v>
      </c>
      <c r="P229" s="15">
        <f t="shared" si="7"/>
        <v>41757</v>
      </c>
      <c r="Q229" s="15"/>
      <c r="R229" s="35"/>
      <c r="S229" s="16"/>
    </row>
    <row r="230" spans="1:19" x14ac:dyDescent="0.25">
      <c r="A230" s="8" t="s">
        <v>16</v>
      </c>
      <c r="B230" s="8" t="s">
        <v>17</v>
      </c>
      <c r="C230" s="8" t="s">
        <v>18</v>
      </c>
      <c r="D230" s="8">
        <v>2014</v>
      </c>
      <c r="E230" s="21" t="s">
        <v>42</v>
      </c>
      <c r="F230" s="22">
        <v>41757</v>
      </c>
      <c r="G230" s="23"/>
      <c r="H230" s="11" t="s">
        <v>279</v>
      </c>
      <c r="I230" s="12">
        <v>-30</v>
      </c>
      <c r="J230" s="49" t="s">
        <v>21</v>
      </c>
      <c r="K230" s="49" t="s">
        <v>56</v>
      </c>
      <c r="L230" s="49" t="s">
        <v>111</v>
      </c>
      <c r="M230" s="49" t="s">
        <v>28</v>
      </c>
      <c r="N230" s="31"/>
      <c r="O230" s="14">
        <f t="shared" si="6"/>
        <v>-30</v>
      </c>
      <c r="P230" s="15">
        <f t="shared" si="7"/>
        <v>41757</v>
      </c>
      <c r="Q230" s="15"/>
      <c r="R230" s="35"/>
      <c r="S230" s="16"/>
    </row>
    <row r="231" spans="1:19" x14ac:dyDescent="0.25">
      <c r="A231" s="8" t="s">
        <v>16</v>
      </c>
      <c r="B231" s="8" t="s">
        <v>17</v>
      </c>
      <c r="C231" s="8" t="s">
        <v>18</v>
      </c>
      <c r="D231" s="8">
        <v>2014</v>
      </c>
      <c r="E231" s="21" t="s">
        <v>42</v>
      </c>
      <c r="F231" s="22">
        <v>41757</v>
      </c>
      <c r="G231" s="23"/>
      <c r="H231" s="11" t="s">
        <v>245</v>
      </c>
      <c r="I231" s="12">
        <v>-30</v>
      </c>
      <c r="J231" s="49" t="s">
        <v>21</v>
      </c>
      <c r="K231" s="49" t="s">
        <v>56</v>
      </c>
      <c r="L231" s="49" t="s">
        <v>111</v>
      </c>
      <c r="M231" s="49" t="s">
        <v>28</v>
      </c>
      <c r="N231" s="31"/>
      <c r="O231" s="14">
        <f t="shared" si="6"/>
        <v>-30</v>
      </c>
      <c r="P231" s="15">
        <f t="shared" si="7"/>
        <v>41757</v>
      </c>
      <c r="Q231" s="15"/>
      <c r="R231" s="26"/>
      <c r="S231" s="26"/>
    </row>
    <row r="232" spans="1:19" x14ac:dyDescent="0.25">
      <c r="A232" s="8" t="s">
        <v>16</v>
      </c>
      <c r="B232" s="8" t="s">
        <v>17</v>
      </c>
      <c r="C232" s="8" t="s">
        <v>18</v>
      </c>
      <c r="D232" s="8">
        <v>2014</v>
      </c>
      <c r="E232" s="21" t="s">
        <v>42</v>
      </c>
      <c r="F232" s="22">
        <v>41757</v>
      </c>
      <c r="G232" s="23"/>
      <c r="H232" s="11" t="s">
        <v>280</v>
      </c>
      <c r="I232" s="12">
        <f>-24-20-17.5</f>
        <v>-61.5</v>
      </c>
      <c r="J232" s="49" t="s">
        <v>21</v>
      </c>
      <c r="K232" s="49" t="s">
        <v>56</v>
      </c>
      <c r="L232" s="49" t="s">
        <v>111</v>
      </c>
      <c r="M232" s="49" t="s">
        <v>28</v>
      </c>
      <c r="N232" s="31"/>
      <c r="O232" s="14">
        <f t="shared" si="6"/>
        <v>-61.5</v>
      </c>
      <c r="P232" s="15">
        <f t="shared" si="7"/>
        <v>41757</v>
      </c>
      <c r="Q232" s="15"/>
      <c r="R232" s="26"/>
      <c r="S232" s="26"/>
    </row>
    <row r="233" spans="1:19" x14ac:dyDescent="0.25">
      <c r="A233" s="8" t="s">
        <v>16</v>
      </c>
      <c r="B233" s="8" t="s">
        <v>17</v>
      </c>
      <c r="C233" s="8" t="s">
        <v>18</v>
      </c>
      <c r="D233" s="8">
        <v>2014</v>
      </c>
      <c r="E233" s="21" t="s">
        <v>42</v>
      </c>
      <c r="F233" s="10">
        <v>41757</v>
      </c>
      <c r="G233" s="8"/>
      <c r="H233" s="11" t="s">
        <v>281</v>
      </c>
      <c r="I233" s="12">
        <v>-30</v>
      </c>
      <c r="J233" s="13" t="s">
        <v>21</v>
      </c>
      <c r="K233" s="13" t="s">
        <v>63</v>
      </c>
      <c r="L233" s="13" t="s">
        <v>64</v>
      </c>
      <c r="M233" s="13"/>
      <c r="N233" s="31"/>
      <c r="O233" s="14">
        <f t="shared" si="6"/>
        <v>-30</v>
      </c>
      <c r="P233" s="15">
        <f t="shared" si="7"/>
        <v>41757</v>
      </c>
      <c r="Q233" s="15"/>
      <c r="R233" s="16"/>
      <c r="S233" s="16"/>
    </row>
    <row r="234" spans="1:19" x14ac:dyDescent="0.25">
      <c r="A234" s="23" t="s">
        <v>16</v>
      </c>
      <c r="B234" s="23" t="s">
        <v>17</v>
      </c>
      <c r="C234" s="23" t="s">
        <v>18</v>
      </c>
      <c r="D234" s="8">
        <v>2014</v>
      </c>
      <c r="E234" s="21" t="s">
        <v>42</v>
      </c>
      <c r="F234" s="22">
        <v>41758</v>
      </c>
      <c r="G234" s="23" t="s">
        <v>249</v>
      </c>
      <c r="H234" s="13" t="s">
        <v>216</v>
      </c>
      <c r="I234" s="12">
        <v>-100</v>
      </c>
      <c r="J234" s="13" t="s">
        <v>21</v>
      </c>
      <c r="K234" s="13" t="s">
        <v>22</v>
      </c>
      <c r="L234" s="13" t="s">
        <v>71</v>
      </c>
      <c r="M234" s="13" t="s">
        <v>201</v>
      </c>
      <c r="N234" s="31"/>
      <c r="O234" s="14">
        <f t="shared" si="6"/>
        <v>-100</v>
      </c>
      <c r="P234" s="15">
        <f t="shared" si="7"/>
        <v>41758</v>
      </c>
      <c r="Q234" s="15"/>
      <c r="R234" s="16"/>
      <c r="S234" s="16"/>
    </row>
    <row r="235" spans="1:19" x14ac:dyDescent="0.25">
      <c r="A235" s="23" t="s">
        <v>16</v>
      </c>
      <c r="B235" s="23" t="s">
        <v>17</v>
      </c>
      <c r="C235" s="23" t="s">
        <v>18</v>
      </c>
      <c r="D235" s="8">
        <v>2014</v>
      </c>
      <c r="E235" s="21" t="s">
        <v>42</v>
      </c>
      <c r="F235" s="22">
        <v>41758</v>
      </c>
      <c r="G235" s="23"/>
      <c r="H235" s="13" t="s">
        <v>282</v>
      </c>
      <c r="I235" s="12">
        <v>-35</v>
      </c>
      <c r="J235" s="13" t="s">
        <v>21</v>
      </c>
      <c r="K235" s="13" t="s">
        <v>22</v>
      </c>
      <c r="L235" s="13" t="s">
        <v>121</v>
      </c>
      <c r="M235" s="13"/>
      <c r="N235" s="31"/>
      <c r="O235" s="14">
        <f t="shared" si="6"/>
        <v>-35</v>
      </c>
      <c r="P235" s="15">
        <f t="shared" si="7"/>
        <v>41758</v>
      </c>
      <c r="Q235" s="15"/>
      <c r="R235" s="26"/>
      <c r="S235" s="26"/>
    </row>
    <row r="236" spans="1:19" x14ac:dyDescent="0.25">
      <c r="A236" s="8" t="s">
        <v>16</v>
      </c>
      <c r="B236" s="8" t="s">
        <v>17</v>
      </c>
      <c r="C236" s="8" t="s">
        <v>18</v>
      </c>
      <c r="D236" s="8">
        <v>2014</v>
      </c>
      <c r="E236" s="21" t="s">
        <v>42</v>
      </c>
      <c r="F236" s="10">
        <v>41758</v>
      </c>
      <c r="G236" s="8"/>
      <c r="H236" s="11" t="s">
        <v>283</v>
      </c>
      <c r="I236" s="12">
        <v>-500</v>
      </c>
      <c r="J236" s="13" t="s">
        <v>21</v>
      </c>
      <c r="K236" s="13" t="s">
        <v>25</v>
      </c>
      <c r="L236" s="13" t="s">
        <v>26</v>
      </c>
      <c r="M236" s="13" t="s">
        <v>127</v>
      </c>
      <c r="N236" s="31"/>
      <c r="O236" s="14">
        <f t="shared" si="6"/>
        <v>-500</v>
      </c>
      <c r="P236" s="15">
        <f t="shared" si="7"/>
        <v>41758</v>
      </c>
      <c r="Q236" s="15"/>
      <c r="R236" s="16"/>
      <c r="S236" s="16"/>
    </row>
    <row r="237" spans="1:19" x14ac:dyDescent="0.25">
      <c r="A237" s="23" t="s">
        <v>16</v>
      </c>
      <c r="B237" s="23" t="s">
        <v>17</v>
      </c>
      <c r="C237" s="23" t="s">
        <v>51</v>
      </c>
      <c r="D237" s="8">
        <v>2014</v>
      </c>
      <c r="E237" s="21" t="s">
        <v>42</v>
      </c>
      <c r="F237" s="22">
        <v>41758</v>
      </c>
      <c r="G237" s="8">
        <v>11661</v>
      </c>
      <c r="H237" s="17" t="s">
        <v>132</v>
      </c>
      <c r="I237" s="12">
        <v>16000</v>
      </c>
      <c r="J237" s="13" t="s">
        <v>53</v>
      </c>
      <c r="K237" s="13" t="s">
        <v>54</v>
      </c>
      <c r="L237" s="13"/>
      <c r="M237" s="13"/>
      <c r="N237" s="31"/>
      <c r="O237" s="14">
        <f t="shared" si="6"/>
        <v>16000</v>
      </c>
      <c r="P237" s="15">
        <f t="shared" si="7"/>
        <v>41758</v>
      </c>
      <c r="Q237" s="15"/>
      <c r="R237" s="26"/>
      <c r="S237" s="26"/>
    </row>
    <row r="238" spans="1:19" x14ac:dyDescent="0.25">
      <c r="A238" s="23" t="s">
        <v>16</v>
      </c>
      <c r="B238" s="23" t="s">
        <v>17</v>
      </c>
      <c r="C238" s="23" t="s">
        <v>51</v>
      </c>
      <c r="D238" s="8">
        <v>2014</v>
      </c>
      <c r="E238" s="21" t="s">
        <v>42</v>
      </c>
      <c r="F238" s="22">
        <v>41758</v>
      </c>
      <c r="G238" s="8">
        <v>11697</v>
      </c>
      <c r="H238" s="17" t="s">
        <v>284</v>
      </c>
      <c r="I238" s="12">
        <v>1000</v>
      </c>
      <c r="J238" s="13" t="s">
        <v>53</v>
      </c>
      <c r="K238" s="13" t="s">
        <v>54</v>
      </c>
      <c r="L238" s="13"/>
      <c r="M238" s="13"/>
      <c r="N238" s="31"/>
      <c r="O238" s="14">
        <f t="shared" si="6"/>
        <v>1000</v>
      </c>
      <c r="P238" s="15">
        <f t="shared" si="7"/>
        <v>41758</v>
      </c>
      <c r="Q238" s="15"/>
      <c r="R238" s="26"/>
      <c r="S238" s="26"/>
    </row>
    <row r="239" spans="1:19" x14ac:dyDescent="0.25">
      <c r="A239" s="23" t="s">
        <v>16</v>
      </c>
      <c r="B239" s="23" t="s">
        <v>17</v>
      </c>
      <c r="C239" s="23" t="s">
        <v>18</v>
      </c>
      <c r="D239" s="8">
        <v>2014</v>
      </c>
      <c r="E239" s="21" t="s">
        <v>42</v>
      </c>
      <c r="F239" s="22">
        <v>41759</v>
      </c>
      <c r="G239" s="23" t="s">
        <v>249</v>
      </c>
      <c r="H239" s="13" t="s">
        <v>285</v>
      </c>
      <c r="I239" s="12">
        <v>-46</v>
      </c>
      <c r="J239" s="13" t="s">
        <v>38</v>
      </c>
      <c r="K239" s="13" t="s">
        <v>155</v>
      </c>
      <c r="L239" s="13" t="s">
        <v>91</v>
      </c>
      <c r="M239" s="13"/>
      <c r="N239" s="31"/>
      <c r="O239" s="14">
        <f t="shared" si="6"/>
        <v>-46</v>
      </c>
      <c r="P239" s="15">
        <f t="shared" si="7"/>
        <v>41759</v>
      </c>
      <c r="Q239" s="15"/>
      <c r="R239" s="26"/>
      <c r="S239" s="26"/>
    </row>
    <row r="240" spans="1:19" x14ac:dyDescent="0.25">
      <c r="A240" s="23" t="s">
        <v>16</v>
      </c>
      <c r="B240" s="23" t="s">
        <v>17</v>
      </c>
      <c r="C240" s="23" t="s">
        <v>18</v>
      </c>
      <c r="D240" s="8">
        <v>2014</v>
      </c>
      <c r="E240" s="21" t="s">
        <v>42</v>
      </c>
      <c r="F240" s="22">
        <v>41759</v>
      </c>
      <c r="G240" s="23" t="s">
        <v>249</v>
      </c>
      <c r="H240" s="13" t="s">
        <v>286</v>
      </c>
      <c r="I240" s="12">
        <v>-391</v>
      </c>
      <c r="J240" s="13" t="s">
        <v>38</v>
      </c>
      <c r="K240" s="13" t="s">
        <v>155</v>
      </c>
      <c r="L240" s="13" t="s">
        <v>91</v>
      </c>
      <c r="M240" s="13"/>
      <c r="N240" s="31"/>
      <c r="O240" s="14">
        <f t="shared" si="6"/>
        <v>-391</v>
      </c>
      <c r="P240" s="15">
        <f t="shared" si="7"/>
        <v>41759</v>
      </c>
      <c r="Q240" s="15"/>
      <c r="R240" s="16"/>
      <c r="S240" s="16"/>
    </row>
    <row r="241" spans="1:19" x14ac:dyDescent="0.25">
      <c r="A241" s="23" t="s">
        <v>16</v>
      </c>
      <c r="B241" s="23" t="s">
        <v>17</v>
      </c>
      <c r="C241" s="23" t="s">
        <v>18</v>
      </c>
      <c r="D241" s="8">
        <v>2014</v>
      </c>
      <c r="E241" s="21" t="s">
        <v>42</v>
      </c>
      <c r="F241" s="22">
        <v>41759</v>
      </c>
      <c r="G241" s="23" t="s">
        <v>249</v>
      </c>
      <c r="H241" s="13" t="s">
        <v>287</v>
      </c>
      <c r="I241" s="12">
        <v>-94</v>
      </c>
      <c r="J241" s="13" t="s">
        <v>38</v>
      </c>
      <c r="K241" s="13" t="s">
        <v>155</v>
      </c>
      <c r="L241" s="13" t="s">
        <v>91</v>
      </c>
      <c r="M241" s="13"/>
      <c r="N241" s="31"/>
      <c r="O241" s="14">
        <f t="shared" si="6"/>
        <v>-94</v>
      </c>
      <c r="P241" s="15">
        <f t="shared" si="7"/>
        <v>41759</v>
      </c>
      <c r="Q241" s="15"/>
      <c r="R241" s="26"/>
      <c r="S241" s="26"/>
    </row>
    <row r="242" spans="1:19" x14ac:dyDescent="0.25">
      <c r="A242" s="23" t="s">
        <v>16</v>
      </c>
      <c r="B242" s="23" t="s">
        <v>17</v>
      </c>
      <c r="C242" s="23" t="s">
        <v>18</v>
      </c>
      <c r="D242" s="8">
        <v>2014</v>
      </c>
      <c r="E242" s="21" t="s">
        <v>42</v>
      </c>
      <c r="F242" s="22">
        <v>41759</v>
      </c>
      <c r="G242" s="23" t="s">
        <v>249</v>
      </c>
      <c r="H242" s="13" t="s">
        <v>288</v>
      </c>
      <c r="I242" s="12">
        <v>-690</v>
      </c>
      <c r="J242" s="13" t="s">
        <v>38</v>
      </c>
      <c r="K242" s="13" t="s">
        <v>155</v>
      </c>
      <c r="L242" s="13" t="s">
        <v>91</v>
      </c>
      <c r="M242" s="13"/>
      <c r="N242" s="31"/>
      <c r="O242" s="14">
        <f t="shared" si="6"/>
        <v>-690</v>
      </c>
      <c r="P242" s="15">
        <f t="shared" si="7"/>
        <v>41759</v>
      </c>
      <c r="Q242" s="15"/>
      <c r="R242" s="26"/>
      <c r="S242" s="26"/>
    </row>
    <row r="243" spans="1:19" x14ac:dyDescent="0.25">
      <c r="A243" s="23" t="s">
        <v>16</v>
      </c>
      <c r="B243" s="23" t="s">
        <v>17</v>
      </c>
      <c r="C243" s="23" t="s">
        <v>18</v>
      </c>
      <c r="D243" s="8">
        <v>2014</v>
      </c>
      <c r="E243" s="21" t="s">
        <v>42</v>
      </c>
      <c r="F243" s="22">
        <v>41759</v>
      </c>
      <c r="G243" s="23" t="s">
        <v>249</v>
      </c>
      <c r="H243" s="11" t="s">
        <v>166</v>
      </c>
      <c r="I243" s="12">
        <v>-3000</v>
      </c>
      <c r="J243" s="13" t="s">
        <v>21</v>
      </c>
      <c r="K243" s="13" t="s">
        <v>56</v>
      </c>
      <c r="L243" s="13" t="s">
        <v>57</v>
      </c>
      <c r="M243" s="13" t="s">
        <v>167</v>
      </c>
      <c r="N243" s="31"/>
      <c r="O243" s="14">
        <f t="shared" si="6"/>
        <v>-3000</v>
      </c>
      <c r="P243" s="15">
        <f t="shared" si="7"/>
        <v>41759</v>
      </c>
      <c r="Q243" s="15"/>
      <c r="R243" s="26"/>
      <c r="S243" s="26"/>
    </row>
    <row r="244" spans="1:19" x14ac:dyDescent="0.25">
      <c r="A244" s="8" t="s">
        <v>16</v>
      </c>
      <c r="B244" s="8" t="s">
        <v>17</v>
      </c>
      <c r="C244" s="8" t="s">
        <v>18</v>
      </c>
      <c r="D244" s="8">
        <v>2014</v>
      </c>
      <c r="E244" s="21" t="s">
        <v>42</v>
      </c>
      <c r="F244" s="22">
        <v>41759</v>
      </c>
      <c r="G244" s="23" t="s">
        <v>249</v>
      </c>
      <c r="H244" s="13" t="s">
        <v>289</v>
      </c>
      <c r="I244" s="34">
        <v>-3000</v>
      </c>
      <c r="J244" s="13" t="s">
        <v>38</v>
      </c>
      <c r="K244" s="13" t="s">
        <v>90</v>
      </c>
      <c r="L244" s="13" t="s">
        <v>102</v>
      </c>
      <c r="M244" s="13" t="s">
        <v>289</v>
      </c>
      <c r="N244" s="31"/>
      <c r="O244" s="14">
        <f t="shared" si="6"/>
        <v>-3000</v>
      </c>
      <c r="P244" s="15">
        <f t="shared" si="7"/>
        <v>41759</v>
      </c>
      <c r="Q244" s="15"/>
      <c r="R244" s="26"/>
      <c r="S244" s="26"/>
    </row>
    <row r="245" spans="1:19" x14ac:dyDescent="0.25">
      <c r="A245" s="23" t="s">
        <v>16</v>
      </c>
      <c r="B245" s="23" t="s">
        <v>17</v>
      </c>
      <c r="C245" s="23" t="s">
        <v>18</v>
      </c>
      <c r="D245" s="8">
        <v>2014</v>
      </c>
      <c r="E245" s="21" t="s">
        <v>42</v>
      </c>
      <c r="F245" s="22">
        <v>41759</v>
      </c>
      <c r="G245" s="23"/>
      <c r="H245" s="13" t="s">
        <v>290</v>
      </c>
      <c r="I245" s="12">
        <v>-105</v>
      </c>
      <c r="J245" s="13" t="s">
        <v>21</v>
      </c>
      <c r="K245" s="13" t="s">
        <v>56</v>
      </c>
      <c r="L245" s="13" t="s">
        <v>111</v>
      </c>
      <c r="M245" s="13" t="s">
        <v>28</v>
      </c>
      <c r="N245" s="31"/>
      <c r="O245" s="14">
        <f t="shared" si="6"/>
        <v>-105</v>
      </c>
      <c r="P245" s="15">
        <f t="shared" si="7"/>
        <v>41759</v>
      </c>
      <c r="Q245" s="15"/>
      <c r="R245" s="26"/>
      <c r="S245" s="26"/>
    </row>
    <row r="246" spans="1:19" x14ac:dyDescent="0.25">
      <c r="A246" s="23" t="s">
        <v>16</v>
      </c>
      <c r="B246" s="23" t="s">
        <v>17</v>
      </c>
      <c r="C246" s="23" t="s">
        <v>18</v>
      </c>
      <c r="D246" s="8">
        <v>2014</v>
      </c>
      <c r="E246" s="21" t="s">
        <v>42</v>
      </c>
      <c r="F246" s="22">
        <v>41759</v>
      </c>
      <c r="G246" s="23"/>
      <c r="H246" s="13" t="s">
        <v>291</v>
      </c>
      <c r="I246" s="12">
        <f>-20-33-22-25.3-35.2</f>
        <v>-135.5</v>
      </c>
      <c r="J246" s="13" t="s">
        <v>21</v>
      </c>
      <c r="K246" s="13" t="s">
        <v>56</v>
      </c>
      <c r="L246" s="13" t="s">
        <v>111</v>
      </c>
      <c r="M246" s="13" t="s">
        <v>28</v>
      </c>
      <c r="N246" s="31"/>
      <c r="O246" s="14">
        <f t="shared" si="6"/>
        <v>-135.5</v>
      </c>
      <c r="P246" s="15">
        <f t="shared" si="7"/>
        <v>41759</v>
      </c>
      <c r="Q246" s="15"/>
      <c r="R246" s="26"/>
      <c r="S246" s="26"/>
    </row>
    <row r="247" spans="1:19" x14ac:dyDescent="0.25">
      <c r="A247" s="23" t="s">
        <v>16</v>
      </c>
      <c r="B247" s="23" t="s">
        <v>17</v>
      </c>
      <c r="C247" s="23" t="s">
        <v>18</v>
      </c>
      <c r="D247" s="8">
        <v>2014</v>
      </c>
      <c r="E247" s="21" t="s">
        <v>42</v>
      </c>
      <c r="F247" s="22">
        <v>41759</v>
      </c>
      <c r="G247" s="23"/>
      <c r="H247" s="13" t="s">
        <v>122</v>
      </c>
      <c r="I247" s="12">
        <v>-3000</v>
      </c>
      <c r="J247" s="13" t="s">
        <v>33</v>
      </c>
      <c r="K247" s="13" t="s">
        <v>123</v>
      </c>
      <c r="L247" s="13" t="s">
        <v>124</v>
      </c>
      <c r="M247" s="25" t="s">
        <v>125</v>
      </c>
      <c r="N247" s="31"/>
      <c r="O247" s="14">
        <f t="shared" si="6"/>
        <v>-3000</v>
      </c>
      <c r="P247" s="15">
        <f t="shared" si="7"/>
        <v>41759</v>
      </c>
      <c r="Q247" s="15"/>
      <c r="R247" s="26"/>
      <c r="S247" s="26"/>
    </row>
    <row r="248" spans="1:19" x14ac:dyDescent="0.25">
      <c r="A248" s="23" t="s">
        <v>16</v>
      </c>
      <c r="B248" s="23" t="s">
        <v>17</v>
      </c>
      <c r="C248" s="23" t="s">
        <v>18</v>
      </c>
      <c r="D248" s="8">
        <v>2014</v>
      </c>
      <c r="E248" s="21" t="s">
        <v>42</v>
      </c>
      <c r="F248" s="22">
        <v>41759</v>
      </c>
      <c r="G248" s="23"/>
      <c r="H248" s="13" t="s">
        <v>292</v>
      </c>
      <c r="I248" s="12">
        <v>-216.8</v>
      </c>
      <c r="J248" s="13" t="s">
        <v>21</v>
      </c>
      <c r="K248" s="13" t="s">
        <v>22</v>
      </c>
      <c r="L248" s="13" t="s">
        <v>71</v>
      </c>
      <c r="M248" s="13"/>
      <c r="N248" s="31"/>
      <c r="O248" s="14">
        <f t="shared" si="6"/>
        <v>-216.8</v>
      </c>
      <c r="P248" s="15">
        <f t="shared" si="7"/>
        <v>41759</v>
      </c>
      <c r="Q248" s="15"/>
      <c r="R248" s="26"/>
      <c r="S248" s="26"/>
    </row>
    <row r="249" spans="1:19" x14ac:dyDescent="0.25">
      <c r="A249" s="8" t="s">
        <v>16</v>
      </c>
      <c r="B249" s="8" t="s">
        <v>17</v>
      </c>
      <c r="C249" s="8" t="s">
        <v>41</v>
      </c>
      <c r="D249" s="8">
        <v>2014</v>
      </c>
      <c r="E249" s="21" t="s">
        <v>293</v>
      </c>
      <c r="F249" s="10">
        <v>41760</v>
      </c>
      <c r="G249" s="8"/>
      <c r="H249" s="11" t="s">
        <v>43</v>
      </c>
      <c r="I249" s="29">
        <v>30263.556400000147</v>
      </c>
      <c r="J249" s="13" t="s">
        <v>44</v>
      </c>
      <c r="K249" s="13"/>
      <c r="L249" s="13"/>
      <c r="M249" s="13"/>
      <c r="N249" s="31"/>
      <c r="O249" s="14">
        <f t="shared" si="6"/>
        <v>30263.556400000147</v>
      </c>
      <c r="P249" s="15">
        <f t="shared" si="7"/>
        <v>41760</v>
      </c>
      <c r="Q249" s="15"/>
      <c r="R249" s="26"/>
      <c r="S249" s="16"/>
    </row>
    <row r="250" spans="1:19" x14ac:dyDescent="0.25">
      <c r="A250" s="8" t="s">
        <v>16</v>
      </c>
      <c r="B250" s="8" t="s">
        <v>45</v>
      </c>
      <c r="C250" s="8" t="s">
        <v>41</v>
      </c>
      <c r="D250" s="8">
        <v>2014</v>
      </c>
      <c r="E250" s="21" t="s">
        <v>293</v>
      </c>
      <c r="F250" s="10">
        <v>41760</v>
      </c>
      <c r="G250" s="8"/>
      <c r="H250" s="11" t="s">
        <v>43</v>
      </c>
      <c r="I250" s="29">
        <f>2295.07910074938*11.12</f>
        <v>25521.279600333102</v>
      </c>
      <c r="J250" s="13" t="s">
        <v>44</v>
      </c>
      <c r="K250" s="13"/>
      <c r="L250" s="13"/>
      <c r="M250" s="13"/>
      <c r="N250" s="31">
        <v>11.12</v>
      </c>
      <c r="O250" s="14">
        <f t="shared" si="6"/>
        <v>2295.0791007493799</v>
      </c>
      <c r="P250" s="15">
        <f t="shared" si="7"/>
        <v>41760</v>
      </c>
      <c r="Q250" s="15"/>
      <c r="R250" s="26"/>
      <c r="S250" s="16"/>
    </row>
    <row r="251" spans="1:19" x14ac:dyDescent="0.25">
      <c r="A251" s="23" t="s">
        <v>16</v>
      </c>
      <c r="B251" s="23" t="s">
        <v>17</v>
      </c>
      <c r="C251" s="23" t="s">
        <v>51</v>
      </c>
      <c r="D251" s="8">
        <v>2014</v>
      </c>
      <c r="E251" s="21" t="s">
        <v>293</v>
      </c>
      <c r="F251" s="30">
        <v>41761</v>
      </c>
      <c r="G251" s="8">
        <v>11702</v>
      </c>
      <c r="H251" s="17" t="s">
        <v>294</v>
      </c>
      <c r="I251" s="12">
        <v>100</v>
      </c>
      <c r="J251" s="48" t="s">
        <v>53</v>
      </c>
      <c r="K251" s="13" t="s">
        <v>54</v>
      </c>
      <c r="L251" s="13"/>
      <c r="M251" s="13"/>
      <c r="N251" s="31"/>
      <c r="O251" s="14">
        <f t="shared" si="6"/>
        <v>100</v>
      </c>
      <c r="P251" s="15">
        <f t="shared" si="7"/>
        <v>41761</v>
      </c>
      <c r="Q251" s="15"/>
      <c r="R251" s="26"/>
      <c r="S251" s="16"/>
    </row>
    <row r="252" spans="1:19" x14ac:dyDescent="0.25">
      <c r="A252" s="23" t="s">
        <v>16</v>
      </c>
      <c r="B252" s="23" t="s">
        <v>17</v>
      </c>
      <c r="C252" s="23" t="s">
        <v>18</v>
      </c>
      <c r="D252" s="8">
        <v>2014</v>
      </c>
      <c r="E252" s="21" t="s">
        <v>293</v>
      </c>
      <c r="F252" s="22">
        <v>41761</v>
      </c>
      <c r="G252" s="23"/>
      <c r="H252" s="13" t="s">
        <v>252</v>
      </c>
      <c r="I252" s="12">
        <v>-90</v>
      </c>
      <c r="J252" s="13" t="s">
        <v>21</v>
      </c>
      <c r="K252" s="13" t="s">
        <v>22</v>
      </c>
      <c r="L252" s="13" t="s">
        <v>71</v>
      </c>
      <c r="M252" s="13" t="s">
        <v>206</v>
      </c>
      <c r="N252" s="31"/>
      <c r="O252" s="14">
        <f t="shared" si="6"/>
        <v>-90</v>
      </c>
      <c r="P252" s="15">
        <f t="shared" si="7"/>
        <v>41761</v>
      </c>
      <c r="Q252" s="15"/>
      <c r="R252" s="16"/>
      <c r="S252" s="16"/>
    </row>
    <row r="253" spans="1:19" x14ac:dyDescent="0.25">
      <c r="A253" s="8" t="s">
        <v>16</v>
      </c>
      <c r="B253" s="8" t="s">
        <v>17</v>
      </c>
      <c r="C253" s="8" t="s">
        <v>18</v>
      </c>
      <c r="D253" s="8">
        <v>2014</v>
      </c>
      <c r="E253" s="21" t="s">
        <v>293</v>
      </c>
      <c r="F253" s="22">
        <v>41761</v>
      </c>
      <c r="G253" s="8"/>
      <c r="H253" s="13" t="s">
        <v>80</v>
      </c>
      <c r="I253" s="12">
        <v>-50</v>
      </c>
      <c r="J253" s="13" t="s">
        <v>21</v>
      </c>
      <c r="K253" s="13" t="s">
        <v>22</v>
      </c>
      <c r="L253" s="13" t="s">
        <v>23</v>
      </c>
      <c r="M253" s="13" t="s">
        <v>28</v>
      </c>
      <c r="N253" s="14"/>
      <c r="O253" s="14">
        <f t="shared" si="6"/>
        <v>-50</v>
      </c>
      <c r="P253" s="15">
        <f t="shared" si="7"/>
        <v>41761</v>
      </c>
      <c r="Q253" s="15"/>
      <c r="R253" s="26"/>
      <c r="S253" s="26"/>
    </row>
    <row r="254" spans="1:19" x14ac:dyDescent="0.25">
      <c r="A254" s="23" t="s">
        <v>16</v>
      </c>
      <c r="B254" s="23" t="s">
        <v>17</v>
      </c>
      <c r="C254" s="23" t="s">
        <v>51</v>
      </c>
      <c r="D254" s="8">
        <v>2014</v>
      </c>
      <c r="E254" s="21" t="s">
        <v>293</v>
      </c>
      <c r="F254" s="22">
        <v>41761</v>
      </c>
      <c r="G254" s="8">
        <v>11578</v>
      </c>
      <c r="H254" s="17" t="s">
        <v>295</v>
      </c>
      <c r="I254" s="12">
        <v>3330</v>
      </c>
      <c r="J254" s="48" t="s">
        <v>53</v>
      </c>
      <c r="K254" s="13" t="s">
        <v>54</v>
      </c>
      <c r="L254" s="13"/>
      <c r="M254" s="13"/>
      <c r="N254" s="31"/>
      <c r="O254" s="14">
        <f t="shared" si="6"/>
        <v>3330</v>
      </c>
      <c r="P254" s="15">
        <f t="shared" si="7"/>
        <v>41761</v>
      </c>
      <c r="Q254" s="15"/>
      <c r="R254" s="16"/>
      <c r="S254" s="16"/>
    </row>
    <row r="255" spans="1:19" x14ac:dyDescent="0.25">
      <c r="A255" s="23" t="s">
        <v>16</v>
      </c>
      <c r="B255" s="23" t="s">
        <v>17</v>
      </c>
      <c r="C255" s="23" t="s">
        <v>51</v>
      </c>
      <c r="D255" s="8">
        <v>2014</v>
      </c>
      <c r="E255" s="21" t="s">
        <v>293</v>
      </c>
      <c r="F255" s="22">
        <v>41761</v>
      </c>
      <c r="G255" s="8">
        <v>11657</v>
      </c>
      <c r="H255" s="17" t="s">
        <v>296</v>
      </c>
      <c r="I255" s="12">
        <v>10000</v>
      </c>
      <c r="J255" s="48" t="s">
        <v>53</v>
      </c>
      <c r="K255" s="13" t="s">
        <v>54</v>
      </c>
      <c r="L255" s="13"/>
      <c r="M255" s="13"/>
      <c r="N255" s="31"/>
      <c r="O255" s="14">
        <f t="shared" si="6"/>
        <v>10000</v>
      </c>
      <c r="P255" s="15">
        <f t="shared" si="7"/>
        <v>41761</v>
      </c>
      <c r="Q255" s="15"/>
      <c r="R255" s="16"/>
      <c r="S255" s="16"/>
    </row>
    <row r="256" spans="1:19" x14ac:dyDescent="0.25">
      <c r="A256" s="23" t="s">
        <v>16</v>
      </c>
      <c r="B256" s="23" t="s">
        <v>17</v>
      </c>
      <c r="C256" s="23" t="s">
        <v>51</v>
      </c>
      <c r="D256" s="8">
        <v>2014</v>
      </c>
      <c r="E256" s="21" t="s">
        <v>293</v>
      </c>
      <c r="F256" s="22">
        <v>41761</v>
      </c>
      <c r="G256" s="8">
        <v>11703</v>
      </c>
      <c r="H256" s="11" t="s">
        <v>297</v>
      </c>
      <c r="I256" s="12">
        <v>500</v>
      </c>
      <c r="J256" s="48" t="s">
        <v>53</v>
      </c>
      <c r="K256" s="13" t="s">
        <v>54</v>
      </c>
      <c r="L256" s="13"/>
      <c r="M256" s="13"/>
      <c r="N256" s="31"/>
      <c r="O256" s="14">
        <f t="shared" si="6"/>
        <v>500</v>
      </c>
      <c r="P256" s="15">
        <f t="shared" si="7"/>
        <v>41761</v>
      </c>
      <c r="Q256" s="15"/>
      <c r="R256" s="16"/>
      <c r="S256" s="26"/>
    </row>
    <row r="257" spans="1:19" x14ac:dyDescent="0.25">
      <c r="A257" s="23" t="s">
        <v>16</v>
      </c>
      <c r="B257" s="23" t="s">
        <v>17</v>
      </c>
      <c r="C257" s="23" t="s">
        <v>18</v>
      </c>
      <c r="D257" s="8">
        <v>2014</v>
      </c>
      <c r="E257" s="21" t="s">
        <v>293</v>
      </c>
      <c r="F257" s="22">
        <v>41762</v>
      </c>
      <c r="G257" s="23" t="s">
        <v>249</v>
      </c>
      <c r="H257" s="13" t="s">
        <v>220</v>
      </c>
      <c r="I257" s="12">
        <v>-170</v>
      </c>
      <c r="J257" s="13" t="s">
        <v>21</v>
      </c>
      <c r="K257" s="13" t="s">
        <v>22</v>
      </c>
      <c r="L257" s="13" t="s">
        <v>23</v>
      </c>
      <c r="M257" s="13"/>
      <c r="N257" s="14"/>
      <c r="O257" s="14">
        <f t="shared" si="6"/>
        <v>-170</v>
      </c>
      <c r="P257" s="15">
        <f t="shared" si="7"/>
        <v>41762</v>
      </c>
      <c r="Q257" s="15"/>
      <c r="R257" s="16"/>
      <c r="S257" s="26"/>
    </row>
    <row r="258" spans="1:19" x14ac:dyDescent="0.25">
      <c r="A258" s="23" t="s">
        <v>16</v>
      </c>
      <c r="B258" s="23" t="s">
        <v>17</v>
      </c>
      <c r="C258" s="23" t="s">
        <v>18</v>
      </c>
      <c r="D258" s="8">
        <v>2014</v>
      </c>
      <c r="E258" s="21" t="s">
        <v>293</v>
      </c>
      <c r="F258" s="22">
        <v>41762</v>
      </c>
      <c r="G258" s="23"/>
      <c r="H258" s="13" t="s">
        <v>298</v>
      </c>
      <c r="I258" s="29">
        <v>-10335.94</v>
      </c>
      <c r="J258" s="13" t="s">
        <v>33</v>
      </c>
      <c r="K258" s="13" t="s">
        <v>34</v>
      </c>
      <c r="L258" s="13" t="s">
        <v>35</v>
      </c>
      <c r="M258" s="13" t="s">
        <v>226</v>
      </c>
      <c r="N258" s="14"/>
      <c r="O258" s="14">
        <f t="shared" ref="O258:O321" si="8">IF(B258="$",I258,I258/N258)</f>
        <v>-10335.94</v>
      </c>
      <c r="P258" s="15">
        <f t="shared" si="7"/>
        <v>41762</v>
      </c>
      <c r="Q258" s="15"/>
      <c r="R258" s="24"/>
      <c r="S258" s="26"/>
    </row>
    <row r="259" spans="1:19" x14ac:dyDescent="0.25">
      <c r="A259" s="23" t="s">
        <v>16</v>
      </c>
      <c r="B259" s="23" t="s">
        <v>17</v>
      </c>
      <c r="C259" s="23" t="s">
        <v>18</v>
      </c>
      <c r="D259" s="8">
        <v>2014</v>
      </c>
      <c r="E259" s="21" t="s">
        <v>293</v>
      </c>
      <c r="F259" s="22">
        <v>41762</v>
      </c>
      <c r="G259" s="23"/>
      <c r="H259" s="13" t="s">
        <v>299</v>
      </c>
      <c r="I259" s="12">
        <v>-420</v>
      </c>
      <c r="J259" s="13" t="s">
        <v>21</v>
      </c>
      <c r="K259" s="13" t="s">
        <v>56</v>
      </c>
      <c r="L259" s="13" t="s">
        <v>57</v>
      </c>
      <c r="M259" s="13"/>
      <c r="N259" s="14"/>
      <c r="O259" s="14">
        <f t="shared" si="8"/>
        <v>-420</v>
      </c>
      <c r="P259" s="15">
        <f t="shared" ref="P259:P324" si="9">F259</f>
        <v>41762</v>
      </c>
      <c r="Q259" s="15"/>
      <c r="R259" s="16"/>
      <c r="S259" s="26"/>
    </row>
    <row r="260" spans="1:19" x14ac:dyDescent="0.25">
      <c r="A260" s="23" t="s">
        <v>16</v>
      </c>
      <c r="B260" s="23" t="s">
        <v>17</v>
      </c>
      <c r="C260" s="23" t="s">
        <v>18</v>
      </c>
      <c r="D260" s="8">
        <v>2014</v>
      </c>
      <c r="E260" s="21" t="s">
        <v>293</v>
      </c>
      <c r="F260" s="22">
        <v>41762</v>
      </c>
      <c r="G260" s="23"/>
      <c r="H260" s="13" t="s">
        <v>283</v>
      </c>
      <c r="I260" s="12">
        <v>-150</v>
      </c>
      <c r="J260" s="13" t="s">
        <v>21</v>
      </c>
      <c r="K260" s="13" t="s">
        <v>25</v>
      </c>
      <c r="L260" s="13" t="s">
        <v>26</v>
      </c>
      <c r="M260" s="13"/>
      <c r="N260" s="14"/>
      <c r="O260" s="14">
        <f t="shared" si="8"/>
        <v>-150</v>
      </c>
      <c r="P260" s="15">
        <f t="shared" si="9"/>
        <v>41762</v>
      </c>
      <c r="Q260" s="15"/>
      <c r="R260" s="16"/>
      <c r="S260" s="26"/>
    </row>
    <row r="261" spans="1:19" x14ac:dyDescent="0.25">
      <c r="A261" s="23" t="s">
        <v>16</v>
      </c>
      <c r="B261" s="23" t="s">
        <v>17</v>
      </c>
      <c r="C261" s="23" t="s">
        <v>18</v>
      </c>
      <c r="D261" s="8">
        <v>2014</v>
      </c>
      <c r="E261" s="21" t="s">
        <v>293</v>
      </c>
      <c r="F261" s="22">
        <v>41762</v>
      </c>
      <c r="G261" s="23"/>
      <c r="H261" s="13" t="s">
        <v>300</v>
      </c>
      <c r="I261" s="12">
        <v>-12</v>
      </c>
      <c r="J261" s="13" t="s">
        <v>21</v>
      </c>
      <c r="K261" s="13" t="s">
        <v>22</v>
      </c>
      <c r="L261" s="13" t="s">
        <v>71</v>
      </c>
      <c r="M261" s="13"/>
      <c r="N261" s="14"/>
      <c r="O261" s="14">
        <f t="shared" si="8"/>
        <v>-12</v>
      </c>
      <c r="P261" s="15">
        <f t="shared" si="9"/>
        <v>41762</v>
      </c>
      <c r="Q261" s="15"/>
      <c r="R261" s="16"/>
      <c r="S261" s="16"/>
    </row>
    <row r="262" spans="1:19" x14ac:dyDescent="0.25">
      <c r="A262" s="23" t="s">
        <v>16</v>
      </c>
      <c r="B262" s="23" t="s">
        <v>17</v>
      </c>
      <c r="C262" s="23" t="s">
        <v>51</v>
      </c>
      <c r="D262" s="8">
        <v>2014</v>
      </c>
      <c r="E262" s="21" t="s">
        <v>293</v>
      </c>
      <c r="F262" s="22">
        <v>41762</v>
      </c>
      <c r="G262" s="8">
        <v>11705</v>
      </c>
      <c r="H262" s="11" t="s">
        <v>301</v>
      </c>
      <c r="I262" s="12">
        <v>1000</v>
      </c>
      <c r="J262" s="48" t="s">
        <v>53</v>
      </c>
      <c r="K262" s="13" t="s">
        <v>54</v>
      </c>
      <c r="L262" s="13"/>
      <c r="M262" s="13"/>
      <c r="N262" s="31"/>
      <c r="O262" s="14">
        <f t="shared" si="8"/>
        <v>1000</v>
      </c>
      <c r="P262" s="15">
        <f t="shared" si="9"/>
        <v>41762</v>
      </c>
      <c r="Q262" s="15"/>
      <c r="R262" s="16"/>
      <c r="S262" s="16"/>
    </row>
    <row r="263" spans="1:19" x14ac:dyDescent="0.25">
      <c r="A263" s="23" t="s">
        <v>16</v>
      </c>
      <c r="B263" s="23" t="s">
        <v>17</v>
      </c>
      <c r="C263" s="23" t="s">
        <v>51</v>
      </c>
      <c r="D263" s="8">
        <v>2014</v>
      </c>
      <c r="E263" s="21" t="s">
        <v>293</v>
      </c>
      <c r="F263" s="22">
        <v>41762</v>
      </c>
      <c r="G263" s="8">
        <v>11706</v>
      </c>
      <c r="H263" s="11" t="s">
        <v>302</v>
      </c>
      <c r="I263" s="12">
        <v>200</v>
      </c>
      <c r="J263" s="13" t="s">
        <v>53</v>
      </c>
      <c r="K263" s="13" t="s">
        <v>54</v>
      </c>
      <c r="L263" s="13"/>
      <c r="M263" s="13"/>
      <c r="N263" s="31"/>
      <c r="O263" s="14">
        <f t="shared" si="8"/>
        <v>200</v>
      </c>
      <c r="P263" s="15">
        <f t="shared" si="9"/>
        <v>41762</v>
      </c>
      <c r="Q263" s="15"/>
      <c r="R263" s="16"/>
      <c r="S263" s="16"/>
    </row>
    <row r="264" spans="1:19" x14ac:dyDescent="0.25">
      <c r="A264" s="23" t="s">
        <v>16</v>
      </c>
      <c r="B264" s="23" t="s">
        <v>17</v>
      </c>
      <c r="C264" s="23" t="s">
        <v>51</v>
      </c>
      <c r="D264" s="8">
        <v>2014</v>
      </c>
      <c r="E264" s="21" t="s">
        <v>293</v>
      </c>
      <c r="F264" s="22">
        <v>41762</v>
      </c>
      <c r="G264" s="8">
        <v>11707</v>
      </c>
      <c r="H264" s="11" t="s">
        <v>303</v>
      </c>
      <c r="I264" s="12">
        <v>5500</v>
      </c>
      <c r="J264" s="48" t="s">
        <v>53</v>
      </c>
      <c r="K264" s="13" t="s">
        <v>54</v>
      </c>
      <c r="L264" s="13"/>
      <c r="M264" s="13"/>
      <c r="N264" s="31"/>
      <c r="O264" s="14">
        <f t="shared" si="8"/>
        <v>5500</v>
      </c>
      <c r="P264" s="15">
        <f t="shared" si="9"/>
        <v>41762</v>
      </c>
      <c r="Q264" s="15"/>
      <c r="R264" s="16"/>
      <c r="S264" s="16"/>
    </row>
    <row r="265" spans="1:19" x14ac:dyDescent="0.25">
      <c r="A265" s="23" t="s">
        <v>16</v>
      </c>
      <c r="B265" s="23" t="s">
        <v>17</v>
      </c>
      <c r="C265" s="23" t="s">
        <v>51</v>
      </c>
      <c r="D265" s="8">
        <v>2014</v>
      </c>
      <c r="E265" s="21" t="s">
        <v>293</v>
      </c>
      <c r="F265" s="22">
        <v>41762</v>
      </c>
      <c r="G265" s="8">
        <v>11708</v>
      </c>
      <c r="H265" s="11" t="s">
        <v>304</v>
      </c>
      <c r="I265" s="12">
        <v>200</v>
      </c>
      <c r="J265" s="48" t="s">
        <v>53</v>
      </c>
      <c r="K265" s="13" t="s">
        <v>54</v>
      </c>
      <c r="L265" s="13"/>
      <c r="M265" s="13"/>
      <c r="N265" s="31"/>
      <c r="O265" s="14">
        <f t="shared" si="8"/>
        <v>200</v>
      </c>
      <c r="P265" s="15">
        <f t="shared" si="9"/>
        <v>41762</v>
      </c>
      <c r="Q265" s="15"/>
      <c r="R265" s="16"/>
      <c r="S265" s="16"/>
    </row>
    <row r="266" spans="1:19" x14ac:dyDescent="0.25">
      <c r="A266" s="23" t="s">
        <v>16</v>
      </c>
      <c r="B266" s="23" t="s">
        <v>17</v>
      </c>
      <c r="C266" s="23" t="s">
        <v>51</v>
      </c>
      <c r="D266" s="8">
        <v>2014</v>
      </c>
      <c r="E266" s="21" t="s">
        <v>293</v>
      </c>
      <c r="F266" s="22">
        <v>41763</v>
      </c>
      <c r="G266" s="8">
        <v>11709</v>
      </c>
      <c r="H266" s="11" t="s">
        <v>305</v>
      </c>
      <c r="I266" s="12">
        <v>1000</v>
      </c>
      <c r="J266" s="48" t="s">
        <v>53</v>
      </c>
      <c r="K266" s="13" t="s">
        <v>54</v>
      </c>
      <c r="L266" s="13"/>
      <c r="M266" s="13"/>
      <c r="N266" s="31"/>
      <c r="O266" s="14">
        <f t="shared" si="8"/>
        <v>1000</v>
      </c>
      <c r="P266" s="15">
        <f t="shared" si="9"/>
        <v>41763</v>
      </c>
      <c r="Q266" s="15"/>
      <c r="R266" s="16"/>
      <c r="S266" s="16"/>
    </row>
    <row r="267" spans="1:19" x14ac:dyDescent="0.25">
      <c r="A267" s="8" t="s">
        <v>16</v>
      </c>
      <c r="B267" s="8" t="s">
        <v>17</v>
      </c>
      <c r="C267" s="23" t="s">
        <v>51</v>
      </c>
      <c r="D267" s="8">
        <v>2014</v>
      </c>
      <c r="E267" s="21" t="s">
        <v>293</v>
      </c>
      <c r="F267" s="22">
        <v>41763</v>
      </c>
      <c r="G267" s="8">
        <v>11710</v>
      </c>
      <c r="H267" s="11" t="s">
        <v>306</v>
      </c>
      <c r="I267" s="12">
        <v>100</v>
      </c>
      <c r="J267" s="48" t="s">
        <v>53</v>
      </c>
      <c r="K267" s="13" t="s">
        <v>54</v>
      </c>
      <c r="L267" s="13"/>
      <c r="M267" s="13"/>
      <c r="N267" s="31"/>
      <c r="O267" s="14">
        <f t="shared" si="8"/>
        <v>100</v>
      </c>
      <c r="P267" s="15">
        <f t="shared" si="9"/>
        <v>41763</v>
      </c>
      <c r="Q267" s="15"/>
      <c r="R267" s="16"/>
      <c r="S267" s="26"/>
    </row>
    <row r="268" spans="1:19" x14ac:dyDescent="0.25">
      <c r="A268" s="8" t="s">
        <v>16</v>
      </c>
      <c r="B268" s="8" t="s">
        <v>17</v>
      </c>
      <c r="C268" s="8" t="s">
        <v>18</v>
      </c>
      <c r="D268" s="8">
        <v>2014</v>
      </c>
      <c r="E268" s="21" t="s">
        <v>293</v>
      </c>
      <c r="F268" s="22">
        <v>41764</v>
      </c>
      <c r="G268" s="8"/>
      <c r="H268" s="11" t="s">
        <v>223</v>
      </c>
      <c r="I268" s="12">
        <v>-127</v>
      </c>
      <c r="J268" s="48" t="s">
        <v>33</v>
      </c>
      <c r="K268" s="13" t="s">
        <v>224</v>
      </c>
      <c r="L268" s="13" t="s">
        <v>225</v>
      </c>
      <c r="M268" s="13" t="s">
        <v>226</v>
      </c>
      <c r="N268" s="14"/>
      <c r="O268" s="14">
        <f t="shared" si="8"/>
        <v>-127</v>
      </c>
      <c r="P268" s="15">
        <f t="shared" si="9"/>
        <v>41764</v>
      </c>
      <c r="Q268" s="15"/>
      <c r="R268" s="16"/>
      <c r="S268" s="26"/>
    </row>
    <row r="269" spans="1:19" x14ac:dyDescent="0.25">
      <c r="A269" s="8" t="s">
        <v>16</v>
      </c>
      <c r="B269" s="8" t="s">
        <v>17</v>
      </c>
      <c r="C269" s="8" t="s">
        <v>18</v>
      </c>
      <c r="D269" s="8">
        <v>2014</v>
      </c>
      <c r="E269" s="21" t="s">
        <v>293</v>
      </c>
      <c r="F269" s="22">
        <v>41764</v>
      </c>
      <c r="G269" s="23"/>
      <c r="H269" s="13" t="s">
        <v>307</v>
      </c>
      <c r="I269" s="12">
        <v>-90</v>
      </c>
      <c r="J269" s="13" t="s">
        <v>21</v>
      </c>
      <c r="K269" s="13" t="s">
        <v>56</v>
      </c>
      <c r="L269" s="13" t="s">
        <v>111</v>
      </c>
      <c r="M269" s="13" t="s">
        <v>28</v>
      </c>
      <c r="N269" s="31"/>
      <c r="O269" s="14">
        <f t="shared" si="8"/>
        <v>-90</v>
      </c>
      <c r="P269" s="15">
        <f t="shared" si="9"/>
        <v>41764</v>
      </c>
      <c r="Q269" s="15"/>
      <c r="R269" s="16"/>
      <c r="S269" s="26"/>
    </row>
    <row r="270" spans="1:19" x14ac:dyDescent="0.25">
      <c r="A270" s="8" t="s">
        <v>16</v>
      </c>
      <c r="B270" s="8" t="s">
        <v>17</v>
      </c>
      <c r="C270" s="8" t="s">
        <v>18</v>
      </c>
      <c r="D270" s="8">
        <v>2014</v>
      </c>
      <c r="E270" s="21" t="s">
        <v>293</v>
      </c>
      <c r="F270" s="22">
        <v>41764</v>
      </c>
      <c r="G270" s="23"/>
      <c r="H270" s="13" t="s">
        <v>308</v>
      </c>
      <c r="I270" s="12">
        <v>-600</v>
      </c>
      <c r="J270" s="13" t="s">
        <v>21</v>
      </c>
      <c r="K270" s="13" t="s">
        <v>56</v>
      </c>
      <c r="L270" s="13" t="s">
        <v>57</v>
      </c>
      <c r="M270" s="13"/>
      <c r="N270" s="14"/>
      <c r="O270" s="14">
        <f t="shared" si="8"/>
        <v>-600</v>
      </c>
      <c r="P270" s="15">
        <f t="shared" si="9"/>
        <v>41764</v>
      </c>
      <c r="Q270" s="15"/>
      <c r="R270" s="16"/>
      <c r="S270" s="26"/>
    </row>
    <row r="271" spans="1:19" x14ac:dyDescent="0.25">
      <c r="A271" s="8" t="s">
        <v>16</v>
      </c>
      <c r="B271" s="8" t="s">
        <v>17</v>
      </c>
      <c r="C271" s="8" t="s">
        <v>18</v>
      </c>
      <c r="D271" s="8">
        <v>2014</v>
      </c>
      <c r="E271" s="21" t="s">
        <v>293</v>
      </c>
      <c r="F271" s="22">
        <v>41764</v>
      </c>
      <c r="G271" s="23"/>
      <c r="H271" s="13" t="s">
        <v>283</v>
      </c>
      <c r="I271" s="12">
        <v>-75</v>
      </c>
      <c r="J271" s="13" t="s">
        <v>21</v>
      </c>
      <c r="K271" s="13" t="s">
        <v>25</v>
      </c>
      <c r="L271" s="13" t="s">
        <v>26</v>
      </c>
      <c r="M271" s="13"/>
      <c r="N271" s="14"/>
      <c r="O271" s="14">
        <f t="shared" si="8"/>
        <v>-75</v>
      </c>
      <c r="P271" s="15">
        <f t="shared" si="9"/>
        <v>41764</v>
      </c>
      <c r="Q271" s="15"/>
      <c r="R271" s="16"/>
      <c r="S271" s="26"/>
    </row>
    <row r="272" spans="1:19" x14ac:dyDescent="0.25">
      <c r="A272" s="23" t="s">
        <v>16</v>
      </c>
      <c r="B272" s="23" t="s">
        <v>17</v>
      </c>
      <c r="C272" s="8" t="s">
        <v>18</v>
      </c>
      <c r="D272" s="8">
        <v>2014</v>
      </c>
      <c r="E272" s="21" t="s">
        <v>293</v>
      </c>
      <c r="F272" s="22">
        <v>41764</v>
      </c>
      <c r="G272" s="23"/>
      <c r="H272" s="13" t="s">
        <v>307</v>
      </c>
      <c r="I272" s="12">
        <v>-70</v>
      </c>
      <c r="J272" s="13" t="s">
        <v>21</v>
      </c>
      <c r="K272" s="13" t="s">
        <v>56</v>
      </c>
      <c r="L272" s="13" t="s">
        <v>111</v>
      </c>
      <c r="M272" s="13" t="s">
        <v>28</v>
      </c>
      <c r="N272" s="31"/>
      <c r="O272" s="14">
        <f t="shared" si="8"/>
        <v>-70</v>
      </c>
      <c r="P272" s="15">
        <f t="shared" si="9"/>
        <v>41764</v>
      </c>
      <c r="Q272" s="15"/>
      <c r="R272" s="16"/>
      <c r="S272" s="16"/>
    </row>
    <row r="273" spans="1:19" x14ac:dyDescent="0.25">
      <c r="A273" s="23" t="s">
        <v>16</v>
      </c>
      <c r="B273" s="23" t="s">
        <v>17</v>
      </c>
      <c r="C273" s="23" t="s">
        <v>51</v>
      </c>
      <c r="D273" s="8">
        <v>2014</v>
      </c>
      <c r="E273" s="21" t="s">
        <v>293</v>
      </c>
      <c r="F273" s="22">
        <v>41764</v>
      </c>
      <c r="G273" s="8">
        <v>11564</v>
      </c>
      <c r="H273" s="11" t="s">
        <v>309</v>
      </c>
      <c r="I273" s="12">
        <v>12350</v>
      </c>
      <c r="J273" s="13" t="s">
        <v>53</v>
      </c>
      <c r="K273" s="13" t="s">
        <v>54</v>
      </c>
      <c r="L273" s="13"/>
      <c r="M273" s="13"/>
      <c r="N273" s="31"/>
      <c r="O273" s="14">
        <f t="shared" si="8"/>
        <v>12350</v>
      </c>
      <c r="P273" s="15">
        <f t="shared" si="9"/>
        <v>41764</v>
      </c>
      <c r="Q273" s="15"/>
      <c r="R273" s="26"/>
      <c r="S273" s="16"/>
    </row>
    <row r="274" spans="1:19" x14ac:dyDescent="0.25">
      <c r="A274" s="23" t="s">
        <v>16</v>
      </c>
      <c r="B274" s="23" t="s">
        <v>17</v>
      </c>
      <c r="C274" s="23" t="s">
        <v>51</v>
      </c>
      <c r="D274" s="8">
        <v>2014</v>
      </c>
      <c r="E274" s="21" t="s">
        <v>293</v>
      </c>
      <c r="F274" s="22">
        <v>41764</v>
      </c>
      <c r="G274" s="8">
        <v>11702</v>
      </c>
      <c r="H274" s="11" t="s">
        <v>294</v>
      </c>
      <c r="I274" s="12">
        <v>11000</v>
      </c>
      <c r="J274" s="13" t="s">
        <v>53</v>
      </c>
      <c r="K274" s="13" t="s">
        <v>54</v>
      </c>
      <c r="L274" s="13"/>
      <c r="M274" s="13"/>
      <c r="N274" s="31"/>
      <c r="O274" s="14">
        <f t="shared" si="8"/>
        <v>11000</v>
      </c>
      <c r="P274" s="15">
        <f t="shared" si="9"/>
        <v>41764</v>
      </c>
      <c r="Q274" s="15"/>
      <c r="R274" s="16"/>
      <c r="S274" s="16"/>
    </row>
    <row r="275" spans="1:19" x14ac:dyDescent="0.25">
      <c r="A275" s="23" t="s">
        <v>16</v>
      </c>
      <c r="B275" s="23" t="s">
        <v>17</v>
      </c>
      <c r="C275" s="23" t="s">
        <v>51</v>
      </c>
      <c r="D275" s="8">
        <v>2014</v>
      </c>
      <c r="E275" s="21" t="s">
        <v>293</v>
      </c>
      <c r="F275" s="22">
        <v>41764</v>
      </c>
      <c r="G275" s="8">
        <v>11708</v>
      </c>
      <c r="H275" s="11" t="s">
        <v>304</v>
      </c>
      <c r="I275" s="12">
        <v>5000</v>
      </c>
      <c r="J275" s="13" t="s">
        <v>53</v>
      </c>
      <c r="K275" s="13" t="s">
        <v>54</v>
      </c>
      <c r="L275" s="13"/>
      <c r="M275" s="13"/>
      <c r="N275" s="31"/>
      <c r="O275" s="14">
        <f t="shared" si="8"/>
        <v>5000</v>
      </c>
      <c r="P275" s="15">
        <f t="shared" si="9"/>
        <v>41764</v>
      </c>
      <c r="Q275" s="15"/>
      <c r="R275" s="16"/>
      <c r="S275" s="16"/>
    </row>
    <row r="276" spans="1:19" x14ac:dyDescent="0.25">
      <c r="A276" s="8" t="s">
        <v>16</v>
      </c>
      <c r="B276" s="8" t="s">
        <v>17</v>
      </c>
      <c r="C276" s="23" t="s">
        <v>51</v>
      </c>
      <c r="D276" s="8">
        <v>2014</v>
      </c>
      <c r="E276" s="21" t="s">
        <v>293</v>
      </c>
      <c r="F276" s="22">
        <v>41764</v>
      </c>
      <c r="G276" s="8">
        <v>11711</v>
      </c>
      <c r="H276" s="11" t="s">
        <v>310</v>
      </c>
      <c r="I276" s="12">
        <v>2000</v>
      </c>
      <c r="J276" s="13" t="s">
        <v>53</v>
      </c>
      <c r="K276" s="13" t="s">
        <v>54</v>
      </c>
      <c r="L276" s="13"/>
      <c r="M276" s="13"/>
      <c r="N276" s="31"/>
      <c r="O276" s="14">
        <f t="shared" si="8"/>
        <v>2000</v>
      </c>
      <c r="P276" s="15">
        <f t="shared" si="9"/>
        <v>41764</v>
      </c>
      <c r="Q276" s="15"/>
      <c r="R276" s="16"/>
      <c r="S276" s="16"/>
    </row>
    <row r="277" spans="1:19" x14ac:dyDescent="0.25">
      <c r="A277" s="8" t="s">
        <v>16</v>
      </c>
      <c r="B277" s="8" t="s">
        <v>17</v>
      </c>
      <c r="C277" s="8" t="s">
        <v>18</v>
      </c>
      <c r="D277" s="8">
        <v>2014</v>
      </c>
      <c r="E277" s="21" t="s">
        <v>293</v>
      </c>
      <c r="F277" s="22">
        <v>41764</v>
      </c>
      <c r="G277" s="8"/>
      <c r="H277" s="11" t="s">
        <v>311</v>
      </c>
      <c r="I277" s="12">
        <v>-16</v>
      </c>
      <c r="J277" s="13" t="s">
        <v>21</v>
      </c>
      <c r="K277" s="13" t="s">
        <v>22</v>
      </c>
      <c r="L277" s="13" t="s">
        <v>71</v>
      </c>
      <c r="M277" s="13"/>
      <c r="N277" s="31"/>
      <c r="O277" s="14">
        <f t="shared" si="8"/>
        <v>-16</v>
      </c>
      <c r="P277" s="15">
        <f t="shared" si="9"/>
        <v>41764</v>
      </c>
      <c r="Q277" s="15"/>
      <c r="R277" s="16"/>
      <c r="S277" s="16"/>
    </row>
    <row r="278" spans="1:19" x14ac:dyDescent="0.25">
      <c r="A278" s="8" t="s">
        <v>16</v>
      </c>
      <c r="B278" s="8" t="s">
        <v>17</v>
      </c>
      <c r="C278" s="36" t="s">
        <v>46</v>
      </c>
      <c r="D278" s="8">
        <v>2014</v>
      </c>
      <c r="E278" s="21" t="s">
        <v>293</v>
      </c>
      <c r="F278" s="22">
        <v>41764</v>
      </c>
      <c r="G278" s="8"/>
      <c r="H278" s="17" t="s">
        <v>47</v>
      </c>
      <c r="I278" s="12">
        <v>-10000</v>
      </c>
      <c r="J278" s="13" t="s">
        <v>48</v>
      </c>
      <c r="K278" s="13" t="s">
        <v>49</v>
      </c>
      <c r="L278" s="13" t="s">
        <v>50</v>
      </c>
      <c r="M278" s="13"/>
      <c r="N278" s="14"/>
      <c r="O278" s="14">
        <f t="shared" si="8"/>
        <v>-10000</v>
      </c>
      <c r="P278" s="15">
        <f t="shared" si="9"/>
        <v>41764</v>
      </c>
      <c r="Q278" s="15"/>
      <c r="R278" s="16"/>
      <c r="S278" s="16"/>
    </row>
    <row r="279" spans="1:19" x14ac:dyDescent="0.25">
      <c r="A279" s="8" t="s">
        <v>16</v>
      </c>
      <c r="B279" s="8" t="s">
        <v>17</v>
      </c>
      <c r="C279" s="36" t="s">
        <v>46</v>
      </c>
      <c r="D279" s="8">
        <v>2014</v>
      </c>
      <c r="E279" s="21" t="s">
        <v>293</v>
      </c>
      <c r="F279" s="22">
        <v>41764</v>
      </c>
      <c r="G279" s="8"/>
      <c r="H279" s="17" t="s">
        <v>312</v>
      </c>
      <c r="I279" s="12">
        <v>10000</v>
      </c>
      <c r="J279" s="13" t="s">
        <v>150</v>
      </c>
      <c r="K279" s="13"/>
      <c r="L279" s="13"/>
      <c r="M279" s="13"/>
      <c r="N279" s="31"/>
      <c r="O279" s="14">
        <f t="shared" si="8"/>
        <v>10000</v>
      </c>
      <c r="P279" s="15">
        <f t="shared" si="9"/>
        <v>41764</v>
      </c>
      <c r="Q279" s="15"/>
      <c r="R279" s="16"/>
      <c r="S279" s="16"/>
    </row>
    <row r="280" spans="1:19" x14ac:dyDescent="0.25">
      <c r="A280" s="8" t="s">
        <v>16</v>
      </c>
      <c r="B280" s="8" t="s">
        <v>17</v>
      </c>
      <c r="C280" s="8" t="s">
        <v>18</v>
      </c>
      <c r="D280" s="8">
        <v>2014</v>
      </c>
      <c r="E280" s="21" t="s">
        <v>293</v>
      </c>
      <c r="F280" s="22">
        <v>41764</v>
      </c>
      <c r="G280" s="8"/>
      <c r="H280" s="11" t="s">
        <v>313</v>
      </c>
      <c r="I280" s="12">
        <v>-4000</v>
      </c>
      <c r="J280" s="13" t="s">
        <v>21</v>
      </c>
      <c r="K280" s="13" t="s">
        <v>143</v>
      </c>
      <c r="L280" s="13" t="s">
        <v>193</v>
      </c>
      <c r="M280" s="13" t="s">
        <v>194</v>
      </c>
      <c r="N280" s="31"/>
      <c r="O280" s="14">
        <f t="shared" si="8"/>
        <v>-4000</v>
      </c>
      <c r="P280" s="15">
        <f t="shared" si="9"/>
        <v>41764</v>
      </c>
      <c r="Q280" s="15"/>
      <c r="R280" s="16"/>
      <c r="S280" s="16"/>
    </row>
    <row r="281" spans="1:19" x14ac:dyDescent="0.25">
      <c r="A281" s="8" t="s">
        <v>16</v>
      </c>
      <c r="B281" s="40" t="s">
        <v>17</v>
      </c>
      <c r="C281" s="8" t="s">
        <v>18</v>
      </c>
      <c r="D281" s="8">
        <v>2014</v>
      </c>
      <c r="E281" s="21" t="s">
        <v>293</v>
      </c>
      <c r="F281" s="22">
        <v>41764</v>
      </c>
      <c r="G281" s="8"/>
      <c r="H281" s="17" t="s">
        <v>96</v>
      </c>
      <c r="I281" s="12">
        <v>-2000</v>
      </c>
      <c r="J281" s="13" t="s">
        <v>38</v>
      </c>
      <c r="K281" s="13" t="s">
        <v>93</v>
      </c>
      <c r="L281" s="13" t="s">
        <v>94</v>
      </c>
      <c r="M281" s="13" t="s">
        <v>95</v>
      </c>
      <c r="N281" s="14"/>
      <c r="O281" s="14">
        <f t="shared" si="8"/>
        <v>-2000</v>
      </c>
      <c r="P281" s="15">
        <f t="shared" si="9"/>
        <v>41764</v>
      </c>
      <c r="Q281" s="15"/>
      <c r="R281" s="16"/>
      <c r="S281" s="16"/>
    </row>
    <row r="282" spans="1:19" x14ac:dyDescent="0.25">
      <c r="A282" s="8" t="s">
        <v>16</v>
      </c>
      <c r="B282" s="8" t="s">
        <v>17</v>
      </c>
      <c r="C282" s="8" t="s">
        <v>18</v>
      </c>
      <c r="D282" s="8">
        <v>2014</v>
      </c>
      <c r="E282" s="21" t="s">
        <v>293</v>
      </c>
      <c r="F282" s="22">
        <v>41764</v>
      </c>
      <c r="G282" s="8"/>
      <c r="H282" s="17" t="s">
        <v>128</v>
      </c>
      <c r="I282" s="12">
        <f>-4000-3000</f>
        <v>-7000</v>
      </c>
      <c r="J282" s="13" t="s">
        <v>38</v>
      </c>
      <c r="K282" s="13" t="s">
        <v>93</v>
      </c>
      <c r="L282" s="13" t="s">
        <v>94</v>
      </c>
      <c r="M282" s="13" t="s">
        <v>129</v>
      </c>
      <c r="N282" s="14"/>
      <c r="O282" s="14">
        <f t="shared" si="8"/>
        <v>-7000</v>
      </c>
      <c r="P282" s="15">
        <f t="shared" si="9"/>
        <v>41764</v>
      </c>
      <c r="Q282" s="15"/>
      <c r="R282" s="16"/>
      <c r="S282" s="16"/>
    </row>
    <row r="283" spans="1:19" x14ac:dyDescent="0.25">
      <c r="A283" s="8" t="s">
        <v>16</v>
      </c>
      <c r="B283" s="40" t="s">
        <v>17</v>
      </c>
      <c r="C283" s="8" t="s">
        <v>18</v>
      </c>
      <c r="D283" s="8">
        <v>2014</v>
      </c>
      <c r="E283" s="21" t="s">
        <v>293</v>
      </c>
      <c r="F283" s="22">
        <v>41764</v>
      </c>
      <c r="G283" s="8"/>
      <c r="H283" s="17" t="s">
        <v>99</v>
      </c>
      <c r="I283" s="12">
        <v>-2000</v>
      </c>
      <c r="J283" s="13" t="s">
        <v>38</v>
      </c>
      <c r="K283" s="13" t="s">
        <v>93</v>
      </c>
      <c r="L283" s="13" t="s">
        <v>94</v>
      </c>
      <c r="M283" s="13" t="s">
        <v>100</v>
      </c>
      <c r="N283" s="14"/>
      <c r="O283" s="14">
        <f t="shared" si="8"/>
        <v>-2000</v>
      </c>
      <c r="P283" s="15">
        <f t="shared" si="9"/>
        <v>41764</v>
      </c>
      <c r="Q283" s="15"/>
      <c r="R283" s="16"/>
      <c r="S283" s="16"/>
    </row>
    <row r="284" spans="1:19" x14ac:dyDescent="0.25">
      <c r="A284" s="8" t="s">
        <v>16</v>
      </c>
      <c r="B284" s="8" t="s">
        <v>17</v>
      </c>
      <c r="C284" s="8" t="s">
        <v>18</v>
      </c>
      <c r="D284" s="8">
        <v>2014</v>
      </c>
      <c r="E284" s="21" t="s">
        <v>293</v>
      </c>
      <c r="F284" s="22">
        <v>41764</v>
      </c>
      <c r="G284" s="8"/>
      <c r="H284" s="13" t="s">
        <v>103</v>
      </c>
      <c r="I284" s="12">
        <v>-1530</v>
      </c>
      <c r="J284" s="13" t="s">
        <v>38</v>
      </c>
      <c r="K284" s="13" t="s">
        <v>90</v>
      </c>
      <c r="L284" s="13" t="s">
        <v>104</v>
      </c>
      <c r="M284" s="13" t="s">
        <v>105</v>
      </c>
      <c r="N284" s="14"/>
      <c r="O284" s="14">
        <f t="shared" si="8"/>
        <v>-1530</v>
      </c>
      <c r="P284" s="15">
        <f t="shared" si="9"/>
        <v>41764</v>
      </c>
      <c r="Q284" s="15"/>
      <c r="R284" s="35"/>
      <c r="S284" s="27"/>
    </row>
    <row r="285" spans="1:19" x14ac:dyDescent="0.25">
      <c r="A285" s="8" t="s">
        <v>16</v>
      </c>
      <c r="B285" s="8" t="s">
        <v>17</v>
      </c>
      <c r="C285" s="8" t="s">
        <v>18</v>
      </c>
      <c r="D285" s="8">
        <v>2014</v>
      </c>
      <c r="E285" s="21" t="s">
        <v>293</v>
      </c>
      <c r="F285" s="22">
        <v>41764</v>
      </c>
      <c r="G285" s="8"/>
      <c r="H285" s="13" t="s">
        <v>106</v>
      </c>
      <c r="I285" s="12">
        <v>-15000</v>
      </c>
      <c r="J285" s="13" t="s">
        <v>38</v>
      </c>
      <c r="K285" s="13" t="s">
        <v>93</v>
      </c>
      <c r="L285" s="13" t="s">
        <v>107</v>
      </c>
      <c r="M285" s="13" t="s">
        <v>105</v>
      </c>
      <c r="N285" s="14"/>
      <c r="O285" s="14">
        <f t="shared" si="8"/>
        <v>-15000</v>
      </c>
      <c r="P285" s="15">
        <f t="shared" si="9"/>
        <v>41764</v>
      </c>
      <c r="Q285" s="15"/>
      <c r="R285" s="35"/>
      <c r="S285" s="27"/>
    </row>
    <row r="286" spans="1:19" x14ac:dyDescent="0.25">
      <c r="A286" s="8" t="s">
        <v>16</v>
      </c>
      <c r="B286" s="8" t="s">
        <v>17</v>
      </c>
      <c r="C286" s="8" t="s">
        <v>18</v>
      </c>
      <c r="D286" s="8">
        <v>2014</v>
      </c>
      <c r="E286" s="21" t="s">
        <v>293</v>
      </c>
      <c r="F286" s="22">
        <v>41764</v>
      </c>
      <c r="G286" s="23"/>
      <c r="H286" s="13" t="s">
        <v>314</v>
      </c>
      <c r="I286" s="34">
        <v>-9000</v>
      </c>
      <c r="J286" s="13" t="s">
        <v>38</v>
      </c>
      <c r="K286" s="13" t="s">
        <v>90</v>
      </c>
      <c r="L286" s="13" t="s">
        <v>102</v>
      </c>
      <c r="M286" s="13" t="s">
        <v>314</v>
      </c>
      <c r="N286" s="31"/>
      <c r="O286" s="14">
        <f t="shared" si="8"/>
        <v>-9000</v>
      </c>
      <c r="P286" s="15">
        <f>F286</f>
        <v>41764</v>
      </c>
      <c r="Q286" s="15"/>
      <c r="R286" s="26"/>
      <c r="S286" s="26"/>
    </row>
    <row r="287" spans="1:19" x14ac:dyDescent="0.25">
      <c r="A287" s="8" t="s">
        <v>16</v>
      </c>
      <c r="B287" s="8" t="s">
        <v>17</v>
      </c>
      <c r="C287" s="8" t="s">
        <v>46</v>
      </c>
      <c r="D287" s="8">
        <v>2014</v>
      </c>
      <c r="E287" s="21" t="s">
        <v>293</v>
      </c>
      <c r="F287" s="22">
        <v>41764</v>
      </c>
      <c r="G287" s="8"/>
      <c r="H287" s="17" t="s">
        <v>315</v>
      </c>
      <c r="I287" s="12">
        <v>-5000</v>
      </c>
      <c r="J287" s="13" t="s">
        <v>68</v>
      </c>
      <c r="K287" s="13"/>
      <c r="L287" s="13"/>
      <c r="M287" s="13"/>
      <c r="N287" s="14"/>
      <c r="O287" s="14">
        <f t="shared" si="8"/>
        <v>-5000</v>
      </c>
      <c r="P287" s="15">
        <f t="shared" si="9"/>
        <v>41764</v>
      </c>
      <c r="Q287" s="15"/>
      <c r="R287" s="16"/>
      <c r="S287" s="16"/>
    </row>
    <row r="288" spans="1:19" x14ac:dyDescent="0.25">
      <c r="A288" s="8" t="s">
        <v>16</v>
      </c>
      <c r="B288" s="8" t="s">
        <v>17</v>
      </c>
      <c r="C288" s="8" t="s">
        <v>18</v>
      </c>
      <c r="D288" s="8">
        <v>2014</v>
      </c>
      <c r="E288" s="21" t="s">
        <v>293</v>
      </c>
      <c r="F288" s="22">
        <v>41765</v>
      </c>
      <c r="G288" s="23"/>
      <c r="H288" s="13" t="s">
        <v>316</v>
      </c>
      <c r="I288" s="12">
        <v>-2077.5700000000002</v>
      </c>
      <c r="J288" s="13" t="s">
        <v>33</v>
      </c>
      <c r="K288" s="13" t="s">
        <v>317</v>
      </c>
      <c r="L288" s="13" t="s">
        <v>318</v>
      </c>
      <c r="M288" s="13"/>
      <c r="N288" s="14"/>
      <c r="O288" s="14">
        <f t="shared" si="8"/>
        <v>-2077.5700000000002</v>
      </c>
      <c r="P288" s="15">
        <f t="shared" si="9"/>
        <v>41765</v>
      </c>
      <c r="Q288" s="15"/>
      <c r="R288" s="16"/>
      <c r="S288" s="16"/>
    </row>
    <row r="289" spans="1:19" x14ac:dyDescent="0.25">
      <c r="A289" s="8" t="s">
        <v>16</v>
      </c>
      <c r="B289" s="8" t="s">
        <v>17</v>
      </c>
      <c r="C289" s="8" t="s">
        <v>18</v>
      </c>
      <c r="D289" s="8">
        <v>2014</v>
      </c>
      <c r="E289" s="21" t="s">
        <v>293</v>
      </c>
      <c r="F289" s="22">
        <v>41765</v>
      </c>
      <c r="G289" s="23"/>
      <c r="H289" s="13" t="s">
        <v>319</v>
      </c>
      <c r="I289" s="12">
        <v>-504.57</v>
      </c>
      <c r="J289" s="13" t="s">
        <v>33</v>
      </c>
      <c r="K289" s="13" t="s">
        <v>317</v>
      </c>
      <c r="L289" s="13" t="s">
        <v>318</v>
      </c>
      <c r="M289" s="13"/>
      <c r="N289" s="14"/>
      <c r="O289" s="14">
        <f t="shared" si="8"/>
        <v>-504.57</v>
      </c>
      <c r="P289" s="15">
        <f t="shared" si="9"/>
        <v>41765</v>
      </c>
      <c r="Q289" s="15"/>
      <c r="R289" s="16"/>
      <c r="S289" s="16"/>
    </row>
    <row r="290" spans="1:19" x14ac:dyDescent="0.25">
      <c r="A290" s="23" t="s">
        <v>16</v>
      </c>
      <c r="B290" s="23" t="s">
        <v>17</v>
      </c>
      <c r="C290" s="8" t="s">
        <v>18</v>
      </c>
      <c r="D290" s="8">
        <v>2014</v>
      </c>
      <c r="E290" s="21" t="s">
        <v>293</v>
      </c>
      <c r="F290" s="22">
        <v>41765</v>
      </c>
      <c r="G290" s="23"/>
      <c r="H290" s="13" t="s">
        <v>320</v>
      </c>
      <c r="I290" s="12">
        <v>-250</v>
      </c>
      <c r="J290" s="13" t="s">
        <v>21</v>
      </c>
      <c r="K290" s="13" t="s">
        <v>56</v>
      </c>
      <c r="L290" s="13" t="s">
        <v>57</v>
      </c>
      <c r="M290" s="13"/>
      <c r="N290" s="14"/>
      <c r="O290" s="14">
        <f t="shared" si="8"/>
        <v>-250</v>
      </c>
      <c r="P290" s="15">
        <f t="shared" si="9"/>
        <v>41765</v>
      </c>
      <c r="Q290" s="15"/>
      <c r="R290" s="16"/>
      <c r="S290" s="16"/>
    </row>
    <row r="291" spans="1:19" x14ac:dyDescent="0.25">
      <c r="A291" s="23" t="s">
        <v>16</v>
      </c>
      <c r="B291" s="23" t="s">
        <v>17</v>
      </c>
      <c r="C291" s="8" t="s">
        <v>18</v>
      </c>
      <c r="D291" s="8">
        <v>2014</v>
      </c>
      <c r="E291" s="21" t="s">
        <v>293</v>
      </c>
      <c r="F291" s="22">
        <v>41765</v>
      </c>
      <c r="G291" s="23" t="s">
        <v>321</v>
      </c>
      <c r="H291" s="13" t="s">
        <v>322</v>
      </c>
      <c r="I291" s="12">
        <v>-3000</v>
      </c>
      <c r="J291" s="13" t="s">
        <v>21</v>
      </c>
      <c r="K291" s="13" t="s">
        <v>25</v>
      </c>
      <c r="L291" s="13" t="s">
        <v>26</v>
      </c>
      <c r="M291" s="13"/>
      <c r="N291" s="14"/>
      <c r="O291" s="14">
        <f t="shared" si="8"/>
        <v>-3000</v>
      </c>
      <c r="P291" s="15">
        <f t="shared" si="9"/>
        <v>41765</v>
      </c>
      <c r="Q291" s="15"/>
      <c r="R291" s="16"/>
      <c r="S291" s="16"/>
    </row>
    <row r="292" spans="1:19" x14ac:dyDescent="0.25">
      <c r="A292" s="23" t="s">
        <v>16</v>
      </c>
      <c r="B292" s="23" t="s">
        <v>17</v>
      </c>
      <c r="C292" s="8" t="s">
        <v>18</v>
      </c>
      <c r="D292" s="8">
        <v>2014</v>
      </c>
      <c r="E292" s="21" t="s">
        <v>293</v>
      </c>
      <c r="F292" s="22">
        <v>41765</v>
      </c>
      <c r="G292" s="23"/>
      <c r="H292" s="11" t="s">
        <v>323</v>
      </c>
      <c r="I292" s="12">
        <v>-809</v>
      </c>
      <c r="J292" s="13" t="s">
        <v>21</v>
      </c>
      <c r="K292" s="13" t="s">
        <v>25</v>
      </c>
      <c r="L292" s="13" t="s">
        <v>26</v>
      </c>
      <c r="M292" s="13"/>
      <c r="N292" s="14"/>
      <c r="O292" s="14">
        <f t="shared" si="8"/>
        <v>-809</v>
      </c>
      <c r="P292" s="15">
        <f t="shared" si="9"/>
        <v>41765</v>
      </c>
      <c r="Q292" s="15"/>
      <c r="R292" s="16"/>
      <c r="S292" s="16"/>
    </row>
    <row r="293" spans="1:19" x14ac:dyDescent="0.25">
      <c r="A293" s="23" t="s">
        <v>16</v>
      </c>
      <c r="B293" s="23" t="s">
        <v>17</v>
      </c>
      <c r="C293" s="8" t="s">
        <v>18</v>
      </c>
      <c r="D293" s="8">
        <v>2014</v>
      </c>
      <c r="E293" s="21" t="s">
        <v>293</v>
      </c>
      <c r="F293" s="22">
        <v>41765</v>
      </c>
      <c r="G293" s="23"/>
      <c r="H293" s="11" t="s">
        <v>324</v>
      </c>
      <c r="I293" s="12">
        <v>-849.96</v>
      </c>
      <c r="J293" s="13" t="s">
        <v>21</v>
      </c>
      <c r="K293" s="13" t="s">
        <v>25</v>
      </c>
      <c r="L293" s="13" t="s">
        <v>26</v>
      </c>
      <c r="M293" s="13"/>
      <c r="N293" s="14"/>
      <c r="O293" s="14">
        <f t="shared" si="8"/>
        <v>-849.96</v>
      </c>
      <c r="P293" s="15">
        <f t="shared" si="9"/>
        <v>41765</v>
      </c>
      <c r="Q293" s="15"/>
      <c r="R293" s="16"/>
      <c r="S293" s="16"/>
    </row>
    <row r="294" spans="1:19" x14ac:dyDescent="0.25">
      <c r="A294" s="23" t="s">
        <v>16</v>
      </c>
      <c r="B294" s="23" t="s">
        <v>17</v>
      </c>
      <c r="C294" s="36" t="s">
        <v>46</v>
      </c>
      <c r="D294" s="8">
        <v>2014</v>
      </c>
      <c r="E294" s="21" t="s">
        <v>293</v>
      </c>
      <c r="F294" s="22">
        <v>41765</v>
      </c>
      <c r="G294" s="23"/>
      <c r="H294" s="17" t="s">
        <v>325</v>
      </c>
      <c r="I294" s="29">
        <v>-4065</v>
      </c>
      <c r="J294" s="13" t="s">
        <v>48</v>
      </c>
      <c r="K294" s="13" t="s">
        <v>326</v>
      </c>
      <c r="L294" s="13"/>
      <c r="M294" s="13" t="s">
        <v>226</v>
      </c>
      <c r="N294" s="14"/>
      <c r="O294" s="14">
        <f t="shared" si="8"/>
        <v>-4065</v>
      </c>
      <c r="P294" s="15">
        <f t="shared" si="9"/>
        <v>41765</v>
      </c>
      <c r="Q294" s="15"/>
      <c r="R294" s="16"/>
      <c r="S294" s="16"/>
    </row>
    <row r="295" spans="1:19" x14ac:dyDescent="0.25">
      <c r="A295" s="23" t="s">
        <v>16</v>
      </c>
      <c r="B295" s="23" t="s">
        <v>17</v>
      </c>
      <c r="C295" s="8" t="s">
        <v>18</v>
      </c>
      <c r="D295" s="8">
        <v>2014</v>
      </c>
      <c r="E295" s="21" t="s">
        <v>293</v>
      </c>
      <c r="F295" s="22">
        <v>41765</v>
      </c>
      <c r="G295" s="23" t="s">
        <v>249</v>
      </c>
      <c r="H295" s="13" t="s">
        <v>327</v>
      </c>
      <c r="I295" s="12">
        <v>-4050</v>
      </c>
      <c r="J295" s="13" t="s">
        <v>38</v>
      </c>
      <c r="K295" s="13" t="s">
        <v>90</v>
      </c>
      <c r="L295" s="13" t="s">
        <v>91</v>
      </c>
      <c r="M295" s="13"/>
      <c r="N295" s="31"/>
      <c r="O295" s="14">
        <f t="shared" si="8"/>
        <v>-4050</v>
      </c>
      <c r="P295" s="15">
        <f t="shared" si="9"/>
        <v>41765</v>
      </c>
      <c r="Q295" s="15"/>
      <c r="R295" s="16"/>
      <c r="S295" s="16"/>
    </row>
    <row r="296" spans="1:19" x14ac:dyDescent="0.25">
      <c r="A296" s="23" t="s">
        <v>16</v>
      </c>
      <c r="B296" s="23" t="s">
        <v>17</v>
      </c>
      <c r="C296" s="8" t="s">
        <v>18</v>
      </c>
      <c r="D296" s="8">
        <v>2014</v>
      </c>
      <c r="E296" s="21" t="s">
        <v>293</v>
      </c>
      <c r="F296" s="22">
        <v>41765</v>
      </c>
      <c r="G296" s="8" t="s">
        <v>249</v>
      </c>
      <c r="H296" s="11" t="s">
        <v>328</v>
      </c>
      <c r="I296" s="12">
        <v>-200</v>
      </c>
      <c r="J296" s="13" t="s">
        <v>38</v>
      </c>
      <c r="K296" s="13" t="s">
        <v>155</v>
      </c>
      <c r="L296" s="13" t="s">
        <v>91</v>
      </c>
      <c r="M296" s="13"/>
      <c r="N296" s="31"/>
      <c r="O296" s="14">
        <f t="shared" si="8"/>
        <v>-200</v>
      </c>
      <c r="P296" s="15">
        <f t="shared" si="9"/>
        <v>41765</v>
      </c>
      <c r="Q296" s="15"/>
      <c r="R296" s="16"/>
      <c r="S296" s="16"/>
    </row>
    <row r="297" spans="1:19" x14ac:dyDescent="0.25">
      <c r="A297" s="23" t="s">
        <v>16</v>
      </c>
      <c r="B297" s="23" t="s">
        <v>17</v>
      </c>
      <c r="C297" s="8" t="s">
        <v>18</v>
      </c>
      <c r="D297" s="8">
        <v>2014</v>
      </c>
      <c r="E297" s="21" t="s">
        <v>293</v>
      </c>
      <c r="F297" s="22">
        <v>41765</v>
      </c>
      <c r="G297" s="8"/>
      <c r="H297" s="11" t="s">
        <v>329</v>
      </c>
      <c r="I297" s="12">
        <f>-1320-184</f>
        <v>-1504</v>
      </c>
      <c r="J297" s="13" t="s">
        <v>21</v>
      </c>
      <c r="K297" s="13" t="s">
        <v>63</v>
      </c>
      <c r="L297" s="13" t="s">
        <v>64</v>
      </c>
      <c r="M297" s="13"/>
      <c r="N297" s="14"/>
      <c r="O297" s="14">
        <f t="shared" si="8"/>
        <v>-1504</v>
      </c>
      <c r="P297" s="15">
        <f t="shared" si="9"/>
        <v>41765</v>
      </c>
      <c r="Q297" s="15"/>
      <c r="R297" s="16"/>
      <c r="S297" s="16"/>
    </row>
    <row r="298" spans="1:19" x14ac:dyDescent="0.25">
      <c r="A298" s="23" t="s">
        <v>16</v>
      </c>
      <c r="B298" s="23" t="s">
        <v>17</v>
      </c>
      <c r="C298" s="8" t="s">
        <v>18</v>
      </c>
      <c r="D298" s="8">
        <v>2014</v>
      </c>
      <c r="E298" s="21" t="s">
        <v>293</v>
      </c>
      <c r="F298" s="22">
        <v>41765</v>
      </c>
      <c r="G298" s="8"/>
      <c r="H298" s="11" t="s">
        <v>330</v>
      </c>
      <c r="I298" s="12">
        <f>-720-108-100</f>
        <v>-928</v>
      </c>
      <c r="J298" s="13" t="s">
        <v>21</v>
      </c>
      <c r="K298" s="13" t="s">
        <v>63</v>
      </c>
      <c r="L298" s="13" t="s">
        <v>83</v>
      </c>
      <c r="M298" s="13"/>
      <c r="N298" s="14"/>
      <c r="O298" s="14">
        <f t="shared" si="8"/>
        <v>-928</v>
      </c>
      <c r="P298" s="15">
        <f t="shared" si="9"/>
        <v>41765</v>
      </c>
      <c r="Q298" s="15"/>
      <c r="R298" s="16"/>
      <c r="S298" s="26"/>
    </row>
    <row r="299" spans="1:19" x14ac:dyDescent="0.25">
      <c r="A299" s="23" t="s">
        <v>16</v>
      </c>
      <c r="B299" s="23" t="s">
        <v>17</v>
      </c>
      <c r="C299" s="8" t="s">
        <v>18</v>
      </c>
      <c r="D299" s="8">
        <v>2014</v>
      </c>
      <c r="E299" s="21" t="s">
        <v>293</v>
      </c>
      <c r="F299" s="22">
        <v>41765</v>
      </c>
      <c r="G299" s="8"/>
      <c r="H299" s="11" t="s">
        <v>331</v>
      </c>
      <c r="I299" s="12">
        <f>-240-880-800-800-800-800-600</f>
        <v>-4920</v>
      </c>
      <c r="J299" s="13" t="s">
        <v>21</v>
      </c>
      <c r="K299" s="13" t="s">
        <v>56</v>
      </c>
      <c r="L299" s="13" t="s">
        <v>57</v>
      </c>
      <c r="M299" s="13"/>
      <c r="N299" s="14"/>
      <c r="O299" s="14">
        <f t="shared" si="8"/>
        <v>-4920</v>
      </c>
      <c r="P299" s="15">
        <f t="shared" si="9"/>
        <v>41765</v>
      </c>
      <c r="Q299" s="15"/>
      <c r="R299" s="16"/>
      <c r="S299" s="16"/>
    </row>
    <row r="300" spans="1:19" x14ac:dyDescent="0.25">
      <c r="A300" s="23" t="s">
        <v>16</v>
      </c>
      <c r="B300" s="23" t="s">
        <v>17</v>
      </c>
      <c r="C300" s="8" t="s">
        <v>18</v>
      </c>
      <c r="D300" s="8">
        <v>2014</v>
      </c>
      <c r="E300" s="21" t="s">
        <v>293</v>
      </c>
      <c r="F300" s="22">
        <v>41765</v>
      </c>
      <c r="G300" s="8"/>
      <c r="H300" s="11" t="s">
        <v>332</v>
      </c>
      <c r="I300" s="12">
        <v>-100</v>
      </c>
      <c r="J300" s="13" t="s">
        <v>21</v>
      </c>
      <c r="K300" s="13" t="s">
        <v>22</v>
      </c>
      <c r="L300" s="13" t="s">
        <v>121</v>
      </c>
      <c r="M300" s="13"/>
      <c r="N300" s="31"/>
      <c r="O300" s="14">
        <f t="shared" si="8"/>
        <v>-100</v>
      </c>
      <c r="P300" s="15">
        <f t="shared" si="9"/>
        <v>41765</v>
      </c>
      <c r="Q300" s="15"/>
      <c r="R300" s="16"/>
      <c r="S300" s="16"/>
    </row>
    <row r="301" spans="1:19" x14ac:dyDescent="0.25">
      <c r="A301" s="23" t="s">
        <v>16</v>
      </c>
      <c r="B301" s="23" t="s">
        <v>17</v>
      </c>
      <c r="C301" s="23" t="s">
        <v>51</v>
      </c>
      <c r="D301" s="8">
        <v>2014</v>
      </c>
      <c r="E301" s="21" t="s">
        <v>293</v>
      </c>
      <c r="F301" s="22">
        <v>41766</v>
      </c>
      <c r="G301" s="8">
        <v>11609</v>
      </c>
      <c r="H301" s="11" t="s">
        <v>333</v>
      </c>
      <c r="I301" s="12">
        <v>3260</v>
      </c>
      <c r="J301" s="13" t="s">
        <v>53</v>
      </c>
      <c r="K301" s="13" t="s">
        <v>54</v>
      </c>
      <c r="L301" s="13"/>
      <c r="M301" s="13"/>
      <c r="N301" s="31"/>
      <c r="O301" s="14">
        <f t="shared" si="8"/>
        <v>3260</v>
      </c>
      <c r="P301" s="15">
        <f t="shared" si="9"/>
        <v>41766</v>
      </c>
      <c r="Q301" s="15"/>
      <c r="R301" s="16"/>
      <c r="S301" s="16"/>
    </row>
    <row r="302" spans="1:19" x14ac:dyDescent="0.25">
      <c r="A302" s="8" t="s">
        <v>16</v>
      </c>
      <c r="B302" s="8" t="s">
        <v>17</v>
      </c>
      <c r="C302" s="23" t="s">
        <v>51</v>
      </c>
      <c r="D302" s="8">
        <v>2014</v>
      </c>
      <c r="E302" s="21" t="s">
        <v>293</v>
      </c>
      <c r="F302" s="22">
        <v>41766</v>
      </c>
      <c r="G302" s="8">
        <v>11713</v>
      </c>
      <c r="H302" s="11" t="s">
        <v>334</v>
      </c>
      <c r="I302" s="12">
        <v>800</v>
      </c>
      <c r="J302" s="13" t="s">
        <v>53</v>
      </c>
      <c r="K302" s="13" t="s">
        <v>54</v>
      </c>
      <c r="L302" s="13"/>
      <c r="M302" s="13"/>
      <c r="N302" s="31"/>
      <c r="O302" s="14">
        <f t="shared" si="8"/>
        <v>800</v>
      </c>
      <c r="P302" s="15">
        <f t="shared" si="9"/>
        <v>41766</v>
      </c>
      <c r="Q302" s="15"/>
      <c r="R302" s="16"/>
      <c r="S302" s="16"/>
    </row>
    <row r="303" spans="1:19" x14ac:dyDescent="0.25">
      <c r="A303" s="23" t="s">
        <v>16</v>
      </c>
      <c r="B303" s="23" t="s">
        <v>17</v>
      </c>
      <c r="C303" s="23" t="s">
        <v>18</v>
      </c>
      <c r="D303" s="8">
        <v>2014</v>
      </c>
      <c r="E303" s="21" t="s">
        <v>293</v>
      </c>
      <c r="F303" s="22">
        <v>41766</v>
      </c>
      <c r="G303" s="8"/>
      <c r="H303" s="11" t="s">
        <v>168</v>
      </c>
      <c r="I303" s="12">
        <v>-5000</v>
      </c>
      <c r="J303" s="13" t="s">
        <v>169</v>
      </c>
      <c r="K303" s="13" t="s">
        <v>170</v>
      </c>
      <c r="L303" s="13" t="s">
        <v>171</v>
      </c>
      <c r="M303" s="13"/>
      <c r="N303" s="14"/>
      <c r="O303" s="14">
        <f t="shared" si="8"/>
        <v>-5000</v>
      </c>
      <c r="P303" s="15">
        <f t="shared" si="9"/>
        <v>41766</v>
      </c>
      <c r="Q303" s="15"/>
      <c r="R303" s="16"/>
      <c r="S303" s="16"/>
    </row>
    <row r="304" spans="1:19" x14ac:dyDescent="0.25">
      <c r="A304" s="23" t="s">
        <v>16</v>
      </c>
      <c r="B304" s="23" t="s">
        <v>17</v>
      </c>
      <c r="C304" s="23" t="s">
        <v>18</v>
      </c>
      <c r="D304" s="8">
        <v>2014</v>
      </c>
      <c r="E304" s="21" t="s">
        <v>293</v>
      </c>
      <c r="F304" s="22">
        <v>41766</v>
      </c>
      <c r="G304" s="8"/>
      <c r="H304" s="11" t="s">
        <v>335</v>
      </c>
      <c r="I304" s="12">
        <v>-1000</v>
      </c>
      <c r="J304" s="13" t="s">
        <v>21</v>
      </c>
      <c r="K304" s="13" t="s">
        <v>63</v>
      </c>
      <c r="L304" s="13" t="s">
        <v>83</v>
      </c>
      <c r="M304" s="13"/>
      <c r="N304" s="14"/>
      <c r="O304" s="14">
        <f t="shared" si="8"/>
        <v>-1000</v>
      </c>
      <c r="P304" s="15">
        <f t="shared" si="9"/>
        <v>41766</v>
      </c>
      <c r="Q304" s="15"/>
      <c r="R304" s="16"/>
      <c r="S304" s="16"/>
    </row>
    <row r="305" spans="1:19" x14ac:dyDescent="0.25">
      <c r="A305" s="23" t="s">
        <v>16</v>
      </c>
      <c r="B305" s="23" t="s">
        <v>17</v>
      </c>
      <c r="C305" s="23" t="s">
        <v>18</v>
      </c>
      <c r="D305" s="8">
        <v>2014</v>
      </c>
      <c r="E305" s="21" t="s">
        <v>293</v>
      </c>
      <c r="F305" s="22">
        <v>41766</v>
      </c>
      <c r="G305" s="8"/>
      <c r="H305" s="11" t="s">
        <v>336</v>
      </c>
      <c r="I305" s="12">
        <f>-1*(120+23.1+340+320+40+40+25+37.4+95+450+150-52-59.5+26.4+22+22+19.8)</f>
        <v>-1619.2</v>
      </c>
      <c r="J305" s="13" t="s">
        <v>21</v>
      </c>
      <c r="K305" s="13" t="s">
        <v>56</v>
      </c>
      <c r="L305" s="13" t="s">
        <v>111</v>
      </c>
      <c r="M305" s="13" t="s">
        <v>28</v>
      </c>
      <c r="N305" s="31"/>
      <c r="O305" s="14">
        <f t="shared" si="8"/>
        <v>-1619.2</v>
      </c>
      <c r="P305" s="15">
        <f t="shared" si="9"/>
        <v>41766</v>
      </c>
      <c r="Q305" s="15"/>
      <c r="R305" s="16"/>
      <c r="S305" s="16"/>
    </row>
    <row r="306" spans="1:19" x14ac:dyDescent="0.25">
      <c r="A306" s="23" t="s">
        <v>16</v>
      </c>
      <c r="B306" s="23" t="s">
        <v>17</v>
      </c>
      <c r="C306" s="23" t="s">
        <v>51</v>
      </c>
      <c r="D306" s="8">
        <v>2014</v>
      </c>
      <c r="E306" s="21" t="s">
        <v>293</v>
      </c>
      <c r="F306" s="22">
        <v>41767</v>
      </c>
      <c r="G306" s="8">
        <v>11714</v>
      </c>
      <c r="H306" s="11" t="s">
        <v>337</v>
      </c>
      <c r="I306" s="12">
        <v>1000</v>
      </c>
      <c r="J306" s="13" t="s">
        <v>53</v>
      </c>
      <c r="K306" s="13" t="s">
        <v>54</v>
      </c>
      <c r="L306" s="13"/>
      <c r="M306" s="13"/>
      <c r="N306" s="31"/>
      <c r="O306" s="14">
        <f t="shared" si="8"/>
        <v>1000</v>
      </c>
      <c r="P306" s="15">
        <f t="shared" si="9"/>
        <v>41767</v>
      </c>
      <c r="Q306" s="15"/>
      <c r="R306" s="16"/>
      <c r="S306" s="16"/>
    </row>
    <row r="307" spans="1:19" x14ac:dyDescent="0.25">
      <c r="A307" s="23" t="s">
        <v>16</v>
      </c>
      <c r="B307" s="23" t="s">
        <v>17</v>
      </c>
      <c r="C307" s="23" t="s">
        <v>18</v>
      </c>
      <c r="D307" s="8">
        <v>2014</v>
      </c>
      <c r="E307" s="21" t="s">
        <v>293</v>
      </c>
      <c r="F307" s="22">
        <v>41767</v>
      </c>
      <c r="G307" s="23" t="s">
        <v>249</v>
      </c>
      <c r="H307" s="13" t="s">
        <v>122</v>
      </c>
      <c r="I307" s="12">
        <v>-1000</v>
      </c>
      <c r="J307" s="13" t="s">
        <v>33</v>
      </c>
      <c r="K307" s="13" t="s">
        <v>123</v>
      </c>
      <c r="L307" s="13" t="s">
        <v>124</v>
      </c>
      <c r="M307" s="25" t="s">
        <v>125</v>
      </c>
      <c r="N307" s="31"/>
      <c r="O307" s="14">
        <f t="shared" si="8"/>
        <v>-1000</v>
      </c>
      <c r="P307" s="15">
        <f t="shared" si="9"/>
        <v>41767</v>
      </c>
      <c r="Q307" s="15"/>
      <c r="R307" s="16"/>
      <c r="S307" s="16"/>
    </row>
    <row r="308" spans="1:19" x14ac:dyDescent="0.25">
      <c r="A308" s="23" t="s">
        <v>16</v>
      </c>
      <c r="B308" s="23" t="s">
        <v>17</v>
      </c>
      <c r="C308" s="23" t="s">
        <v>18</v>
      </c>
      <c r="D308" s="8">
        <v>2014</v>
      </c>
      <c r="E308" s="21" t="s">
        <v>293</v>
      </c>
      <c r="F308" s="22">
        <v>41767</v>
      </c>
      <c r="G308" s="8" t="s">
        <v>249</v>
      </c>
      <c r="H308" s="17" t="s">
        <v>92</v>
      </c>
      <c r="I308" s="12">
        <v>-200</v>
      </c>
      <c r="J308" s="13" t="s">
        <v>38</v>
      </c>
      <c r="K308" s="13" t="s">
        <v>93</v>
      </c>
      <c r="L308" s="13" t="s">
        <v>94</v>
      </c>
      <c r="M308" s="13" t="s">
        <v>95</v>
      </c>
      <c r="N308" s="14"/>
      <c r="O308" s="14">
        <f t="shared" si="8"/>
        <v>-200</v>
      </c>
      <c r="P308" s="15">
        <f t="shared" si="9"/>
        <v>41767</v>
      </c>
      <c r="Q308" s="15"/>
      <c r="R308" s="16"/>
      <c r="S308" s="16"/>
    </row>
    <row r="309" spans="1:19" x14ac:dyDescent="0.25">
      <c r="A309" s="23" t="s">
        <v>16</v>
      </c>
      <c r="B309" s="23" t="s">
        <v>17</v>
      </c>
      <c r="C309" s="23" t="s">
        <v>18</v>
      </c>
      <c r="D309" s="8">
        <v>2014</v>
      </c>
      <c r="E309" s="21" t="s">
        <v>293</v>
      </c>
      <c r="F309" s="22">
        <v>41767</v>
      </c>
      <c r="G309" s="8"/>
      <c r="H309" s="11" t="s">
        <v>338</v>
      </c>
      <c r="I309" s="12">
        <f>-21.6-74-8-18-70.5-53.1-11</f>
        <v>-256.2</v>
      </c>
      <c r="J309" s="13" t="s">
        <v>21</v>
      </c>
      <c r="K309" s="13" t="s">
        <v>22</v>
      </c>
      <c r="L309" s="13" t="s">
        <v>71</v>
      </c>
      <c r="M309" s="13"/>
      <c r="N309" s="31"/>
      <c r="O309" s="14">
        <f t="shared" si="8"/>
        <v>-256.2</v>
      </c>
      <c r="P309" s="15">
        <f t="shared" si="9"/>
        <v>41767</v>
      </c>
      <c r="Q309" s="15"/>
      <c r="R309" s="16"/>
      <c r="S309" s="16"/>
    </row>
    <row r="310" spans="1:19" x14ac:dyDescent="0.25">
      <c r="A310" s="23" t="s">
        <v>16</v>
      </c>
      <c r="B310" s="23" t="s">
        <v>17</v>
      </c>
      <c r="C310" s="23" t="s">
        <v>51</v>
      </c>
      <c r="D310" s="8">
        <v>2014</v>
      </c>
      <c r="E310" s="21" t="s">
        <v>293</v>
      </c>
      <c r="F310" s="30">
        <v>41768</v>
      </c>
      <c r="G310" s="8">
        <v>11636</v>
      </c>
      <c r="H310" s="11" t="s">
        <v>339</v>
      </c>
      <c r="I310" s="12">
        <v>8190</v>
      </c>
      <c r="J310" s="13" t="s">
        <v>53</v>
      </c>
      <c r="K310" s="13" t="s">
        <v>54</v>
      </c>
      <c r="L310" s="13"/>
      <c r="M310" s="13"/>
      <c r="N310" s="31"/>
      <c r="O310" s="14">
        <f t="shared" si="8"/>
        <v>8190</v>
      </c>
      <c r="P310" s="15">
        <f t="shared" si="9"/>
        <v>41768</v>
      </c>
      <c r="Q310" s="15"/>
      <c r="R310" s="16"/>
      <c r="S310" s="16"/>
    </row>
    <row r="311" spans="1:19" x14ac:dyDescent="0.25">
      <c r="A311" s="23" t="s">
        <v>16</v>
      </c>
      <c r="B311" s="23" t="s">
        <v>17</v>
      </c>
      <c r="C311" s="23" t="s">
        <v>18</v>
      </c>
      <c r="D311" s="8">
        <v>2014</v>
      </c>
      <c r="E311" s="21" t="s">
        <v>293</v>
      </c>
      <c r="F311" s="22">
        <v>41768</v>
      </c>
      <c r="G311" s="23"/>
      <c r="H311" s="13" t="s">
        <v>252</v>
      </c>
      <c r="I311" s="12">
        <v>-96</v>
      </c>
      <c r="J311" s="13" t="s">
        <v>21</v>
      </c>
      <c r="K311" s="13" t="s">
        <v>22</v>
      </c>
      <c r="L311" s="13" t="s">
        <v>71</v>
      </c>
      <c r="M311" s="13" t="s">
        <v>206</v>
      </c>
      <c r="N311" s="31"/>
      <c r="O311" s="14">
        <f t="shared" si="8"/>
        <v>-96</v>
      </c>
      <c r="P311" s="15">
        <f t="shared" si="9"/>
        <v>41768</v>
      </c>
      <c r="Q311" s="15"/>
      <c r="R311" s="16"/>
      <c r="S311" s="16"/>
    </row>
    <row r="312" spans="1:19" x14ac:dyDescent="0.25">
      <c r="A312" s="8" t="s">
        <v>16</v>
      </c>
      <c r="B312" s="8" t="s">
        <v>17</v>
      </c>
      <c r="C312" s="8" t="s">
        <v>18</v>
      </c>
      <c r="D312" s="8">
        <v>2014</v>
      </c>
      <c r="E312" s="21" t="s">
        <v>293</v>
      </c>
      <c r="F312" s="22">
        <v>41768</v>
      </c>
      <c r="G312" s="8"/>
      <c r="H312" s="13" t="s">
        <v>80</v>
      </c>
      <c r="I312" s="12">
        <v>-50</v>
      </c>
      <c r="J312" s="13" t="s">
        <v>21</v>
      </c>
      <c r="K312" s="13" t="s">
        <v>22</v>
      </c>
      <c r="L312" s="13" t="s">
        <v>23</v>
      </c>
      <c r="M312" s="13" t="s">
        <v>28</v>
      </c>
      <c r="N312" s="14"/>
      <c r="O312" s="14">
        <f t="shared" si="8"/>
        <v>-50</v>
      </c>
      <c r="P312" s="15">
        <f t="shared" si="9"/>
        <v>41768</v>
      </c>
      <c r="Q312" s="15"/>
      <c r="R312" s="26"/>
      <c r="S312" s="26"/>
    </row>
    <row r="313" spans="1:19" x14ac:dyDescent="0.25">
      <c r="A313" s="23" t="s">
        <v>16</v>
      </c>
      <c r="B313" s="23" t="s">
        <v>17</v>
      </c>
      <c r="C313" s="23" t="s">
        <v>18</v>
      </c>
      <c r="D313" s="8">
        <v>2014</v>
      </c>
      <c r="E313" s="21" t="s">
        <v>293</v>
      </c>
      <c r="F313" s="22">
        <v>41768</v>
      </c>
      <c r="G313" s="8" t="s">
        <v>249</v>
      </c>
      <c r="H313" s="11" t="s">
        <v>340</v>
      </c>
      <c r="I313" s="12">
        <v>-4000</v>
      </c>
      <c r="J313" s="13" t="s">
        <v>21</v>
      </c>
      <c r="K313" s="13" t="s">
        <v>56</v>
      </c>
      <c r="L313" s="13" t="s">
        <v>57</v>
      </c>
      <c r="M313" s="13"/>
      <c r="N313" s="14"/>
      <c r="O313" s="14">
        <f t="shared" si="8"/>
        <v>-4000</v>
      </c>
      <c r="P313" s="15">
        <f t="shared" si="9"/>
        <v>41768</v>
      </c>
      <c r="Q313" s="15"/>
      <c r="R313" s="16"/>
      <c r="S313" s="16"/>
    </row>
    <row r="314" spans="1:19" x14ac:dyDescent="0.25">
      <c r="A314" s="8" t="s">
        <v>16</v>
      </c>
      <c r="B314" s="8" t="s">
        <v>17</v>
      </c>
      <c r="C314" s="8" t="s">
        <v>18</v>
      </c>
      <c r="D314" s="8">
        <v>2014</v>
      </c>
      <c r="E314" s="21" t="s">
        <v>293</v>
      </c>
      <c r="F314" s="22">
        <v>41768</v>
      </c>
      <c r="G314" s="23" t="s">
        <v>249</v>
      </c>
      <c r="H314" s="11" t="s">
        <v>253</v>
      </c>
      <c r="I314" s="12">
        <v>-100</v>
      </c>
      <c r="J314" s="13" t="s">
        <v>21</v>
      </c>
      <c r="K314" s="13" t="s">
        <v>56</v>
      </c>
      <c r="L314" s="13" t="s">
        <v>254</v>
      </c>
      <c r="M314" s="13" t="s">
        <v>255</v>
      </c>
      <c r="N314" s="14"/>
      <c r="O314" s="14">
        <f t="shared" si="8"/>
        <v>-100</v>
      </c>
      <c r="P314" s="15">
        <f t="shared" si="9"/>
        <v>41768</v>
      </c>
      <c r="Q314" s="15"/>
      <c r="R314" s="26"/>
      <c r="S314" s="26"/>
    </row>
    <row r="315" spans="1:19" x14ac:dyDescent="0.25">
      <c r="A315" s="23" t="s">
        <v>16</v>
      </c>
      <c r="B315" s="23" t="s">
        <v>17</v>
      </c>
      <c r="C315" s="23" t="s">
        <v>18</v>
      </c>
      <c r="D315" s="8">
        <v>2014</v>
      </c>
      <c r="E315" s="21" t="s">
        <v>293</v>
      </c>
      <c r="F315" s="22">
        <v>41768</v>
      </c>
      <c r="G315" s="23" t="s">
        <v>249</v>
      </c>
      <c r="H315" s="13" t="s">
        <v>256</v>
      </c>
      <c r="I315" s="12">
        <v>-600</v>
      </c>
      <c r="J315" s="13" t="s">
        <v>38</v>
      </c>
      <c r="K315" s="13" t="s">
        <v>155</v>
      </c>
      <c r="L315" s="13" t="s">
        <v>91</v>
      </c>
      <c r="M315" s="13"/>
      <c r="N315" s="31"/>
      <c r="O315" s="14">
        <f t="shared" si="8"/>
        <v>-600</v>
      </c>
      <c r="P315" s="15">
        <f t="shared" si="9"/>
        <v>41768</v>
      </c>
      <c r="Q315" s="15"/>
      <c r="R315" s="16"/>
      <c r="S315" s="16"/>
    </row>
    <row r="316" spans="1:19" x14ac:dyDescent="0.25">
      <c r="A316" s="23" t="s">
        <v>16</v>
      </c>
      <c r="B316" s="23" t="s">
        <v>17</v>
      </c>
      <c r="C316" s="23" t="s">
        <v>18</v>
      </c>
      <c r="D316" s="8">
        <v>2014</v>
      </c>
      <c r="E316" s="21" t="s">
        <v>293</v>
      </c>
      <c r="F316" s="22">
        <v>41768</v>
      </c>
      <c r="G316" s="8" t="s">
        <v>249</v>
      </c>
      <c r="H316" s="11" t="s">
        <v>341</v>
      </c>
      <c r="I316" s="12">
        <v>-401</v>
      </c>
      <c r="J316" s="13" t="s">
        <v>38</v>
      </c>
      <c r="K316" s="13" t="s">
        <v>90</v>
      </c>
      <c r="L316" s="13" t="s">
        <v>91</v>
      </c>
      <c r="M316" s="13"/>
      <c r="N316" s="31"/>
      <c r="O316" s="14">
        <f t="shared" si="8"/>
        <v>-401</v>
      </c>
      <c r="P316" s="15">
        <f t="shared" si="9"/>
        <v>41768</v>
      </c>
      <c r="Q316" s="15"/>
      <c r="R316" s="16"/>
      <c r="S316" s="16"/>
    </row>
    <row r="317" spans="1:19" x14ac:dyDescent="0.25">
      <c r="A317" s="23" t="s">
        <v>16</v>
      </c>
      <c r="B317" s="23" t="s">
        <v>17</v>
      </c>
      <c r="C317" s="23" t="s">
        <v>18</v>
      </c>
      <c r="D317" s="8">
        <v>2014</v>
      </c>
      <c r="E317" s="21" t="s">
        <v>293</v>
      </c>
      <c r="F317" s="22">
        <v>41768</v>
      </c>
      <c r="G317" s="8" t="s">
        <v>249</v>
      </c>
      <c r="H317" s="11" t="s">
        <v>342</v>
      </c>
      <c r="I317" s="12">
        <v>-389</v>
      </c>
      <c r="J317" s="13" t="s">
        <v>38</v>
      </c>
      <c r="K317" s="13" t="s">
        <v>90</v>
      </c>
      <c r="L317" s="13" t="s">
        <v>91</v>
      </c>
      <c r="M317" s="13"/>
      <c r="N317" s="31"/>
      <c r="O317" s="14">
        <f t="shared" si="8"/>
        <v>-389</v>
      </c>
      <c r="P317" s="15">
        <f t="shared" si="9"/>
        <v>41768</v>
      </c>
      <c r="Q317" s="15"/>
      <c r="R317" s="16"/>
      <c r="S317" s="16"/>
    </row>
    <row r="318" spans="1:19" x14ac:dyDescent="0.25">
      <c r="A318" s="23" t="s">
        <v>16</v>
      </c>
      <c r="B318" s="23" t="s">
        <v>17</v>
      </c>
      <c r="C318" s="23" t="s">
        <v>18</v>
      </c>
      <c r="D318" s="8">
        <v>2014</v>
      </c>
      <c r="E318" s="21" t="s">
        <v>293</v>
      </c>
      <c r="F318" s="22">
        <v>41768</v>
      </c>
      <c r="G318" s="8" t="s">
        <v>249</v>
      </c>
      <c r="H318" s="11" t="s">
        <v>343</v>
      </c>
      <c r="I318" s="12">
        <v>-588</v>
      </c>
      <c r="J318" s="13" t="s">
        <v>38</v>
      </c>
      <c r="K318" s="13" t="s">
        <v>155</v>
      </c>
      <c r="L318" s="13" t="s">
        <v>91</v>
      </c>
      <c r="M318" s="13"/>
      <c r="N318" s="31"/>
      <c r="O318" s="14">
        <f t="shared" si="8"/>
        <v>-588</v>
      </c>
      <c r="P318" s="15">
        <f t="shared" si="9"/>
        <v>41768</v>
      </c>
      <c r="Q318" s="15"/>
      <c r="R318" s="16"/>
      <c r="S318" s="16"/>
    </row>
    <row r="319" spans="1:19" x14ac:dyDescent="0.25">
      <c r="A319" s="23" t="s">
        <v>16</v>
      </c>
      <c r="B319" s="23" t="s">
        <v>17</v>
      </c>
      <c r="C319" s="23" t="s">
        <v>18</v>
      </c>
      <c r="D319" s="8">
        <v>2014</v>
      </c>
      <c r="E319" s="21" t="s">
        <v>293</v>
      </c>
      <c r="F319" s="22">
        <v>41768</v>
      </c>
      <c r="G319" s="8" t="s">
        <v>249</v>
      </c>
      <c r="H319" s="11" t="s">
        <v>344</v>
      </c>
      <c r="I319" s="12">
        <v>-94</v>
      </c>
      <c r="J319" s="13" t="s">
        <v>38</v>
      </c>
      <c r="K319" s="13" t="s">
        <v>155</v>
      </c>
      <c r="L319" s="13" t="s">
        <v>91</v>
      </c>
      <c r="M319" s="13"/>
      <c r="N319" s="31"/>
      <c r="O319" s="14">
        <f t="shared" si="8"/>
        <v>-94</v>
      </c>
      <c r="P319" s="15">
        <f t="shared" si="9"/>
        <v>41768</v>
      </c>
      <c r="Q319" s="15"/>
      <c r="R319" s="16"/>
      <c r="S319" s="16"/>
    </row>
    <row r="320" spans="1:19" x14ac:dyDescent="0.25">
      <c r="A320" s="23" t="s">
        <v>16</v>
      </c>
      <c r="B320" s="23" t="s">
        <v>17</v>
      </c>
      <c r="C320" s="23" t="s">
        <v>18</v>
      </c>
      <c r="D320" s="8">
        <v>2014</v>
      </c>
      <c r="E320" s="21" t="s">
        <v>293</v>
      </c>
      <c r="F320" s="22">
        <v>41768</v>
      </c>
      <c r="G320" s="8" t="s">
        <v>249</v>
      </c>
      <c r="H320" s="11" t="s">
        <v>345</v>
      </c>
      <c r="I320" s="12">
        <v>-94</v>
      </c>
      <c r="J320" s="13" t="s">
        <v>38</v>
      </c>
      <c r="K320" s="13" t="s">
        <v>155</v>
      </c>
      <c r="L320" s="13" t="s">
        <v>91</v>
      </c>
      <c r="M320" s="13"/>
      <c r="N320" s="31"/>
      <c r="O320" s="14">
        <f t="shared" si="8"/>
        <v>-94</v>
      </c>
      <c r="P320" s="15">
        <f t="shared" si="9"/>
        <v>41768</v>
      </c>
      <c r="Q320" s="15"/>
      <c r="R320" s="16"/>
      <c r="S320" s="16"/>
    </row>
    <row r="321" spans="1:19" x14ac:dyDescent="0.25">
      <c r="A321" s="23" t="s">
        <v>16</v>
      </c>
      <c r="B321" s="23" t="s">
        <v>17</v>
      </c>
      <c r="C321" s="23" t="s">
        <v>18</v>
      </c>
      <c r="D321" s="8">
        <v>2014</v>
      </c>
      <c r="E321" s="21" t="s">
        <v>293</v>
      </c>
      <c r="F321" s="22">
        <v>41768</v>
      </c>
      <c r="G321" s="8" t="s">
        <v>249</v>
      </c>
      <c r="H321" s="11" t="s">
        <v>346</v>
      </c>
      <c r="I321" s="12">
        <v>-94</v>
      </c>
      <c r="J321" s="13" t="s">
        <v>38</v>
      </c>
      <c r="K321" s="13" t="s">
        <v>155</v>
      </c>
      <c r="L321" s="13" t="s">
        <v>91</v>
      </c>
      <c r="M321" s="13"/>
      <c r="N321" s="31"/>
      <c r="O321" s="14">
        <f t="shared" si="8"/>
        <v>-94</v>
      </c>
      <c r="P321" s="15">
        <f t="shared" si="9"/>
        <v>41768</v>
      </c>
      <c r="Q321" s="15"/>
      <c r="R321" s="16"/>
      <c r="S321" s="16"/>
    </row>
    <row r="322" spans="1:19" x14ac:dyDescent="0.25">
      <c r="A322" s="23" t="s">
        <v>16</v>
      </c>
      <c r="B322" s="23" t="s">
        <v>17</v>
      </c>
      <c r="C322" s="23" t="s">
        <v>18</v>
      </c>
      <c r="D322" s="8">
        <v>2014</v>
      </c>
      <c r="E322" s="21" t="s">
        <v>293</v>
      </c>
      <c r="F322" s="22">
        <v>41768</v>
      </c>
      <c r="G322" s="8" t="s">
        <v>249</v>
      </c>
      <c r="H322" s="11" t="s">
        <v>347</v>
      </c>
      <c r="I322" s="12">
        <v>-141</v>
      </c>
      <c r="J322" s="13" t="s">
        <v>38</v>
      </c>
      <c r="K322" s="13" t="s">
        <v>155</v>
      </c>
      <c r="L322" s="13" t="s">
        <v>91</v>
      </c>
      <c r="M322" s="13"/>
      <c r="N322" s="31"/>
      <c r="O322" s="14">
        <f t="shared" ref="O322:O385" si="10">IF(B322="$",I322,I322/N322)</f>
        <v>-141</v>
      </c>
      <c r="P322" s="15">
        <f t="shared" si="9"/>
        <v>41768</v>
      </c>
      <c r="Q322" s="15"/>
      <c r="R322" s="16"/>
      <c r="S322" s="16"/>
    </row>
    <row r="323" spans="1:19" x14ac:dyDescent="0.25">
      <c r="A323" s="23" t="s">
        <v>16</v>
      </c>
      <c r="B323" s="23" t="s">
        <v>17</v>
      </c>
      <c r="C323" s="23" t="s">
        <v>18</v>
      </c>
      <c r="D323" s="8">
        <v>2014</v>
      </c>
      <c r="E323" s="21" t="s">
        <v>293</v>
      </c>
      <c r="F323" s="22">
        <v>41768</v>
      </c>
      <c r="G323" s="8" t="s">
        <v>249</v>
      </c>
      <c r="H323" s="11" t="s">
        <v>348</v>
      </c>
      <c r="I323" s="12">
        <v>-188</v>
      </c>
      <c r="J323" s="13" t="s">
        <v>38</v>
      </c>
      <c r="K323" s="13" t="s">
        <v>155</v>
      </c>
      <c r="L323" s="13" t="s">
        <v>91</v>
      </c>
      <c r="M323" s="13"/>
      <c r="N323" s="31"/>
      <c r="O323" s="14">
        <f t="shared" si="10"/>
        <v>-188</v>
      </c>
      <c r="P323" s="15">
        <f t="shared" si="9"/>
        <v>41768</v>
      </c>
      <c r="Q323" s="15"/>
      <c r="R323" s="16"/>
      <c r="S323" s="16"/>
    </row>
    <row r="324" spans="1:19" x14ac:dyDescent="0.25">
      <c r="A324" s="23" t="s">
        <v>16</v>
      </c>
      <c r="B324" s="23" t="s">
        <v>17</v>
      </c>
      <c r="C324" s="23" t="s">
        <v>18</v>
      </c>
      <c r="D324" s="8">
        <v>2014</v>
      </c>
      <c r="E324" s="21" t="s">
        <v>293</v>
      </c>
      <c r="F324" s="22">
        <v>41768</v>
      </c>
      <c r="G324" s="8" t="s">
        <v>249</v>
      </c>
      <c r="H324" s="11" t="s">
        <v>328</v>
      </c>
      <c r="I324" s="12">
        <f>-305-200</f>
        <v>-505</v>
      </c>
      <c r="J324" s="13" t="s">
        <v>38</v>
      </c>
      <c r="K324" s="13" t="s">
        <v>155</v>
      </c>
      <c r="L324" s="13" t="s">
        <v>91</v>
      </c>
      <c r="M324" s="13"/>
      <c r="N324" s="31"/>
      <c r="O324" s="14">
        <f t="shared" si="10"/>
        <v>-505</v>
      </c>
      <c r="P324" s="15">
        <f t="shared" si="9"/>
        <v>41768</v>
      </c>
      <c r="Q324" s="15"/>
      <c r="R324" s="16"/>
      <c r="S324" s="16"/>
    </row>
    <row r="325" spans="1:19" x14ac:dyDescent="0.25">
      <c r="A325" s="23" t="s">
        <v>16</v>
      </c>
      <c r="B325" s="23" t="s">
        <v>17</v>
      </c>
      <c r="C325" s="23" t="s">
        <v>18</v>
      </c>
      <c r="D325" s="8">
        <v>2014</v>
      </c>
      <c r="E325" s="21" t="s">
        <v>293</v>
      </c>
      <c r="F325" s="22">
        <v>41768</v>
      </c>
      <c r="G325" s="8" t="s">
        <v>249</v>
      </c>
      <c r="H325" s="11" t="s">
        <v>349</v>
      </c>
      <c r="I325" s="12">
        <v>-235</v>
      </c>
      <c r="J325" s="13" t="s">
        <v>38</v>
      </c>
      <c r="K325" s="13" t="s">
        <v>155</v>
      </c>
      <c r="L325" s="13" t="s">
        <v>91</v>
      </c>
      <c r="M325" s="13"/>
      <c r="N325" s="31"/>
      <c r="O325" s="14">
        <f t="shared" si="10"/>
        <v>-235</v>
      </c>
      <c r="P325" s="15">
        <f t="shared" ref="P325:P388" si="11">F325</f>
        <v>41768</v>
      </c>
      <c r="Q325" s="15"/>
      <c r="R325" s="16"/>
      <c r="S325" s="16"/>
    </row>
    <row r="326" spans="1:19" x14ac:dyDescent="0.25">
      <c r="A326" s="23" t="s">
        <v>16</v>
      </c>
      <c r="B326" s="23" t="s">
        <v>17</v>
      </c>
      <c r="C326" s="23" t="s">
        <v>18</v>
      </c>
      <c r="D326" s="8">
        <v>2014</v>
      </c>
      <c r="E326" s="21" t="s">
        <v>293</v>
      </c>
      <c r="F326" s="22">
        <v>41768</v>
      </c>
      <c r="G326" s="8" t="s">
        <v>249</v>
      </c>
      <c r="H326" s="11" t="s">
        <v>350</v>
      </c>
      <c r="I326" s="12">
        <v>-588</v>
      </c>
      <c r="J326" s="13" t="s">
        <v>38</v>
      </c>
      <c r="K326" s="13" t="s">
        <v>155</v>
      </c>
      <c r="L326" s="13" t="s">
        <v>91</v>
      </c>
      <c r="M326" s="13"/>
      <c r="N326" s="31"/>
      <c r="O326" s="14">
        <f t="shared" si="10"/>
        <v>-588</v>
      </c>
      <c r="P326" s="15">
        <f t="shared" si="11"/>
        <v>41768</v>
      </c>
      <c r="Q326" s="15"/>
      <c r="R326" s="16"/>
      <c r="S326" s="16"/>
    </row>
    <row r="327" spans="1:19" x14ac:dyDescent="0.25">
      <c r="A327" s="23" t="s">
        <v>16</v>
      </c>
      <c r="B327" s="23" t="s">
        <v>17</v>
      </c>
      <c r="C327" s="23" t="s">
        <v>18</v>
      </c>
      <c r="D327" s="8">
        <v>2014</v>
      </c>
      <c r="E327" s="21" t="s">
        <v>293</v>
      </c>
      <c r="F327" s="22">
        <v>41768</v>
      </c>
      <c r="G327" s="23" t="s">
        <v>249</v>
      </c>
      <c r="H327" s="13" t="s">
        <v>122</v>
      </c>
      <c r="I327" s="12">
        <v>-3000</v>
      </c>
      <c r="J327" s="13" t="s">
        <v>33</v>
      </c>
      <c r="K327" s="13" t="s">
        <v>123</v>
      </c>
      <c r="L327" s="13" t="s">
        <v>124</v>
      </c>
      <c r="M327" s="25" t="s">
        <v>125</v>
      </c>
      <c r="N327" s="31"/>
      <c r="O327" s="14">
        <f t="shared" si="10"/>
        <v>-3000</v>
      </c>
      <c r="P327" s="15">
        <f t="shared" si="11"/>
        <v>41768</v>
      </c>
      <c r="Q327" s="15"/>
      <c r="R327" s="16"/>
      <c r="S327" s="16"/>
    </row>
    <row r="328" spans="1:19" x14ac:dyDescent="0.25">
      <c r="A328" s="23" t="s">
        <v>16</v>
      </c>
      <c r="B328" s="23" t="s">
        <v>17</v>
      </c>
      <c r="C328" s="23" t="s">
        <v>18</v>
      </c>
      <c r="D328" s="8">
        <v>2014</v>
      </c>
      <c r="E328" s="21" t="s">
        <v>293</v>
      </c>
      <c r="F328" s="22">
        <v>41768</v>
      </c>
      <c r="G328" s="8"/>
      <c r="H328" s="13" t="s">
        <v>153</v>
      </c>
      <c r="I328" s="12">
        <v>-120</v>
      </c>
      <c r="J328" s="13" t="s">
        <v>33</v>
      </c>
      <c r="K328" s="13" t="s">
        <v>34</v>
      </c>
      <c r="L328" s="13" t="s">
        <v>76</v>
      </c>
      <c r="M328" s="13"/>
      <c r="N328" s="31"/>
      <c r="O328" s="14">
        <f t="shared" si="10"/>
        <v>-120</v>
      </c>
      <c r="P328" s="15">
        <f t="shared" si="11"/>
        <v>41768</v>
      </c>
      <c r="Q328" s="15"/>
      <c r="R328" s="16"/>
      <c r="S328" s="16"/>
    </row>
    <row r="329" spans="1:19" x14ac:dyDescent="0.25">
      <c r="A329" s="23" t="s">
        <v>16</v>
      </c>
      <c r="B329" s="23" t="s">
        <v>17</v>
      </c>
      <c r="C329" s="23" t="s">
        <v>51</v>
      </c>
      <c r="D329" s="8">
        <v>2014</v>
      </c>
      <c r="E329" s="21" t="s">
        <v>293</v>
      </c>
      <c r="F329" s="22">
        <v>41769</v>
      </c>
      <c r="G329" s="8">
        <v>11716</v>
      </c>
      <c r="H329" s="11" t="s">
        <v>351</v>
      </c>
      <c r="I329" s="12">
        <v>1000</v>
      </c>
      <c r="J329" s="13" t="s">
        <v>53</v>
      </c>
      <c r="K329" s="13" t="s">
        <v>54</v>
      </c>
      <c r="L329" s="13"/>
      <c r="M329" s="13"/>
      <c r="N329" s="31"/>
      <c r="O329" s="14">
        <f t="shared" si="10"/>
        <v>1000</v>
      </c>
      <c r="P329" s="15">
        <f t="shared" si="11"/>
        <v>41769</v>
      </c>
      <c r="Q329" s="15"/>
      <c r="R329" s="16"/>
      <c r="S329" s="16"/>
    </row>
    <row r="330" spans="1:19" x14ac:dyDescent="0.25">
      <c r="A330" s="23" t="s">
        <v>16</v>
      </c>
      <c r="B330" s="23" t="s">
        <v>17</v>
      </c>
      <c r="C330" s="23" t="s">
        <v>51</v>
      </c>
      <c r="D330" s="8">
        <v>2014</v>
      </c>
      <c r="E330" s="21" t="s">
        <v>293</v>
      </c>
      <c r="F330" s="22">
        <v>41769</v>
      </c>
      <c r="G330" s="8">
        <v>11717</v>
      </c>
      <c r="H330" s="11" t="s">
        <v>352</v>
      </c>
      <c r="I330" s="12">
        <v>200</v>
      </c>
      <c r="J330" s="13" t="s">
        <v>53</v>
      </c>
      <c r="K330" s="13" t="s">
        <v>54</v>
      </c>
      <c r="L330" s="13"/>
      <c r="M330" s="13"/>
      <c r="N330" s="31"/>
      <c r="O330" s="14">
        <f t="shared" si="10"/>
        <v>200</v>
      </c>
      <c r="P330" s="15">
        <f t="shared" si="11"/>
        <v>41769</v>
      </c>
      <c r="Q330" s="15"/>
      <c r="R330" s="16"/>
      <c r="S330" s="16"/>
    </row>
    <row r="331" spans="1:19" x14ac:dyDescent="0.25">
      <c r="A331" s="23" t="s">
        <v>16</v>
      </c>
      <c r="B331" s="23" t="s">
        <v>17</v>
      </c>
      <c r="C331" s="23" t="s">
        <v>51</v>
      </c>
      <c r="D331" s="8">
        <v>2014</v>
      </c>
      <c r="E331" s="21" t="s">
        <v>293</v>
      </c>
      <c r="F331" s="22">
        <v>41769</v>
      </c>
      <c r="G331" s="8">
        <v>11719</v>
      </c>
      <c r="H331" s="11" t="s">
        <v>353</v>
      </c>
      <c r="I331" s="12">
        <v>1000</v>
      </c>
      <c r="J331" s="13" t="s">
        <v>53</v>
      </c>
      <c r="K331" s="13" t="s">
        <v>54</v>
      </c>
      <c r="L331" s="13"/>
      <c r="M331" s="13"/>
      <c r="N331" s="31"/>
      <c r="O331" s="14">
        <f t="shared" si="10"/>
        <v>1000</v>
      </c>
      <c r="P331" s="15">
        <f t="shared" si="11"/>
        <v>41769</v>
      </c>
      <c r="Q331" s="15"/>
      <c r="R331" s="16"/>
      <c r="S331" s="16"/>
    </row>
    <row r="332" spans="1:19" x14ac:dyDescent="0.25">
      <c r="A332" s="23" t="s">
        <v>16</v>
      </c>
      <c r="B332" s="23" t="s">
        <v>17</v>
      </c>
      <c r="C332" s="23" t="s">
        <v>18</v>
      </c>
      <c r="D332" s="8">
        <v>2014</v>
      </c>
      <c r="E332" s="21" t="s">
        <v>293</v>
      </c>
      <c r="F332" s="22">
        <v>41769</v>
      </c>
      <c r="G332" s="8"/>
      <c r="H332" s="17" t="s">
        <v>354</v>
      </c>
      <c r="I332" s="12">
        <v>-482.97</v>
      </c>
      <c r="J332" s="13" t="s">
        <v>33</v>
      </c>
      <c r="K332" s="13" t="s">
        <v>263</v>
      </c>
      <c r="L332" s="13" t="s">
        <v>355</v>
      </c>
      <c r="M332" s="13"/>
      <c r="N332" s="14"/>
      <c r="O332" s="14">
        <f t="shared" si="10"/>
        <v>-482.97</v>
      </c>
      <c r="P332" s="15">
        <f t="shared" si="11"/>
        <v>41769</v>
      </c>
      <c r="Q332" s="15"/>
      <c r="R332" s="16"/>
      <c r="S332" s="16"/>
    </row>
    <row r="333" spans="1:19" x14ac:dyDescent="0.25">
      <c r="A333" s="23" t="s">
        <v>16</v>
      </c>
      <c r="B333" s="23" t="s">
        <v>17</v>
      </c>
      <c r="C333" s="23" t="s">
        <v>51</v>
      </c>
      <c r="D333" s="8">
        <v>2014</v>
      </c>
      <c r="E333" s="21" t="s">
        <v>293</v>
      </c>
      <c r="F333" s="22">
        <v>41770</v>
      </c>
      <c r="G333" s="8">
        <v>11720</v>
      </c>
      <c r="H333" s="11" t="s">
        <v>356</v>
      </c>
      <c r="I333" s="12">
        <v>500</v>
      </c>
      <c r="J333" s="13" t="s">
        <v>53</v>
      </c>
      <c r="K333" s="13" t="s">
        <v>54</v>
      </c>
      <c r="L333" s="13"/>
      <c r="M333" s="13"/>
      <c r="N333" s="31"/>
      <c r="O333" s="14">
        <f t="shared" si="10"/>
        <v>500</v>
      </c>
      <c r="P333" s="15">
        <f t="shared" si="11"/>
        <v>41770</v>
      </c>
      <c r="Q333" s="15"/>
      <c r="R333" s="16"/>
      <c r="S333" s="16"/>
    </row>
    <row r="334" spans="1:19" x14ac:dyDescent="0.25">
      <c r="A334" s="23" t="s">
        <v>16</v>
      </c>
      <c r="B334" s="23" t="s">
        <v>17</v>
      </c>
      <c r="C334" s="23" t="s">
        <v>18</v>
      </c>
      <c r="D334" s="8">
        <v>2014</v>
      </c>
      <c r="E334" s="21" t="s">
        <v>293</v>
      </c>
      <c r="F334" s="22">
        <v>41771</v>
      </c>
      <c r="G334" s="8" t="s">
        <v>357</v>
      </c>
      <c r="H334" s="11" t="s">
        <v>358</v>
      </c>
      <c r="I334" s="12">
        <v>-104.5</v>
      </c>
      <c r="J334" s="13" t="s">
        <v>21</v>
      </c>
      <c r="K334" s="13" t="s">
        <v>143</v>
      </c>
      <c r="L334" s="13" t="s">
        <v>173</v>
      </c>
      <c r="M334" s="13"/>
      <c r="N334" s="14"/>
      <c r="O334" s="14">
        <f t="shared" si="10"/>
        <v>-104.5</v>
      </c>
      <c r="P334" s="15">
        <f t="shared" si="11"/>
        <v>41771</v>
      </c>
      <c r="Q334" s="15"/>
      <c r="R334" s="16"/>
      <c r="S334" s="16"/>
    </row>
    <row r="335" spans="1:19" x14ac:dyDescent="0.25">
      <c r="A335" s="23" t="s">
        <v>16</v>
      </c>
      <c r="B335" s="23" t="s">
        <v>17</v>
      </c>
      <c r="C335" s="23" t="s">
        <v>18</v>
      </c>
      <c r="D335" s="8">
        <v>2014</v>
      </c>
      <c r="E335" s="21" t="s">
        <v>293</v>
      </c>
      <c r="F335" s="22">
        <v>41771</v>
      </c>
      <c r="G335" s="8"/>
      <c r="H335" s="11" t="s">
        <v>359</v>
      </c>
      <c r="I335" s="12">
        <f>-140-3-104-117-100-68-40-93.95-98-18</f>
        <v>-781.95</v>
      </c>
      <c r="J335" s="13" t="s">
        <v>21</v>
      </c>
      <c r="K335" s="13" t="s">
        <v>63</v>
      </c>
      <c r="L335" s="13" t="s">
        <v>64</v>
      </c>
      <c r="M335" s="13"/>
      <c r="N335" s="31"/>
      <c r="O335" s="14">
        <f t="shared" si="10"/>
        <v>-781.95</v>
      </c>
      <c r="P335" s="15">
        <f t="shared" si="11"/>
        <v>41771</v>
      </c>
      <c r="Q335" s="15"/>
      <c r="R335" s="16"/>
      <c r="S335" s="16"/>
    </row>
    <row r="336" spans="1:19" x14ac:dyDescent="0.25">
      <c r="A336" s="23" t="s">
        <v>16</v>
      </c>
      <c r="B336" s="23" t="s">
        <v>17</v>
      </c>
      <c r="C336" s="23" t="s">
        <v>51</v>
      </c>
      <c r="D336" s="8">
        <v>2014</v>
      </c>
      <c r="E336" s="21" t="s">
        <v>293</v>
      </c>
      <c r="F336" s="10">
        <v>41771</v>
      </c>
      <c r="G336" s="8">
        <v>11723</v>
      </c>
      <c r="H336" s="11" t="s">
        <v>360</v>
      </c>
      <c r="I336" s="12">
        <v>1000</v>
      </c>
      <c r="J336" s="13" t="s">
        <v>53</v>
      </c>
      <c r="K336" s="13" t="s">
        <v>54</v>
      </c>
      <c r="L336" s="13"/>
      <c r="M336" s="13"/>
      <c r="N336" s="31"/>
      <c r="O336" s="14">
        <f t="shared" si="10"/>
        <v>1000</v>
      </c>
      <c r="P336" s="15">
        <f t="shared" si="11"/>
        <v>41771</v>
      </c>
      <c r="Q336" s="15"/>
      <c r="R336" s="16"/>
      <c r="S336" s="16"/>
    </row>
    <row r="337" spans="1:19" x14ac:dyDescent="0.25">
      <c r="A337" s="23" t="s">
        <v>16</v>
      </c>
      <c r="B337" s="23" t="s">
        <v>17</v>
      </c>
      <c r="C337" s="23" t="s">
        <v>51</v>
      </c>
      <c r="D337" s="8">
        <v>2014</v>
      </c>
      <c r="E337" s="21" t="s">
        <v>293</v>
      </c>
      <c r="F337" s="10">
        <v>41771</v>
      </c>
      <c r="G337" s="8">
        <v>11637</v>
      </c>
      <c r="H337" s="11" t="s">
        <v>361</v>
      </c>
      <c r="I337" s="12">
        <v>1000</v>
      </c>
      <c r="J337" s="13" t="s">
        <v>53</v>
      </c>
      <c r="K337" s="13" t="s">
        <v>54</v>
      </c>
      <c r="L337" s="13"/>
      <c r="M337" s="13"/>
      <c r="N337" s="31"/>
      <c r="O337" s="14">
        <f t="shared" si="10"/>
        <v>1000</v>
      </c>
      <c r="P337" s="15">
        <f t="shared" si="11"/>
        <v>41771</v>
      </c>
      <c r="Q337" s="15"/>
      <c r="R337" s="16"/>
      <c r="S337" s="16"/>
    </row>
    <row r="338" spans="1:19" x14ac:dyDescent="0.25">
      <c r="A338" s="23" t="s">
        <v>16</v>
      </c>
      <c r="B338" s="23" t="s">
        <v>17</v>
      </c>
      <c r="C338" s="23" t="s">
        <v>51</v>
      </c>
      <c r="D338" s="8">
        <v>2014</v>
      </c>
      <c r="E338" s="21" t="s">
        <v>293</v>
      </c>
      <c r="F338" s="10">
        <v>41771</v>
      </c>
      <c r="G338" s="8">
        <v>11632</v>
      </c>
      <c r="H338" s="11" t="s">
        <v>362</v>
      </c>
      <c r="I338" s="12">
        <v>15390</v>
      </c>
      <c r="J338" s="13" t="s">
        <v>53</v>
      </c>
      <c r="K338" s="13" t="s">
        <v>54</v>
      </c>
      <c r="L338" s="13"/>
      <c r="M338" s="13"/>
      <c r="N338" s="31"/>
      <c r="O338" s="14">
        <f t="shared" si="10"/>
        <v>15390</v>
      </c>
      <c r="P338" s="15">
        <f t="shared" si="11"/>
        <v>41771</v>
      </c>
      <c r="Q338" s="15"/>
      <c r="R338" s="16"/>
      <c r="S338" s="16"/>
    </row>
    <row r="339" spans="1:19" x14ac:dyDescent="0.25">
      <c r="A339" s="8" t="s">
        <v>16</v>
      </c>
      <c r="B339" s="8" t="s">
        <v>17</v>
      </c>
      <c r="C339" s="8" t="s">
        <v>46</v>
      </c>
      <c r="D339" s="8">
        <v>2014</v>
      </c>
      <c r="E339" s="21" t="s">
        <v>293</v>
      </c>
      <c r="F339" s="22">
        <v>41772</v>
      </c>
      <c r="G339" s="8"/>
      <c r="H339" s="17" t="s">
        <v>72</v>
      </c>
      <c r="I339" s="12">
        <v>-320</v>
      </c>
      <c r="J339" s="13" t="s">
        <v>68</v>
      </c>
      <c r="K339" s="13"/>
      <c r="L339" s="13"/>
      <c r="M339" s="13"/>
      <c r="N339" s="14"/>
      <c r="O339" s="14">
        <f t="shared" si="10"/>
        <v>-320</v>
      </c>
      <c r="P339" s="15">
        <f t="shared" si="11"/>
        <v>41772</v>
      </c>
      <c r="Q339" s="15"/>
      <c r="R339" s="16"/>
      <c r="S339" s="16"/>
    </row>
    <row r="340" spans="1:19" x14ac:dyDescent="0.25">
      <c r="A340" s="23" t="s">
        <v>16</v>
      </c>
      <c r="B340" s="23" t="s">
        <v>17</v>
      </c>
      <c r="C340" s="23" t="s">
        <v>18</v>
      </c>
      <c r="D340" s="8">
        <v>2014</v>
      </c>
      <c r="E340" s="21" t="s">
        <v>293</v>
      </c>
      <c r="F340" s="22">
        <v>41772</v>
      </c>
      <c r="G340" s="8" t="s">
        <v>249</v>
      </c>
      <c r="H340" s="11" t="s">
        <v>363</v>
      </c>
      <c r="I340" s="12">
        <v>-260</v>
      </c>
      <c r="J340" s="13" t="s">
        <v>21</v>
      </c>
      <c r="K340" s="13" t="s">
        <v>22</v>
      </c>
      <c r="L340" s="13" t="s">
        <v>23</v>
      </c>
      <c r="M340" s="13"/>
      <c r="N340" s="14"/>
      <c r="O340" s="14">
        <f t="shared" si="10"/>
        <v>-260</v>
      </c>
      <c r="P340" s="15">
        <f t="shared" si="11"/>
        <v>41772</v>
      </c>
      <c r="Q340" s="15"/>
      <c r="R340" s="16"/>
      <c r="S340" s="16"/>
    </row>
    <row r="341" spans="1:19" x14ac:dyDescent="0.25">
      <c r="A341" s="23" t="s">
        <v>16</v>
      </c>
      <c r="B341" s="23" t="s">
        <v>17</v>
      </c>
      <c r="C341" s="23" t="s">
        <v>51</v>
      </c>
      <c r="D341" s="8">
        <v>2014</v>
      </c>
      <c r="E341" s="21" t="s">
        <v>293</v>
      </c>
      <c r="F341" s="10">
        <v>41772</v>
      </c>
      <c r="G341" s="8">
        <v>11724</v>
      </c>
      <c r="H341" s="11" t="s">
        <v>364</v>
      </c>
      <c r="I341" s="12">
        <v>8000</v>
      </c>
      <c r="J341" s="13" t="s">
        <v>53</v>
      </c>
      <c r="K341" s="13" t="s">
        <v>54</v>
      </c>
      <c r="L341" s="13"/>
      <c r="M341" s="13"/>
      <c r="N341" s="31"/>
      <c r="O341" s="14">
        <f t="shared" si="10"/>
        <v>8000</v>
      </c>
      <c r="P341" s="15">
        <f t="shared" si="11"/>
        <v>41772</v>
      </c>
      <c r="Q341" s="15"/>
      <c r="R341" s="16"/>
      <c r="S341" s="16"/>
    </row>
    <row r="342" spans="1:19" x14ac:dyDescent="0.25">
      <c r="A342" s="8" t="s">
        <v>16</v>
      </c>
      <c r="B342" s="8" t="s">
        <v>17</v>
      </c>
      <c r="C342" s="36" t="s">
        <v>46</v>
      </c>
      <c r="D342" s="8">
        <v>2014</v>
      </c>
      <c r="E342" s="21" t="s">
        <v>293</v>
      </c>
      <c r="F342" s="10">
        <v>41772</v>
      </c>
      <c r="G342" s="8"/>
      <c r="H342" s="17" t="s">
        <v>365</v>
      </c>
      <c r="I342" s="12">
        <v>-3000</v>
      </c>
      <c r="J342" s="13" t="s">
        <v>48</v>
      </c>
      <c r="K342" s="13" t="s">
        <v>49</v>
      </c>
      <c r="L342" s="13" t="s">
        <v>50</v>
      </c>
      <c r="M342" s="13"/>
      <c r="N342" s="14"/>
      <c r="O342" s="14">
        <f t="shared" si="10"/>
        <v>-3000</v>
      </c>
      <c r="P342" s="15">
        <f t="shared" si="11"/>
        <v>41772</v>
      </c>
      <c r="Q342" s="15"/>
      <c r="R342" s="16"/>
      <c r="S342" s="16"/>
    </row>
    <row r="343" spans="1:19" x14ac:dyDescent="0.25">
      <c r="A343" s="8" t="s">
        <v>16</v>
      </c>
      <c r="B343" s="8" t="s">
        <v>17</v>
      </c>
      <c r="C343" s="8" t="s">
        <v>46</v>
      </c>
      <c r="D343" s="8">
        <v>2014</v>
      </c>
      <c r="E343" s="21" t="s">
        <v>293</v>
      </c>
      <c r="F343" s="10">
        <v>41772</v>
      </c>
      <c r="G343" s="8"/>
      <c r="H343" s="17" t="s">
        <v>366</v>
      </c>
      <c r="I343" s="12">
        <v>-10000</v>
      </c>
      <c r="J343" s="13" t="s">
        <v>48</v>
      </c>
      <c r="K343" s="13" t="s">
        <v>49</v>
      </c>
      <c r="L343" s="13" t="s">
        <v>50</v>
      </c>
      <c r="M343" s="13"/>
      <c r="N343" s="14"/>
      <c r="O343" s="14">
        <f t="shared" si="10"/>
        <v>-10000</v>
      </c>
      <c r="P343" s="15">
        <f t="shared" si="11"/>
        <v>41772</v>
      </c>
      <c r="Q343" s="15"/>
      <c r="R343" s="16"/>
      <c r="S343" s="16"/>
    </row>
    <row r="344" spans="1:19" x14ac:dyDescent="0.25">
      <c r="A344" s="8" t="s">
        <v>16</v>
      </c>
      <c r="B344" s="8" t="s">
        <v>17</v>
      </c>
      <c r="C344" s="36" t="s">
        <v>46</v>
      </c>
      <c r="D344" s="8">
        <v>2014</v>
      </c>
      <c r="E344" s="21" t="s">
        <v>293</v>
      </c>
      <c r="F344" s="22">
        <v>41773</v>
      </c>
      <c r="G344" s="8" t="s">
        <v>249</v>
      </c>
      <c r="H344" s="11" t="s">
        <v>112</v>
      </c>
      <c r="I344" s="12">
        <v>-7500</v>
      </c>
      <c r="J344" s="13" t="s">
        <v>48</v>
      </c>
      <c r="K344" s="13" t="s">
        <v>113</v>
      </c>
      <c r="L344" s="13" t="s">
        <v>114</v>
      </c>
      <c r="M344" s="13"/>
      <c r="N344" s="14"/>
      <c r="O344" s="14">
        <f t="shared" si="10"/>
        <v>-7500</v>
      </c>
      <c r="P344" s="15">
        <f t="shared" si="11"/>
        <v>41773</v>
      </c>
      <c r="Q344" s="15"/>
      <c r="R344" s="16"/>
      <c r="S344" s="16"/>
    </row>
    <row r="345" spans="1:19" x14ac:dyDescent="0.25">
      <c r="A345" s="23" t="s">
        <v>16</v>
      </c>
      <c r="B345" s="23" t="s">
        <v>17</v>
      </c>
      <c r="C345" s="23" t="s">
        <v>18</v>
      </c>
      <c r="D345" s="8">
        <v>2014</v>
      </c>
      <c r="E345" s="21" t="s">
        <v>293</v>
      </c>
      <c r="F345" s="22">
        <v>41773</v>
      </c>
      <c r="G345" s="8"/>
      <c r="H345" s="11" t="s">
        <v>367</v>
      </c>
      <c r="I345" s="12">
        <f>-3099.34-641</f>
        <v>-3740.34</v>
      </c>
      <c r="J345" s="13" t="s">
        <v>33</v>
      </c>
      <c r="K345" s="13" t="s">
        <v>224</v>
      </c>
      <c r="L345" s="13" t="s">
        <v>231</v>
      </c>
      <c r="M345" s="13"/>
      <c r="N345" s="14"/>
      <c r="O345" s="14">
        <f t="shared" si="10"/>
        <v>-3740.34</v>
      </c>
      <c r="P345" s="15">
        <f t="shared" si="11"/>
        <v>41773</v>
      </c>
      <c r="Q345" s="15"/>
      <c r="R345" s="16"/>
      <c r="S345" s="16"/>
    </row>
    <row r="346" spans="1:19" x14ac:dyDescent="0.25">
      <c r="A346" s="23" t="s">
        <v>16</v>
      </c>
      <c r="B346" s="23" t="s">
        <v>17</v>
      </c>
      <c r="C346" s="23" t="s">
        <v>18</v>
      </c>
      <c r="D346" s="8">
        <v>2014</v>
      </c>
      <c r="E346" s="21" t="s">
        <v>293</v>
      </c>
      <c r="F346" s="22">
        <v>41773</v>
      </c>
      <c r="G346" s="8" t="s">
        <v>249</v>
      </c>
      <c r="H346" s="11" t="s">
        <v>363</v>
      </c>
      <c r="I346" s="12">
        <v>-200</v>
      </c>
      <c r="J346" s="13" t="s">
        <v>21</v>
      </c>
      <c r="K346" s="13" t="s">
        <v>22</v>
      </c>
      <c r="L346" s="13" t="s">
        <v>23</v>
      </c>
      <c r="M346" s="13"/>
      <c r="N346" s="14"/>
      <c r="O346" s="14">
        <f t="shared" si="10"/>
        <v>-200</v>
      </c>
      <c r="P346" s="15">
        <f t="shared" si="11"/>
        <v>41773</v>
      </c>
      <c r="Q346" s="15"/>
      <c r="R346" s="16"/>
      <c r="S346" s="16"/>
    </row>
    <row r="347" spans="1:19" x14ac:dyDescent="0.25">
      <c r="A347" s="23" t="s">
        <v>16</v>
      </c>
      <c r="B347" s="23" t="s">
        <v>17</v>
      </c>
      <c r="C347" s="23" t="s">
        <v>51</v>
      </c>
      <c r="D347" s="8">
        <v>2014</v>
      </c>
      <c r="E347" s="21" t="s">
        <v>293</v>
      </c>
      <c r="F347" s="10">
        <v>41773</v>
      </c>
      <c r="G347" s="8">
        <v>11725</v>
      </c>
      <c r="H347" s="11" t="s">
        <v>368</v>
      </c>
      <c r="I347" s="12">
        <v>1000</v>
      </c>
      <c r="J347" s="13" t="s">
        <v>53</v>
      </c>
      <c r="K347" s="13" t="s">
        <v>54</v>
      </c>
      <c r="L347" s="13"/>
      <c r="M347" s="13"/>
      <c r="N347" s="31"/>
      <c r="O347" s="14">
        <f t="shared" si="10"/>
        <v>1000</v>
      </c>
      <c r="P347" s="15">
        <f t="shared" si="11"/>
        <v>41773</v>
      </c>
      <c r="Q347" s="15"/>
      <c r="R347" s="16"/>
      <c r="S347" s="16"/>
    </row>
    <row r="348" spans="1:19" x14ac:dyDescent="0.25">
      <c r="A348" s="23" t="s">
        <v>16</v>
      </c>
      <c r="B348" s="23" t="s">
        <v>17</v>
      </c>
      <c r="C348" s="23" t="s">
        <v>51</v>
      </c>
      <c r="D348" s="8">
        <v>2014</v>
      </c>
      <c r="E348" s="21" t="s">
        <v>293</v>
      </c>
      <c r="F348" s="10">
        <v>41773</v>
      </c>
      <c r="G348" s="8">
        <v>11693</v>
      </c>
      <c r="H348" s="11" t="s">
        <v>369</v>
      </c>
      <c r="I348" s="12">
        <v>12130</v>
      </c>
      <c r="J348" s="13" t="s">
        <v>53</v>
      </c>
      <c r="K348" s="13" t="s">
        <v>54</v>
      </c>
      <c r="L348" s="13"/>
      <c r="M348" s="13"/>
      <c r="N348" s="31"/>
      <c r="O348" s="14">
        <f t="shared" si="10"/>
        <v>12130</v>
      </c>
      <c r="P348" s="15">
        <f t="shared" si="11"/>
        <v>41773</v>
      </c>
      <c r="Q348" s="15"/>
      <c r="R348" s="26"/>
      <c r="S348" s="26"/>
    </row>
    <row r="349" spans="1:19" x14ac:dyDescent="0.25">
      <c r="A349" s="23" t="s">
        <v>16</v>
      </c>
      <c r="B349" s="23" t="s">
        <v>17</v>
      </c>
      <c r="C349" s="23" t="s">
        <v>18</v>
      </c>
      <c r="D349" s="8">
        <v>2014</v>
      </c>
      <c r="E349" s="21" t="s">
        <v>293</v>
      </c>
      <c r="F349" s="22">
        <v>41774</v>
      </c>
      <c r="G349" s="8"/>
      <c r="H349" s="11" t="s">
        <v>370</v>
      </c>
      <c r="I349" s="12">
        <v>-740</v>
      </c>
      <c r="J349" s="13" t="s">
        <v>21</v>
      </c>
      <c r="K349" s="13" t="s">
        <v>371</v>
      </c>
      <c r="L349" s="13" t="s">
        <v>372</v>
      </c>
      <c r="M349" s="13" t="s">
        <v>373</v>
      </c>
      <c r="N349" s="31"/>
      <c r="O349" s="14">
        <f t="shared" si="10"/>
        <v>-740</v>
      </c>
      <c r="P349" s="15">
        <f t="shared" si="11"/>
        <v>41774</v>
      </c>
      <c r="Q349" s="15"/>
      <c r="R349" s="16"/>
      <c r="S349" s="16"/>
    </row>
    <row r="350" spans="1:19" x14ac:dyDescent="0.25">
      <c r="A350" s="8" t="s">
        <v>16</v>
      </c>
      <c r="B350" s="40" t="s">
        <v>17</v>
      </c>
      <c r="C350" s="41" t="s">
        <v>18</v>
      </c>
      <c r="D350" s="8">
        <v>2014</v>
      </c>
      <c r="E350" s="21" t="s">
        <v>293</v>
      </c>
      <c r="F350" s="22">
        <v>41774</v>
      </c>
      <c r="G350" s="42" t="s">
        <v>36</v>
      </c>
      <c r="H350" s="38" t="s">
        <v>151</v>
      </c>
      <c r="I350" s="43">
        <v>-10000</v>
      </c>
      <c r="J350" s="19" t="s">
        <v>38</v>
      </c>
      <c r="K350" s="19" t="s">
        <v>39</v>
      </c>
      <c r="L350" s="39" t="s">
        <v>40</v>
      </c>
      <c r="M350" s="44"/>
      <c r="N350" s="45"/>
      <c r="O350" s="14">
        <f t="shared" si="10"/>
        <v>-10000</v>
      </c>
      <c r="P350" s="15">
        <f t="shared" si="11"/>
        <v>41774</v>
      </c>
      <c r="Q350" s="15"/>
      <c r="R350" s="16"/>
      <c r="S350" s="16"/>
    </row>
    <row r="351" spans="1:19" x14ac:dyDescent="0.25">
      <c r="A351" s="23" t="s">
        <v>16</v>
      </c>
      <c r="B351" s="23" t="s">
        <v>17</v>
      </c>
      <c r="C351" s="23" t="s">
        <v>18</v>
      </c>
      <c r="D351" s="8">
        <v>2014</v>
      </c>
      <c r="E351" s="21" t="s">
        <v>293</v>
      </c>
      <c r="F351" s="22">
        <v>41774</v>
      </c>
      <c r="G351" s="8"/>
      <c r="H351" s="13" t="s">
        <v>195</v>
      </c>
      <c r="I351" s="12">
        <v>-1025</v>
      </c>
      <c r="J351" s="13" t="s">
        <v>21</v>
      </c>
      <c r="K351" s="13" t="s">
        <v>143</v>
      </c>
      <c r="L351" s="13" t="s">
        <v>196</v>
      </c>
      <c r="M351" s="13" t="s">
        <v>197</v>
      </c>
      <c r="N351" s="31"/>
      <c r="O351" s="14">
        <f t="shared" si="10"/>
        <v>-1025</v>
      </c>
      <c r="P351" s="15">
        <f t="shared" si="11"/>
        <v>41774</v>
      </c>
      <c r="Q351" s="15"/>
      <c r="R351" s="26"/>
      <c r="S351" s="26"/>
    </row>
    <row r="352" spans="1:19" x14ac:dyDescent="0.25">
      <c r="A352" s="23" t="s">
        <v>16</v>
      </c>
      <c r="B352" s="23" t="s">
        <v>17</v>
      </c>
      <c r="C352" s="23" t="s">
        <v>18</v>
      </c>
      <c r="D352" s="8">
        <v>2014</v>
      </c>
      <c r="E352" s="21" t="s">
        <v>293</v>
      </c>
      <c r="F352" s="22">
        <v>41774</v>
      </c>
      <c r="G352" s="8"/>
      <c r="H352" s="11" t="s">
        <v>374</v>
      </c>
      <c r="I352" s="12">
        <v>-538.5</v>
      </c>
      <c r="J352" s="19" t="s">
        <v>21</v>
      </c>
      <c r="K352" s="37" t="s">
        <v>143</v>
      </c>
      <c r="L352" s="19" t="s">
        <v>375</v>
      </c>
      <c r="M352" s="25"/>
      <c r="N352" s="25"/>
      <c r="O352" s="14">
        <f t="shared" si="10"/>
        <v>-538.5</v>
      </c>
      <c r="P352" s="15">
        <f t="shared" si="11"/>
        <v>41774</v>
      </c>
      <c r="Q352" s="50">
        <v>41744</v>
      </c>
      <c r="R352" s="16"/>
      <c r="S352" s="16"/>
    </row>
    <row r="353" spans="1:19" x14ac:dyDescent="0.25">
      <c r="A353" s="23" t="s">
        <v>16</v>
      </c>
      <c r="B353" s="23" t="s">
        <v>17</v>
      </c>
      <c r="C353" s="23" t="s">
        <v>18</v>
      </c>
      <c r="D353" s="8">
        <v>2014</v>
      </c>
      <c r="E353" s="21" t="s">
        <v>293</v>
      </c>
      <c r="F353" s="22">
        <v>41774</v>
      </c>
      <c r="G353" s="8"/>
      <c r="H353" s="11" t="s">
        <v>374</v>
      </c>
      <c r="I353" s="12">
        <v>-538.5</v>
      </c>
      <c r="J353" s="19" t="s">
        <v>21</v>
      </c>
      <c r="K353" s="37" t="s">
        <v>143</v>
      </c>
      <c r="L353" s="19" t="s">
        <v>375</v>
      </c>
      <c r="M353" s="25"/>
      <c r="N353" s="25"/>
      <c r="O353" s="14">
        <f t="shared" si="10"/>
        <v>-538.5</v>
      </c>
      <c r="P353" s="15">
        <f t="shared" si="11"/>
        <v>41774</v>
      </c>
      <c r="Q353" s="15"/>
      <c r="R353" s="16"/>
      <c r="S353" s="16"/>
    </row>
    <row r="354" spans="1:19" x14ac:dyDescent="0.25">
      <c r="A354" s="23" t="s">
        <v>16</v>
      </c>
      <c r="B354" s="23" t="s">
        <v>17</v>
      </c>
      <c r="C354" s="23" t="s">
        <v>51</v>
      </c>
      <c r="D354" s="8">
        <v>2014</v>
      </c>
      <c r="E354" s="21" t="s">
        <v>293</v>
      </c>
      <c r="F354" s="10">
        <v>41774</v>
      </c>
      <c r="G354" s="8">
        <v>11646</v>
      </c>
      <c r="H354" s="11" t="s">
        <v>61</v>
      </c>
      <c r="I354" s="12">
        <v>1100</v>
      </c>
      <c r="J354" s="13" t="s">
        <v>53</v>
      </c>
      <c r="K354" s="13" t="s">
        <v>54</v>
      </c>
      <c r="L354" s="13"/>
      <c r="M354" s="13"/>
      <c r="N354" s="31"/>
      <c r="O354" s="14">
        <f t="shared" si="10"/>
        <v>1100</v>
      </c>
      <c r="P354" s="15">
        <f t="shared" si="11"/>
        <v>41774</v>
      </c>
      <c r="Q354" s="15"/>
      <c r="R354" s="16"/>
      <c r="S354" s="16"/>
    </row>
    <row r="355" spans="1:19" x14ac:dyDescent="0.25">
      <c r="A355" s="8" t="s">
        <v>16</v>
      </c>
      <c r="B355" s="8" t="s">
        <v>17</v>
      </c>
      <c r="C355" s="36" t="s">
        <v>46</v>
      </c>
      <c r="D355" s="8">
        <v>2014</v>
      </c>
      <c r="E355" s="21" t="s">
        <v>293</v>
      </c>
      <c r="F355" s="22">
        <v>41774</v>
      </c>
      <c r="G355" s="8"/>
      <c r="H355" s="11" t="s">
        <v>376</v>
      </c>
      <c r="I355" s="12">
        <v>10000</v>
      </c>
      <c r="J355" s="51" t="s">
        <v>150</v>
      </c>
      <c r="K355" s="13"/>
      <c r="L355" s="13"/>
      <c r="M355" s="13"/>
      <c r="N355" s="14"/>
      <c r="O355" s="14">
        <f t="shared" si="10"/>
        <v>10000</v>
      </c>
      <c r="P355" s="15">
        <f t="shared" si="11"/>
        <v>41774</v>
      </c>
      <c r="Q355" s="15"/>
      <c r="R355" s="16"/>
      <c r="S355" s="16"/>
    </row>
    <row r="356" spans="1:19" x14ac:dyDescent="0.25">
      <c r="A356" s="8" t="s">
        <v>16</v>
      </c>
      <c r="B356" s="8" t="s">
        <v>17</v>
      </c>
      <c r="C356" s="36" t="s">
        <v>46</v>
      </c>
      <c r="D356" s="8">
        <v>2014</v>
      </c>
      <c r="E356" s="21" t="s">
        <v>293</v>
      </c>
      <c r="F356" s="10">
        <v>41774</v>
      </c>
      <c r="G356" s="8"/>
      <c r="H356" s="11" t="s">
        <v>376</v>
      </c>
      <c r="I356" s="12">
        <v>10000</v>
      </c>
      <c r="J356" s="51" t="s">
        <v>150</v>
      </c>
      <c r="K356" s="13"/>
      <c r="L356" s="13"/>
      <c r="M356" s="13"/>
      <c r="N356" s="14"/>
      <c r="O356" s="14">
        <f t="shared" si="10"/>
        <v>10000</v>
      </c>
      <c r="P356" s="15">
        <f t="shared" si="11"/>
        <v>41774</v>
      </c>
      <c r="Q356" s="15"/>
      <c r="R356" s="16"/>
      <c r="S356" s="16"/>
    </row>
    <row r="357" spans="1:19" x14ac:dyDescent="0.25">
      <c r="A357" s="23" t="s">
        <v>16</v>
      </c>
      <c r="B357" s="23" t="s">
        <v>17</v>
      </c>
      <c r="C357" s="23" t="s">
        <v>18</v>
      </c>
      <c r="D357" s="8">
        <v>2014</v>
      </c>
      <c r="E357" s="21" t="s">
        <v>293</v>
      </c>
      <c r="F357" s="52">
        <v>41775</v>
      </c>
      <c r="G357" s="8"/>
      <c r="H357" s="11" t="s">
        <v>377</v>
      </c>
      <c r="I357" s="12">
        <v>-484.1</v>
      </c>
      <c r="J357" s="13" t="s">
        <v>21</v>
      </c>
      <c r="K357" s="13" t="s">
        <v>56</v>
      </c>
      <c r="L357" s="13" t="s">
        <v>111</v>
      </c>
      <c r="M357" s="13" t="s">
        <v>28</v>
      </c>
      <c r="N357" s="14"/>
      <c r="O357" s="14">
        <f t="shared" si="10"/>
        <v>-484.1</v>
      </c>
      <c r="P357" s="15">
        <f t="shared" si="11"/>
        <v>41775</v>
      </c>
      <c r="Q357" s="15"/>
      <c r="R357" s="16"/>
      <c r="S357" s="16"/>
    </row>
    <row r="358" spans="1:19" x14ac:dyDescent="0.25">
      <c r="A358" s="23" t="s">
        <v>16</v>
      </c>
      <c r="B358" s="23" t="s">
        <v>17</v>
      </c>
      <c r="C358" s="23" t="s">
        <v>18</v>
      </c>
      <c r="D358" s="8">
        <v>2014</v>
      </c>
      <c r="E358" s="21" t="s">
        <v>293</v>
      </c>
      <c r="F358" s="22">
        <v>41775</v>
      </c>
      <c r="G358" s="23"/>
      <c r="H358" s="13" t="s">
        <v>252</v>
      </c>
      <c r="I358" s="12">
        <v>-48</v>
      </c>
      <c r="J358" s="13" t="s">
        <v>21</v>
      </c>
      <c r="K358" s="13" t="s">
        <v>22</v>
      </c>
      <c r="L358" s="13" t="s">
        <v>71</v>
      </c>
      <c r="M358" s="13" t="s">
        <v>206</v>
      </c>
      <c r="N358" s="31"/>
      <c r="O358" s="14">
        <f t="shared" si="10"/>
        <v>-48</v>
      </c>
      <c r="P358" s="15">
        <f t="shared" si="11"/>
        <v>41775</v>
      </c>
      <c r="Q358" s="15"/>
      <c r="R358" s="16"/>
      <c r="S358" s="16"/>
    </row>
    <row r="359" spans="1:19" x14ac:dyDescent="0.25">
      <c r="A359" s="8" t="s">
        <v>16</v>
      </c>
      <c r="B359" s="8" t="s">
        <v>17</v>
      </c>
      <c r="C359" s="8" t="s">
        <v>18</v>
      </c>
      <c r="D359" s="8">
        <v>2014</v>
      </c>
      <c r="E359" s="21" t="s">
        <v>293</v>
      </c>
      <c r="F359" s="22">
        <v>41775</v>
      </c>
      <c r="G359" s="8"/>
      <c r="H359" s="13" t="s">
        <v>80</v>
      </c>
      <c r="I359" s="12">
        <v>-50</v>
      </c>
      <c r="J359" s="13" t="s">
        <v>21</v>
      </c>
      <c r="K359" s="13" t="s">
        <v>22</v>
      </c>
      <c r="L359" s="13" t="s">
        <v>23</v>
      </c>
      <c r="M359" s="13" t="s">
        <v>28</v>
      </c>
      <c r="N359" s="14"/>
      <c r="O359" s="14">
        <f t="shared" si="10"/>
        <v>-50</v>
      </c>
      <c r="P359" s="15">
        <f t="shared" si="11"/>
        <v>41775</v>
      </c>
      <c r="Q359" s="15"/>
      <c r="R359" s="16"/>
      <c r="S359" s="16"/>
    </row>
    <row r="360" spans="1:19" x14ac:dyDescent="0.25">
      <c r="A360" s="23" t="s">
        <v>16</v>
      </c>
      <c r="B360" s="23" t="s">
        <v>17</v>
      </c>
      <c r="C360" s="23" t="s">
        <v>18</v>
      </c>
      <c r="D360" s="8">
        <v>2014</v>
      </c>
      <c r="E360" s="21" t="s">
        <v>293</v>
      </c>
      <c r="F360" s="22">
        <v>41775</v>
      </c>
      <c r="G360" s="8" t="s">
        <v>249</v>
      </c>
      <c r="H360" s="11" t="s">
        <v>340</v>
      </c>
      <c r="I360" s="12">
        <v>-4000</v>
      </c>
      <c r="J360" s="13" t="s">
        <v>21</v>
      </c>
      <c r="K360" s="13" t="s">
        <v>56</v>
      </c>
      <c r="L360" s="13" t="s">
        <v>57</v>
      </c>
      <c r="M360" s="13"/>
      <c r="N360" s="14"/>
      <c r="O360" s="14">
        <f t="shared" si="10"/>
        <v>-4000</v>
      </c>
      <c r="P360" s="15">
        <f t="shared" si="11"/>
        <v>41775</v>
      </c>
      <c r="Q360" s="15"/>
      <c r="R360" s="16"/>
      <c r="S360" s="16"/>
    </row>
    <row r="361" spans="1:19" x14ac:dyDescent="0.25">
      <c r="A361" s="8" t="s">
        <v>16</v>
      </c>
      <c r="B361" s="8" t="s">
        <v>17</v>
      </c>
      <c r="C361" s="8" t="s">
        <v>18</v>
      </c>
      <c r="D361" s="8">
        <v>2014</v>
      </c>
      <c r="E361" s="21" t="s">
        <v>293</v>
      </c>
      <c r="F361" s="22">
        <v>41775</v>
      </c>
      <c r="G361" s="23" t="s">
        <v>249</v>
      </c>
      <c r="H361" s="11" t="s">
        <v>253</v>
      </c>
      <c r="I361" s="12">
        <v>-100</v>
      </c>
      <c r="J361" s="13" t="s">
        <v>21</v>
      </c>
      <c r="K361" s="13" t="s">
        <v>56</v>
      </c>
      <c r="L361" s="13" t="s">
        <v>254</v>
      </c>
      <c r="M361" s="13" t="s">
        <v>255</v>
      </c>
      <c r="N361" s="14"/>
      <c r="O361" s="14">
        <f t="shared" si="10"/>
        <v>-100</v>
      </c>
      <c r="P361" s="15">
        <f t="shared" si="11"/>
        <v>41775</v>
      </c>
      <c r="Q361" s="15"/>
      <c r="R361" s="16"/>
      <c r="S361" s="16"/>
    </row>
    <row r="362" spans="1:19" x14ac:dyDescent="0.25">
      <c r="A362" s="23" t="s">
        <v>16</v>
      </c>
      <c r="B362" s="23" t="s">
        <v>17</v>
      </c>
      <c r="C362" s="23" t="s">
        <v>18</v>
      </c>
      <c r="D362" s="8">
        <v>2014</v>
      </c>
      <c r="E362" s="21" t="s">
        <v>293</v>
      </c>
      <c r="F362" s="22">
        <v>41775</v>
      </c>
      <c r="G362" s="23" t="s">
        <v>249</v>
      </c>
      <c r="H362" s="13" t="s">
        <v>256</v>
      </c>
      <c r="I362" s="12">
        <v>-200</v>
      </c>
      <c r="J362" s="13" t="s">
        <v>38</v>
      </c>
      <c r="K362" s="13" t="s">
        <v>155</v>
      </c>
      <c r="L362" s="13" t="s">
        <v>91</v>
      </c>
      <c r="M362" s="13"/>
      <c r="N362" s="31"/>
      <c r="O362" s="14">
        <f t="shared" si="10"/>
        <v>-200</v>
      </c>
      <c r="P362" s="15">
        <f t="shared" si="11"/>
        <v>41775</v>
      </c>
      <c r="Q362" s="15"/>
      <c r="R362" s="16"/>
      <c r="S362" s="16"/>
    </row>
    <row r="363" spans="1:19" x14ac:dyDescent="0.25">
      <c r="A363" s="23" t="s">
        <v>16</v>
      </c>
      <c r="B363" s="23" t="s">
        <v>17</v>
      </c>
      <c r="C363" s="23" t="s">
        <v>18</v>
      </c>
      <c r="D363" s="8">
        <v>2014</v>
      </c>
      <c r="E363" s="21" t="s">
        <v>293</v>
      </c>
      <c r="F363" s="22">
        <v>41775</v>
      </c>
      <c r="G363" s="23" t="s">
        <v>249</v>
      </c>
      <c r="H363" s="13" t="s">
        <v>122</v>
      </c>
      <c r="I363" s="12">
        <v>-6000</v>
      </c>
      <c r="J363" s="13" t="s">
        <v>33</v>
      </c>
      <c r="K363" s="13" t="s">
        <v>123</v>
      </c>
      <c r="L363" s="13" t="s">
        <v>124</v>
      </c>
      <c r="M363" s="25" t="s">
        <v>125</v>
      </c>
      <c r="N363" s="31"/>
      <c r="O363" s="14">
        <f t="shared" si="10"/>
        <v>-6000</v>
      </c>
      <c r="P363" s="15">
        <f t="shared" si="11"/>
        <v>41775</v>
      </c>
      <c r="Q363" s="15"/>
      <c r="R363" s="16"/>
      <c r="S363" s="16"/>
    </row>
    <row r="364" spans="1:19" x14ac:dyDescent="0.25">
      <c r="A364" s="23" t="s">
        <v>16</v>
      </c>
      <c r="B364" s="23" t="s">
        <v>17</v>
      </c>
      <c r="C364" s="23" t="s">
        <v>18</v>
      </c>
      <c r="D364" s="8">
        <v>2014</v>
      </c>
      <c r="E364" s="21" t="s">
        <v>293</v>
      </c>
      <c r="F364" s="22">
        <v>41775</v>
      </c>
      <c r="G364" s="8" t="s">
        <v>249</v>
      </c>
      <c r="H364" s="11" t="s">
        <v>378</v>
      </c>
      <c r="I364" s="12">
        <v>-165</v>
      </c>
      <c r="J364" s="13" t="s">
        <v>38</v>
      </c>
      <c r="K364" s="13" t="s">
        <v>155</v>
      </c>
      <c r="L364" s="13" t="s">
        <v>91</v>
      </c>
      <c r="M364" s="13"/>
      <c r="N364" s="31"/>
      <c r="O364" s="14">
        <f t="shared" si="10"/>
        <v>-165</v>
      </c>
      <c r="P364" s="15">
        <f t="shared" si="11"/>
        <v>41775</v>
      </c>
      <c r="Q364" s="15"/>
      <c r="R364" s="26"/>
      <c r="S364" s="26"/>
    </row>
    <row r="365" spans="1:19" x14ac:dyDescent="0.25">
      <c r="A365" s="23" t="s">
        <v>16</v>
      </c>
      <c r="B365" s="23" t="s">
        <v>17</v>
      </c>
      <c r="C365" s="23" t="s">
        <v>18</v>
      </c>
      <c r="D365" s="8">
        <v>2014</v>
      </c>
      <c r="E365" s="21" t="s">
        <v>293</v>
      </c>
      <c r="F365" s="22">
        <v>41775</v>
      </c>
      <c r="G365" s="8" t="s">
        <v>249</v>
      </c>
      <c r="H365" s="11" t="s">
        <v>347</v>
      </c>
      <c r="I365" s="12">
        <v>-94</v>
      </c>
      <c r="J365" s="13" t="s">
        <v>38</v>
      </c>
      <c r="K365" s="13" t="s">
        <v>155</v>
      </c>
      <c r="L365" s="13" t="s">
        <v>91</v>
      </c>
      <c r="M365" s="13"/>
      <c r="N365" s="31"/>
      <c r="O365" s="14">
        <f t="shared" si="10"/>
        <v>-94</v>
      </c>
      <c r="P365" s="15">
        <f t="shared" si="11"/>
        <v>41775</v>
      </c>
      <c r="Q365" s="15"/>
      <c r="R365" s="16"/>
      <c r="S365" s="26"/>
    </row>
    <row r="366" spans="1:19" x14ac:dyDescent="0.25">
      <c r="A366" s="23" t="s">
        <v>16</v>
      </c>
      <c r="B366" s="23" t="s">
        <v>17</v>
      </c>
      <c r="C366" s="23" t="s">
        <v>18</v>
      </c>
      <c r="D366" s="8">
        <v>2014</v>
      </c>
      <c r="E366" s="21" t="s">
        <v>293</v>
      </c>
      <c r="F366" s="22">
        <v>41775</v>
      </c>
      <c r="G366" s="8" t="s">
        <v>249</v>
      </c>
      <c r="H366" s="11" t="s">
        <v>348</v>
      </c>
      <c r="I366" s="12">
        <v>-94</v>
      </c>
      <c r="J366" s="13" t="s">
        <v>38</v>
      </c>
      <c r="K366" s="13" t="s">
        <v>155</v>
      </c>
      <c r="L366" s="13" t="s">
        <v>91</v>
      </c>
      <c r="M366" s="13"/>
      <c r="N366" s="31"/>
      <c r="O366" s="14">
        <f t="shared" si="10"/>
        <v>-94</v>
      </c>
      <c r="P366" s="15">
        <f t="shared" si="11"/>
        <v>41775</v>
      </c>
      <c r="Q366" s="15"/>
      <c r="R366" s="16"/>
      <c r="S366" s="26"/>
    </row>
    <row r="367" spans="1:19" x14ac:dyDescent="0.25">
      <c r="A367" s="23" t="s">
        <v>16</v>
      </c>
      <c r="B367" s="23" t="s">
        <v>17</v>
      </c>
      <c r="C367" s="23" t="s">
        <v>18</v>
      </c>
      <c r="D367" s="8">
        <v>2014</v>
      </c>
      <c r="E367" s="21" t="s">
        <v>293</v>
      </c>
      <c r="F367" s="22">
        <v>41775</v>
      </c>
      <c r="G367" s="8" t="s">
        <v>249</v>
      </c>
      <c r="H367" s="11" t="s">
        <v>328</v>
      </c>
      <c r="I367" s="12">
        <f>-799-100</f>
        <v>-899</v>
      </c>
      <c r="J367" s="13" t="s">
        <v>38</v>
      </c>
      <c r="K367" s="13" t="s">
        <v>155</v>
      </c>
      <c r="L367" s="13" t="s">
        <v>91</v>
      </c>
      <c r="M367" s="13"/>
      <c r="N367" s="31"/>
      <c r="O367" s="14">
        <f t="shared" si="10"/>
        <v>-899</v>
      </c>
      <c r="P367" s="15">
        <f t="shared" si="11"/>
        <v>41775</v>
      </c>
      <c r="Q367" s="15"/>
      <c r="R367" s="16"/>
      <c r="S367" s="16"/>
    </row>
    <row r="368" spans="1:19" x14ac:dyDescent="0.25">
      <c r="A368" s="23" t="s">
        <v>16</v>
      </c>
      <c r="B368" s="23" t="s">
        <v>17</v>
      </c>
      <c r="C368" s="23" t="s">
        <v>18</v>
      </c>
      <c r="D368" s="8">
        <v>2014</v>
      </c>
      <c r="E368" s="21" t="s">
        <v>293</v>
      </c>
      <c r="F368" s="22">
        <v>41775</v>
      </c>
      <c r="G368" s="23"/>
      <c r="H368" s="11" t="s">
        <v>379</v>
      </c>
      <c r="I368" s="12">
        <v>-47</v>
      </c>
      <c r="J368" s="13" t="s">
        <v>38</v>
      </c>
      <c r="K368" s="13" t="s">
        <v>155</v>
      </c>
      <c r="L368" s="13" t="s">
        <v>91</v>
      </c>
      <c r="M368" s="13"/>
      <c r="N368" s="31"/>
      <c r="O368" s="14">
        <f t="shared" si="10"/>
        <v>-47</v>
      </c>
      <c r="P368" s="15">
        <f t="shared" si="11"/>
        <v>41775</v>
      </c>
      <c r="Q368" s="15"/>
      <c r="R368" s="16"/>
      <c r="S368" s="16"/>
    </row>
    <row r="369" spans="1:19" x14ac:dyDescent="0.25">
      <c r="A369" s="23" t="s">
        <v>16</v>
      </c>
      <c r="B369" s="23" t="s">
        <v>17</v>
      </c>
      <c r="C369" s="23" t="s">
        <v>18</v>
      </c>
      <c r="D369" s="8">
        <v>2014</v>
      </c>
      <c r="E369" s="21" t="s">
        <v>293</v>
      </c>
      <c r="F369" s="22">
        <v>41775</v>
      </c>
      <c r="G369" s="8" t="s">
        <v>249</v>
      </c>
      <c r="H369" s="11" t="s">
        <v>350</v>
      </c>
      <c r="I369" s="12">
        <v>-118</v>
      </c>
      <c r="J369" s="13" t="s">
        <v>38</v>
      </c>
      <c r="K369" s="13" t="s">
        <v>155</v>
      </c>
      <c r="L369" s="13" t="s">
        <v>91</v>
      </c>
      <c r="M369" s="13"/>
      <c r="N369" s="31"/>
      <c r="O369" s="14">
        <f t="shared" si="10"/>
        <v>-118</v>
      </c>
      <c r="P369" s="15">
        <f t="shared" si="11"/>
        <v>41775</v>
      </c>
      <c r="Q369" s="15"/>
      <c r="R369" s="16"/>
      <c r="S369" s="16"/>
    </row>
    <row r="370" spans="1:19" x14ac:dyDescent="0.25">
      <c r="A370" s="23" t="s">
        <v>16</v>
      </c>
      <c r="B370" s="23" t="s">
        <v>17</v>
      </c>
      <c r="C370" s="23" t="s">
        <v>18</v>
      </c>
      <c r="D370" s="8">
        <v>2014</v>
      </c>
      <c r="E370" s="21" t="s">
        <v>293</v>
      </c>
      <c r="F370" s="22">
        <v>41775</v>
      </c>
      <c r="G370" s="23" t="s">
        <v>249</v>
      </c>
      <c r="H370" s="13" t="s">
        <v>270</v>
      </c>
      <c r="I370" s="12">
        <v>-256</v>
      </c>
      <c r="J370" s="13" t="s">
        <v>38</v>
      </c>
      <c r="K370" s="13" t="s">
        <v>90</v>
      </c>
      <c r="L370" s="13" t="s">
        <v>91</v>
      </c>
      <c r="M370" s="13"/>
      <c r="N370" s="31"/>
      <c r="O370" s="14">
        <f t="shared" si="10"/>
        <v>-256</v>
      </c>
      <c r="P370" s="15">
        <f t="shared" si="11"/>
        <v>41775</v>
      </c>
      <c r="Q370" s="15"/>
      <c r="R370" s="16"/>
      <c r="S370" s="16"/>
    </row>
    <row r="371" spans="1:19" x14ac:dyDescent="0.25">
      <c r="A371" s="23" t="s">
        <v>16</v>
      </c>
      <c r="B371" s="23" t="s">
        <v>17</v>
      </c>
      <c r="C371" s="23" t="s">
        <v>18</v>
      </c>
      <c r="D371" s="8">
        <v>2014</v>
      </c>
      <c r="E371" s="21" t="s">
        <v>293</v>
      </c>
      <c r="F371" s="22">
        <v>41775</v>
      </c>
      <c r="G371" s="8"/>
      <c r="H371" s="11" t="s">
        <v>380</v>
      </c>
      <c r="I371" s="12">
        <f>-10-298.9-119-108-80</f>
        <v>-615.9</v>
      </c>
      <c r="J371" s="13" t="s">
        <v>21</v>
      </c>
      <c r="K371" s="13" t="s">
        <v>63</v>
      </c>
      <c r="L371" s="13" t="s">
        <v>64</v>
      </c>
      <c r="M371" s="13"/>
      <c r="N371" s="14"/>
      <c r="O371" s="14">
        <f t="shared" si="10"/>
        <v>-615.9</v>
      </c>
      <c r="P371" s="15">
        <f t="shared" si="11"/>
        <v>41775</v>
      </c>
      <c r="Q371" s="15"/>
      <c r="R371" s="26"/>
      <c r="S371" s="26"/>
    </row>
    <row r="372" spans="1:19" x14ac:dyDescent="0.25">
      <c r="A372" s="23" t="s">
        <v>16</v>
      </c>
      <c r="B372" s="23" t="s">
        <v>17</v>
      </c>
      <c r="C372" s="23" t="s">
        <v>18</v>
      </c>
      <c r="D372" s="8">
        <v>2014</v>
      </c>
      <c r="E372" s="21" t="s">
        <v>293</v>
      </c>
      <c r="F372" s="22">
        <v>41775</v>
      </c>
      <c r="G372" s="23"/>
      <c r="H372" s="13" t="s">
        <v>298</v>
      </c>
      <c r="I372" s="12">
        <v>-545</v>
      </c>
      <c r="J372" s="13" t="s">
        <v>33</v>
      </c>
      <c r="K372" s="13" t="s">
        <v>34</v>
      </c>
      <c r="L372" s="13" t="s">
        <v>35</v>
      </c>
      <c r="M372" s="13" t="s">
        <v>226</v>
      </c>
      <c r="N372" s="14"/>
      <c r="O372" s="14">
        <f t="shared" si="10"/>
        <v>-545</v>
      </c>
      <c r="P372" s="15">
        <f t="shared" si="11"/>
        <v>41775</v>
      </c>
      <c r="Q372" s="15"/>
      <c r="R372" s="24"/>
      <c r="S372" s="26"/>
    </row>
    <row r="373" spans="1:19" x14ac:dyDescent="0.25">
      <c r="A373" s="23" t="s">
        <v>16</v>
      </c>
      <c r="B373" s="23" t="s">
        <v>17</v>
      </c>
      <c r="C373" s="23" t="s">
        <v>18</v>
      </c>
      <c r="D373" s="8">
        <v>2014</v>
      </c>
      <c r="E373" s="21" t="s">
        <v>293</v>
      </c>
      <c r="F373" s="22">
        <v>41775</v>
      </c>
      <c r="G373" s="8"/>
      <c r="H373" s="11" t="s">
        <v>381</v>
      </c>
      <c r="I373" s="12">
        <f>-99*10</f>
        <v>-990</v>
      </c>
      <c r="J373" s="13" t="s">
        <v>21</v>
      </c>
      <c r="K373" s="13" t="s">
        <v>143</v>
      </c>
      <c r="L373" s="13" t="s">
        <v>382</v>
      </c>
      <c r="M373" s="13" t="s">
        <v>145</v>
      </c>
      <c r="N373" s="14"/>
      <c r="O373" s="14">
        <f t="shared" si="10"/>
        <v>-990</v>
      </c>
      <c r="P373" s="15">
        <f t="shared" si="11"/>
        <v>41775</v>
      </c>
      <c r="Q373" s="15"/>
      <c r="R373" s="26"/>
      <c r="S373" s="26"/>
    </row>
    <row r="374" spans="1:19" x14ac:dyDescent="0.25">
      <c r="A374" s="23" t="s">
        <v>16</v>
      </c>
      <c r="B374" s="23" t="s">
        <v>17</v>
      </c>
      <c r="C374" s="23" t="s">
        <v>18</v>
      </c>
      <c r="D374" s="8">
        <v>2014</v>
      </c>
      <c r="E374" s="21" t="s">
        <v>293</v>
      </c>
      <c r="F374" s="22">
        <v>41775</v>
      </c>
      <c r="G374" s="23"/>
      <c r="H374" s="13" t="s">
        <v>300</v>
      </c>
      <c r="I374" s="12">
        <f>-34-49.5</f>
        <v>-83.5</v>
      </c>
      <c r="J374" s="13" t="s">
        <v>21</v>
      </c>
      <c r="K374" s="13" t="s">
        <v>22</v>
      </c>
      <c r="L374" s="13" t="s">
        <v>71</v>
      </c>
      <c r="M374" s="13"/>
      <c r="N374" s="14"/>
      <c r="O374" s="14">
        <f t="shared" si="10"/>
        <v>-83.5</v>
      </c>
      <c r="P374" s="15">
        <f t="shared" si="11"/>
        <v>41775</v>
      </c>
      <c r="Q374" s="15"/>
      <c r="R374" s="16"/>
      <c r="S374" s="16"/>
    </row>
    <row r="375" spans="1:19" x14ac:dyDescent="0.25">
      <c r="A375" s="8" t="s">
        <v>16</v>
      </c>
      <c r="B375" s="8" t="s">
        <v>17</v>
      </c>
      <c r="C375" s="36" t="s">
        <v>18</v>
      </c>
      <c r="D375" s="8">
        <v>2014</v>
      </c>
      <c r="E375" s="21" t="s">
        <v>293</v>
      </c>
      <c r="F375" s="22">
        <v>41775</v>
      </c>
      <c r="G375" s="8"/>
      <c r="H375" s="11" t="s">
        <v>383</v>
      </c>
      <c r="I375" s="12">
        <v>-50</v>
      </c>
      <c r="J375" s="13" t="s">
        <v>21</v>
      </c>
      <c r="K375" s="13" t="s">
        <v>56</v>
      </c>
      <c r="L375" s="13" t="s">
        <v>111</v>
      </c>
      <c r="M375" s="13" t="s">
        <v>28</v>
      </c>
      <c r="N375" s="14"/>
      <c r="O375" s="14">
        <f t="shared" si="10"/>
        <v>-50</v>
      </c>
      <c r="P375" s="15">
        <f t="shared" si="11"/>
        <v>41775</v>
      </c>
      <c r="Q375" s="15"/>
      <c r="R375" s="16"/>
      <c r="S375" s="16"/>
    </row>
    <row r="376" spans="1:19" x14ac:dyDescent="0.25">
      <c r="A376" s="8" t="s">
        <v>16</v>
      </c>
      <c r="B376" s="8" t="s">
        <v>17</v>
      </c>
      <c r="C376" s="8" t="s">
        <v>18</v>
      </c>
      <c r="D376" s="8">
        <v>2014</v>
      </c>
      <c r="E376" s="21" t="s">
        <v>293</v>
      </c>
      <c r="F376" s="22">
        <v>41775</v>
      </c>
      <c r="G376" s="8"/>
      <c r="H376" s="17" t="s">
        <v>384</v>
      </c>
      <c r="I376" s="12">
        <v>-400</v>
      </c>
      <c r="J376" s="13" t="s">
        <v>33</v>
      </c>
      <c r="K376" s="13" t="s">
        <v>123</v>
      </c>
      <c r="L376" s="13" t="s">
        <v>385</v>
      </c>
      <c r="M376" s="13"/>
      <c r="N376" s="14"/>
      <c r="O376" s="14">
        <f t="shared" si="10"/>
        <v>-400</v>
      </c>
      <c r="P376" s="15">
        <f t="shared" si="11"/>
        <v>41775</v>
      </c>
      <c r="Q376" s="15"/>
      <c r="R376" s="26"/>
      <c r="S376" s="26"/>
    </row>
    <row r="377" spans="1:19" x14ac:dyDescent="0.25">
      <c r="A377" s="8" t="s">
        <v>16</v>
      </c>
      <c r="B377" s="8" t="s">
        <v>17</v>
      </c>
      <c r="C377" s="8" t="s">
        <v>18</v>
      </c>
      <c r="D377" s="8">
        <v>2014</v>
      </c>
      <c r="E377" s="21" t="s">
        <v>293</v>
      </c>
      <c r="F377" s="22">
        <v>41775</v>
      </c>
      <c r="G377" s="23"/>
      <c r="H377" s="11" t="s">
        <v>269</v>
      </c>
      <c r="I377" s="12">
        <v>-600</v>
      </c>
      <c r="J377" s="53" t="s">
        <v>21</v>
      </c>
      <c r="K377" s="53" t="s">
        <v>56</v>
      </c>
      <c r="L377" s="53" t="s">
        <v>57</v>
      </c>
      <c r="M377" s="13" t="s">
        <v>386</v>
      </c>
      <c r="N377" s="31"/>
      <c r="O377" s="14">
        <f t="shared" si="10"/>
        <v>-600</v>
      </c>
      <c r="P377" s="15">
        <f t="shared" si="11"/>
        <v>41775</v>
      </c>
      <c r="Q377" s="15"/>
      <c r="R377" s="16"/>
      <c r="S377" s="16"/>
    </row>
    <row r="378" spans="1:19" x14ac:dyDescent="0.25">
      <c r="A378" s="23" t="s">
        <v>16</v>
      </c>
      <c r="B378" s="23" t="s">
        <v>17</v>
      </c>
      <c r="C378" s="23" t="s">
        <v>18</v>
      </c>
      <c r="D378" s="8">
        <v>2014</v>
      </c>
      <c r="E378" s="21" t="s">
        <v>293</v>
      </c>
      <c r="F378" s="22">
        <v>41775</v>
      </c>
      <c r="G378" s="23" t="s">
        <v>249</v>
      </c>
      <c r="H378" s="13" t="s">
        <v>387</v>
      </c>
      <c r="I378" s="12">
        <v>-200</v>
      </c>
      <c r="J378" s="13" t="s">
        <v>38</v>
      </c>
      <c r="K378" s="13" t="s">
        <v>90</v>
      </c>
      <c r="L378" s="13" t="s">
        <v>91</v>
      </c>
      <c r="M378" s="13"/>
      <c r="N378" s="31"/>
      <c r="O378" s="14">
        <f t="shared" si="10"/>
        <v>-200</v>
      </c>
      <c r="P378" s="15">
        <f t="shared" si="11"/>
        <v>41775</v>
      </c>
      <c r="Q378" s="15"/>
      <c r="R378" s="24"/>
      <c r="S378" s="26"/>
    </row>
    <row r="379" spans="1:19" x14ac:dyDescent="0.25">
      <c r="A379" s="23" t="s">
        <v>16</v>
      </c>
      <c r="B379" s="23" t="s">
        <v>17</v>
      </c>
      <c r="C379" s="23" t="s">
        <v>18</v>
      </c>
      <c r="D379" s="8">
        <v>2014</v>
      </c>
      <c r="E379" s="21" t="s">
        <v>293</v>
      </c>
      <c r="F379" s="22">
        <v>41775</v>
      </c>
      <c r="G379" s="23" t="s">
        <v>249</v>
      </c>
      <c r="H379" s="13" t="s">
        <v>388</v>
      </c>
      <c r="I379" s="12">
        <v>-400</v>
      </c>
      <c r="J379" s="13" t="s">
        <v>38</v>
      </c>
      <c r="K379" s="13" t="s">
        <v>90</v>
      </c>
      <c r="L379" s="13" t="s">
        <v>91</v>
      </c>
      <c r="M379" s="13"/>
      <c r="N379" s="31"/>
      <c r="O379" s="14">
        <f t="shared" si="10"/>
        <v>-400</v>
      </c>
      <c r="P379" s="15">
        <f t="shared" si="11"/>
        <v>41775</v>
      </c>
      <c r="Q379" s="15"/>
      <c r="R379" s="24"/>
      <c r="S379" s="26"/>
    </row>
    <row r="380" spans="1:19" x14ac:dyDescent="0.25">
      <c r="A380" s="8" t="s">
        <v>16</v>
      </c>
      <c r="B380" s="8" t="s">
        <v>17</v>
      </c>
      <c r="C380" s="8" t="s">
        <v>46</v>
      </c>
      <c r="D380" s="8">
        <v>2014</v>
      </c>
      <c r="E380" s="21" t="s">
        <v>293</v>
      </c>
      <c r="F380" s="22">
        <v>41775</v>
      </c>
      <c r="G380" s="8"/>
      <c r="H380" s="17" t="s">
        <v>366</v>
      </c>
      <c r="I380" s="12">
        <v>-20000</v>
      </c>
      <c r="J380" s="13" t="s">
        <v>48</v>
      </c>
      <c r="K380" s="13" t="s">
        <v>49</v>
      </c>
      <c r="L380" s="13" t="s">
        <v>50</v>
      </c>
      <c r="M380" s="13"/>
      <c r="N380" s="14"/>
      <c r="O380" s="14">
        <f t="shared" si="10"/>
        <v>-20000</v>
      </c>
      <c r="P380" s="15">
        <f t="shared" si="11"/>
        <v>41775</v>
      </c>
      <c r="Q380" s="15"/>
      <c r="R380" s="16"/>
      <c r="S380" s="16"/>
    </row>
    <row r="381" spans="1:19" x14ac:dyDescent="0.25">
      <c r="A381" s="23" t="s">
        <v>16</v>
      </c>
      <c r="B381" s="23" t="s">
        <v>17</v>
      </c>
      <c r="C381" s="23" t="s">
        <v>51</v>
      </c>
      <c r="D381" s="8">
        <v>2014</v>
      </c>
      <c r="E381" s="21" t="s">
        <v>293</v>
      </c>
      <c r="F381" s="10">
        <v>41776</v>
      </c>
      <c r="G381" s="8">
        <v>11732</v>
      </c>
      <c r="H381" s="11" t="s">
        <v>389</v>
      </c>
      <c r="I381" s="12">
        <v>230</v>
      </c>
      <c r="J381" s="13" t="s">
        <v>53</v>
      </c>
      <c r="K381" s="13" t="s">
        <v>54</v>
      </c>
      <c r="L381" s="13"/>
      <c r="M381" s="13"/>
      <c r="N381" s="31"/>
      <c r="O381" s="14">
        <f t="shared" si="10"/>
        <v>230</v>
      </c>
      <c r="P381" s="15">
        <f t="shared" si="11"/>
        <v>41776</v>
      </c>
      <c r="Q381" s="15"/>
      <c r="R381" s="24"/>
      <c r="S381" s="26"/>
    </row>
    <row r="382" spans="1:19" x14ac:dyDescent="0.25">
      <c r="A382" s="23" t="s">
        <v>16</v>
      </c>
      <c r="B382" s="23" t="s">
        <v>17</v>
      </c>
      <c r="C382" s="23" t="s">
        <v>51</v>
      </c>
      <c r="D382" s="8">
        <v>2014</v>
      </c>
      <c r="E382" s="21" t="s">
        <v>293</v>
      </c>
      <c r="F382" s="10">
        <v>41776</v>
      </c>
      <c r="G382" s="8">
        <v>11631</v>
      </c>
      <c r="H382" s="11" t="s">
        <v>390</v>
      </c>
      <c r="I382" s="12">
        <v>7790</v>
      </c>
      <c r="J382" s="13" t="s">
        <v>53</v>
      </c>
      <c r="K382" s="13" t="s">
        <v>54</v>
      </c>
      <c r="L382" s="13"/>
      <c r="M382" s="13"/>
      <c r="N382" s="31"/>
      <c r="O382" s="14">
        <f t="shared" si="10"/>
        <v>7790</v>
      </c>
      <c r="P382" s="15">
        <f t="shared" si="11"/>
        <v>41776</v>
      </c>
      <c r="Q382" s="15"/>
      <c r="R382" s="16"/>
      <c r="S382" s="16"/>
    </row>
    <row r="383" spans="1:19" x14ac:dyDescent="0.25">
      <c r="A383" s="23" t="s">
        <v>16</v>
      </c>
      <c r="B383" s="23" t="s">
        <v>17</v>
      </c>
      <c r="C383" s="23" t="s">
        <v>51</v>
      </c>
      <c r="D383" s="8">
        <v>2014</v>
      </c>
      <c r="E383" s="21" t="s">
        <v>293</v>
      </c>
      <c r="F383" s="10">
        <v>41776</v>
      </c>
      <c r="G383" s="8">
        <v>11734</v>
      </c>
      <c r="H383" s="11" t="s">
        <v>391</v>
      </c>
      <c r="I383" s="12">
        <v>200</v>
      </c>
      <c r="J383" s="13" t="s">
        <v>53</v>
      </c>
      <c r="K383" s="13" t="s">
        <v>54</v>
      </c>
      <c r="L383" s="13"/>
      <c r="M383" s="13"/>
      <c r="N383" s="31"/>
      <c r="O383" s="14">
        <f t="shared" si="10"/>
        <v>200</v>
      </c>
      <c r="P383" s="15">
        <f t="shared" si="11"/>
        <v>41776</v>
      </c>
      <c r="Q383" s="15"/>
      <c r="R383" s="16"/>
      <c r="S383" s="16"/>
    </row>
    <row r="384" spans="1:19" x14ac:dyDescent="0.25">
      <c r="A384" s="23" t="s">
        <v>16</v>
      </c>
      <c r="B384" s="23" t="s">
        <v>17</v>
      </c>
      <c r="C384" s="23" t="s">
        <v>51</v>
      </c>
      <c r="D384" s="8">
        <v>2014</v>
      </c>
      <c r="E384" s="21" t="s">
        <v>293</v>
      </c>
      <c r="F384" s="10">
        <v>41776</v>
      </c>
      <c r="G384" s="8">
        <v>11729</v>
      </c>
      <c r="H384" s="11" t="s">
        <v>392</v>
      </c>
      <c r="I384" s="12">
        <v>4000</v>
      </c>
      <c r="J384" s="13" t="s">
        <v>53</v>
      </c>
      <c r="K384" s="13" t="s">
        <v>54</v>
      </c>
      <c r="L384" s="13"/>
      <c r="M384" s="13"/>
      <c r="N384" s="31"/>
      <c r="O384" s="14">
        <f t="shared" si="10"/>
        <v>4000</v>
      </c>
      <c r="P384" s="15">
        <f t="shared" si="11"/>
        <v>41776</v>
      </c>
      <c r="Q384" s="15"/>
      <c r="R384" s="16"/>
      <c r="S384" s="16"/>
    </row>
    <row r="385" spans="1:19" x14ac:dyDescent="0.25">
      <c r="A385" s="23" t="s">
        <v>16</v>
      </c>
      <c r="B385" s="23" t="s">
        <v>17</v>
      </c>
      <c r="C385" s="23" t="s">
        <v>51</v>
      </c>
      <c r="D385" s="8">
        <v>2014</v>
      </c>
      <c r="E385" s="21" t="s">
        <v>293</v>
      </c>
      <c r="F385" s="10">
        <v>41776</v>
      </c>
      <c r="G385" s="8">
        <v>11731</v>
      </c>
      <c r="H385" s="11" t="s">
        <v>393</v>
      </c>
      <c r="I385" s="12">
        <v>4000</v>
      </c>
      <c r="J385" s="13" t="s">
        <v>53</v>
      </c>
      <c r="K385" s="13" t="s">
        <v>54</v>
      </c>
      <c r="L385" s="13"/>
      <c r="M385" s="13"/>
      <c r="N385" s="31"/>
      <c r="O385" s="14">
        <f t="shared" si="10"/>
        <v>4000</v>
      </c>
      <c r="P385" s="15">
        <f t="shared" si="11"/>
        <v>41776</v>
      </c>
      <c r="Q385" s="15"/>
      <c r="R385" s="16"/>
      <c r="S385" s="16"/>
    </row>
    <row r="386" spans="1:19" x14ac:dyDescent="0.25">
      <c r="A386" s="23" t="s">
        <v>16</v>
      </c>
      <c r="B386" s="23" t="s">
        <v>17</v>
      </c>
      <c r="C386" s="23" t="s">
        <v>51</v>
      </c>
      <c r="D386" s="8">
        <v>2014</v>
      </c>
      <c r="E386" s="21" t="s">
        <v>293</v>
      </c>
      <c r="F386" s="10">
        <v>41776</v>
      </c>
      <c r="G386" s="8">
        <v>11730</v>
      </c>
      <c r="H386" s="11" t="s">
        <v>394</v>
      </c>
      <c r="I386" s="12">
        <v>200</v>
      </c>
      <c r="J386" s="13" t="s">
        <v>53</v>
      </c>
      <c r="K386" s="13" t="s">
        <v>54</v>
      </c>
      <c r="L386" s="13"/>
      <c r="M386" s="13"/>
      <c r="N386" s="31"/>
      <c r="O386" s="14">
        <f t="shared" ref="O386:O449" si="12">IF(B386="$",I386,I386/N386)</f>
        <v>200</v>
      </c>
      <c r="P386" s="15">
        <f t="shared" si="11"/>
        <v>41776</v>
      </c>
      <c r="Q386" s="15"/>
      <c r="R386" s="16"/>
      <c r="S386" s="16"/>
    </row>
    <row r="387" spans="1:19" x14ac:dyDescent="0.25">
      <c r="A387" s="23" t="s">
        <v>16</v>
      </c>
      <c r="B387" s="23" t="s">
        <v>17</v>
      </c>
      <c r="C387" s="23" t="s">
        <v>51</v>
      </c>
      <c r="D387" s="8">
        <v>2014</v>
      </c>
      <c r="E387" s="21" t="s">
        <v>293</v>
      </c>
      <c r="F387" s="10">
        <v>41776</v>
      </c>
      <c r="G387" s="8">
        <v>11723</v>
      </c>
      <c r="H387" s="11" t="s">
        <v>360</v>
      </c>
      <c r="I387" s="12">
        <v>1000</v>
      </c>
      <c r="J387" s="13" t="s">
        <v>53</v>
      </c>
      <c r="K387" s="13" t="s">
        <v>54</v>
      </c>
      <c r="L387" s="13"/>
      <c r="M387" s="13"/>
      <c r="N387" s="31"/>
      <c r="O387" s="14">
        <f t="shared" si="12"/>
        <v>1000</v>
      </c>
      <c r="P387" s="15">
        <f t="shared" si="11"/>
        <v>41776</v>
      </c>
      <c r="Q387" s="15"/>
      <c r="R387" s="16"/>
      <c r="S387" s="16"/>
    </row>
    <row r="388" spans="1:19" x14ac:dyDescent="0.25">
      <c r="A388" s="23" t="s">
        <v>16</v>
      </c>
      <c r="B388" s="23" t="s">
        <v>17</v>
      </c>
      <c r="C388" s="23" t="s">
        <v>51</v>
      </c>
      <c r="D388" s="8">
        <v>2014</v>
      </c>
      <c r="E388" s="21" t="s">
        <v>293</v>
      </c>
      <c r="F388" s="10">
        <v>41777</v>
      </c>
      <c r="G388" s="8">
        <v>11645</v>
      </c>
      <c r="H388" s="11" t="s">
        <v>165</v>
      </c>
      <c r="I388" s="12">
        <v>2900</v>
      </c>
      <c r="J388" s="13" t="s">
        <v>53</v>
      </c>
      <c r="K388" s="13" t="s">
        <v>54</v>
      </c>
      <c r="L388" s="13"/>
      <c r="M388" s="13"/>
      <c r="N388" s="31"/>
      <c r="O388" s="14">
        <f t="shared" si="12"/>
        <v>2900</v>
      </c>
      <c r="P388" s="15">
        <f t="shared" si="11"/>
        <v>41777</v>
      </c>
      <c r="Q388" s="15"/>
      <c r="R388" s="16"/>
      <c r="S388" s="16"/>
    </row>
    <row r="389" spans="1:19" x14ac:dyDescent="0.25">
      <c r="A389" s="23" t="s">
        <v>16</v>
      </c>
      <c r="B389" s="23" t="s">
        <v>17</v>
      </c>
      <c r="C389" s="23" t="s">
        <v>51</v>
      </c>
      <c r="D389" s="8">
        <v>2014</v>
      </c>
      <c r="E389" s="21" t="s">
        <v>293</v>
      </c>
      <c r="F389" s="10">
        <v>41777</v>
      </c>
      <c r="G389" s="8" t="s">
        <v>395</v>
      </c>
      <c r="H389" s="11" t="s">
        <v>396</v>
      </c>
      <c r="I389" s="12">
        <v>100</v>
      </c>
      <c r="J389" s="13" t="s">
        <v>53</v>
      </c>
      <c r="K389" s="13" t="s">
        <v>54</v>
      </c>
      <c r="L389" s="13"/>
      <c r="M389" s="13"/>
      <c r="N389" s="31"/>
      <c r="O389" s="14">
        <f t="shared" si="12"/>
        <v>100</v>
      </c>
      <c r="P389" s="15">
        <f t="shared" ref="P389:P452" si="13">F389</f>
        <v>41777</v>
      </c>
      <c r="Q389" s="15"/>
      <c r="R389" s="35"/>
      <c r="S389" s="16"/>
    </row>
    <row r="390" spans="1:19" x14ac:dyDescent="0.25">
      <c r="A390" s="23" t="s">
        <v>16</v>
      </c>
      <c r="B390" s="23" t="s">
        <v>17</v>
      </c>
      <c r="C390" s="23" t="s">
        <v>51</v>
      </c>
      <c r="D390" s="8">
        <v>2014</v>
      </c>
      <c r="E390" s="21" t="s">
        <v>293</v>
      </c>
      <c r="F390" s="10">
        <v>41777</v>
      </c>
      <c r="G390" s="8">
        <v>11737</v>
      </c>
      <c r="H390" s="11" t="s">
        <v>397</v>
      </c>
      <c r="I390" s="12">
        <v>300</v>
      </c>
      <c r="J390" s="13" t="s">
        <v>53</v>
      </c>
      <c r="K390" s="13" t="s">
        <v>54</v>
      </c>
      <c r="L390" s="13"/>
      <c r="M390" s="13"/>
      <c r="N390" s="31"/>
      <c r="O390" s="14">
        <f t="shared" si="12"/>
        <v>300</v>
      </c>
      <c r="P390" s="15">
        <f t="shared" si="13"/>
        <v>41777</v>
      </c>
      <c r="Q390" s="15"/>
      <c r="R390" s="16"/>
      <c r="S390" s="16"/>
    </row>
    <row r="391" spans="1:19" x14ac:dyDescent="0.25">
      <c r="A391" s="23" t="s">
        <v>16</v>
      </c>
      <c r="B391" s="23" t="s">
        <v>17</v>
      </c>
      <c r="C391" s="23" t="s">
        <v>51</v>
      </c>
      <c r="D391" s="8">
        <v>2014</v>
      </c>
      <c r="E391" s="21" t="s">
        <v>293</v>
      </c>
      <c r="F391" s="10">
        <v>41777</v>
      </c>
      <c r="G391" s="8">
        <v>11195</v>
      </c>
      <c r="H391" s="11" t="s">
        <v>398</v>
      </c>
      <c r="I391" s="12">
        <v>5000</v>
      </c>
      <c r="J391" s="13" t="s">
        <v>53</v>
      </c>
      <c r="K391" s="13" t="s">
        <v>54</v>
      </c>
      <c r="L391" s="13"/>
      <c r="M391" s="13"/>
      <c r="N391" s="31"/>
      <c r="O391" s="14">
        <f t="shared" si="12"/>
        <v>5000</v>
      </c>
      <c r="P391" s="15">
        <f t="shared" si="13"/>
        <v>41777</v>
      </c>
      <c r="Q391" s="15"/>
      <c r="R391" s="16"/>
      <c r="S391" s="16"/>
    </row>
    <row r="392" spans="1:19" x14ac:dyDescent="0.25">
      <c r="A392" s="23" t="s">
        <v>16</v>
      </c>
      <c r="B392" s="23" t="s">
        <v>17</v>
      </c>
      <c r="C392" s="23" t="s">
        <v>18</v>
      </c>
      <c r="D392" s="8">
        <v>2014</v>
      </c>
      <c r="E392" s="21" t="s">
        <v>293</v>
      </c>
      <c r="F392" s="22">
        <v>41778</v>
      </c>
      <c r="G392" s="8"/>
      <c r="H392" s="11" t="s">
        <v>399</v>
      </c>
      <c r="I392" s="12">
        <f>-31.9-36.3-150-90</f>
        <v>-308.2</v>
      </c>
      <c r="J392" s="13" t="s">
        <v>21</v>
      </c>
      <c r="K392" s="13" t="s">
        <v>56</v>
      </c>
      <c r="L392" s="13" t="s">
        <v>111</v>
      </c>
      <c r="M392" s="13" t="s">
        <v>28</v>
      </c>
      <c r="N392" s="31"/>
      <c r="O392" s="14">
        <f t="shared" si="12"/>
        <v>-308.2</v>
      </c>
      <c r="P392" s="15">
        <f t="shared" si="13"/>
        <v>41778</v>
      </c>
      <c r="Q392" s="15"/>
      <c r="R392" s="16"/>
      <c r="S392" s="16"/>
    </row>
    <row r="393" spans="1:19" x14ac:dyDescent="0.25">
      <c r="A393" s="23" t="s">
        <v>16</v>
      </c>
      <c r="B393" s="23" t="s">
        <v>17</v>
      </c>
      <c r="C393" s="23" t="s">
        <v>18</v>
      </c>
      <c r="D393" s="8">
        <v>2014</v>
      </c>
      <c r="E393" s="21" t="s">
        <v>293</v>
      </c>
      <c r="F393" s="22">
        <v>41778</v>
      </c>
      <c r="G393" s="23"/>
      <c r="H393" s="13" t="s">
        <v>400</v>
      </c>
      <c r="I393" s="12">
        <v>-3255.15</v>
      </c>
      <c r="J393" s="13" t="s">
        <v>21</v>
      </c>
      <c r="K393" s="13" t="s">
        <v>143</v>
      </c>
      <c r="L393" s="13" t="s">
        <v>205</v>
      </c>
      <c r="M393" s="13" t="s">
        <v>145</v>
      </c>
      <c r="N393" s="31"/>
      <c r="O393" s="14">
        <f t="shared" si="12"/>
        <v>-3255.15</v>
      </c>
      <c r="P393" s="15">
        <f t="shared" si="13"/>
        <v>41778</v>
      </c>
      <c r="Q393" s="15"/>
      <c r="R393" s="26"/>
      <c r="S393" s="26"/>
    </row>
    <row r="394" spans="1:19" x14ac:dyDescent="0.25">
      <c r="A394" s="8" t="s">
        <v>16</v>
      </c>
      <c r="B394" s="8" t="s">
        <v>17</v>
      </c>
      <c r="C394" s="36" t="s">
        <v>46</v>
      </c>
      <c r="D394" s="8">
        <v>2014</v>
      </c>
      <c r="E394" s="21" t="s">
        <v>293</v>
      </c>
      <c r="F394" s="22">
        <v>41778</v>
      </c>
      <c r="G394" s="8"/>
      <c r="H394" s="17" t="s">
        <v>47</v>
      </c>
      <c r="I394" s="12">
        <v>-10000</v>
      </c>
      <c r="J394" s="13" t="s">
        <v>48</v>
      </c>
      <c r="K394" s="13" t="s">
        <v>49</v>
      </c>
      <c r="L394" s="13" t="s">
        <v>50</v>
      </c>
      <c r="M394" s="13"/>
      <c r="N394" s="14"/>
      <c r="O394" s="14">
        <f t="shared" si="12"/>
        <v>-10000</v>
      </c>
      <c r="P394" s="15">
        <f t="shared" si="13"/>
        <v>41778</v>
      </c>
      <c r="Q394" s="15"/>
      <c r="R394" s="26"/>
      <c r="S394" s="26"/>
    </row>
    <row r="395" spans="1:19" x14ac:dyDescent="0.25">
      <c r="A395" s="23" t="s">
        <v>16</v>
      </c>
      <c r="B395" s="23" t="s">
        <v>17</v>
      </c>
      <c r="C395" s="23" t="s">
        <v>18</v>
      </c>
      <c r="D395" s="8">
        <v>2014</v>
      </c>
      <c r="E395" s="21" t="s">
        <v>293</v>
      </c>
      <c r="F395" s="22">
        <v>41778</v>
      </c>
      <c r="G395" s="23"/>
      <c r="H395" s="13" t="s">
        <v>401</v>
      </c>
      <c r="I395" s="29">
        <v>-600</v>
      </c>
      <c r="J395" s="13" t="s">
        <v>33</v>
      </c>
      <c r="K395" s="13" t="s">
        <v>34</v>
      </c>
      <c r="L395" s="13" t="s">
        <v>35</v>
      </c>
      <c r="M395" s="13" t="s">
        <v>226</v>
      </c>
      <c r="N395" s="14"/>
      <c r="O395" s="14">
        <f t="shared" si="12"/>
        <v>-600</v>
      </c>
      <c r="P395" s="15">
        <f t="shared" si="13"/>
        <v>41778</v>
      </c>
      <c r="Q395" s="15"/>
      <c r="R395" s="26"/>
      <c r="S395" s="26"/>
    </row>
    <row r="396" spans="1:19" x14ac:dyDescent="0.25">
      <c r="A396" s="23" t="s">
        <v>16</v>
      </c>
      <c r="B396" s="23" t="s">
        <v>17</v>
      </c>
      <c r="C396" s="23" t="s">
        <v>18</v>
      </c>
      <c r="D396" s="8">
        <v>2014</v>
      </c>
      <c r="E396" s="21" t="s">
        <v>293</v>
      </c>
      <c r="F396" s="22">
        <v>41778</v>
      </c>
      <c r="G396" s="23"/>
      <c r="H396" s="13" t="s">
        <v>402</v>
      </c>
      <c r="I396" s="29">
        <v>-300</v>
      </c>
      <c r="J396" s="13" t="s">
        <v>33</v>
      </c>
      <c r="K396" s="13" t="s">
        <v>34</v>
      </c>
      <c r="L396" s="13" t="s">
        <v>35</v>
      </c>
      <c r="M396" s="13" t="s">
        <v>226</v>
      </c>
      <c r="N396" s="14"/>
      <c r="O396" s="14">
        <f t="shared" si="12"/>
        <v>-300</v>
      </c>
      <c r="P396" s="15">
        <f t="shared" si="13"/>
        <v>41778</v>
      </c>
      <c r="Q396" s="15"/>
      <c r="R396" s="26"/>
      <c r="S396" s="26"/>
    </row>
    <row r="397" spans="1:19" x14ac:dyDescent="0.25">
      <c r="A397" s="23" t="s">
        <v>16</v>
      </c>
      <c r="B397" s="23" t="s">
        <v>17</v>
      </c>
      <c r="C397" s="23" t="s">
        <v>18</v>
      </c>
      <c r="D397" s="8">
        <v>2014</v>
      </c>
      <c r="E397" s="21" t="s">
        <v>293</v>
      </c>
      <c r="F397" s="22">
        <v>41778</v>
      </c>
      <c r="G397" s="23"/>
      <c r="H397" s="13" t="s">
        <v>212</v>
      </c>
      <c r="I397" s="12">
        <v>-3339.6</v>
      </c>
      <c r="J397" s="13" t="s">
        <v>33</v>
      </c>
      <c r="K397" s="13" t="s">
        <v>34</v>
      </c>
      <c r="L397" s="13" t="s">
        <v>35</v>
      </c>
      <c r="M397" s="13" t="s">
        <v>226</v>
      </c>
      <c r="N397" s="14"/>
      <c r="O397" s="14">
        <f t="shared" si="12"/>
        <v>-3339.6</v>
      </c>
      <c r="P397" s="15">
        <f t="shared" si="13"/>
        <v>41778</v>
      </c>
      <c r="Q397" s="15"/>
      <c r="R397" s="16"/>
      <c r="S397" s="16"/>
    </row>
    <row r="398" spans="1:19" x14ac:dyDescent="0.25">
      <c r="A398" s="8" t="s">
        <v>16</v>
      </c>
      <c r="B398" s="8" t="s">
        <v>17</v>
      </c>
      <c r="C398" s="8" t="s">
        <v>18</v>
      </c>
      <c r="D398" s="8">
        <v>2014</v>
      </c>
      <c r="E398" s="21" t="s">
        <v>293</v>
      </c>
      <c r="F398" s="22">
        <v>41778</v>
      </c>
      <c r="G398" s="23"/>
      <c r="H398" s="11" t="s">
        <v>269</v>
      </c>
      <c r="I398" s="12">
        <v>-500</v>
      </c>
      <c r="J398" s="53" t="s">
        <v>21</v>
      </c>
      <c r="K398" s="53" t="s">
        <v>56</v>
      </c>
      <c r="L398" s="53" t="s">
        <v>57</v>
      </c>
      <c r="M398" s="13" t="s">
        <v>386</v>
      </c>
      <c r="N398" s="31"/>
      <c r="O398" s="14">
        <f t="shared" si="12"/>
        <v>-500</v>
      </c>
      <c r="P398" s="15">
        <f t="shared" si="13"/>
        <v>41778</v>
      </c>
      <c r="Q398" s="15"/>
      <c r="R398" s="16"/>
      <c r="S398" s="16"/>
    </row>
    <row r="399" spans="1:19" x14ac:dyDescent="0.25">
      <c r="A399" s="23" t="s">
        <v>16</v>
      </c>
      <c r="B399" s="23" t="s">
        <v>17</v>
      </c>
      <c r="C399" s="23" t="s">
        <v>51</v>
      </c>
      <c r="D399" s="8">
        <v>2014</v>
      </c>
      <c r="E399" s="21" t="s">
        <v>293</v>
      </c>
      <c r="F399" s="10">
        <v>41778</v>
      </c>
      <c r="G399" s="8">
        <v>11547</v>
      </c>
      <c r="H399" s="11" t="s">
        <v>403</v>
      </c>
      <c r="I399" s="12">
        <v>10000</v>
      </c>
      <c r="J399" s="13" t="s">
        <v>53</v>
      </c>
      <c r="K399" s="13" t="s">
        <v>54</v>
      </c>
      <c r="L399" s="13"/>
      <c r="M399" s="13"/>
      <c r="N399" s="31"/>
      <c r="O399" s="14">
        <f t="shared" si="12"/>
        <v>10000</v>
      </c>
      <c r="P399" s="15">
        <f t="shared" si="13"/>
        <v>41778</v>
      </c>
      <c r="Q399" s="15"/>
      <c r="R399" s="16"/>
      <c r="S399" s="16"/>
    </row>
    <row r="400" spans="1:19" x14ac:dyDescent="0.25">
      <c r="A400" s="23" t="s">
        <v>16</v>
      </c>
      <c r="B400" s="23" t="s">
        <v>17</v>
      </c>
      <c r="C400" s="23" t="s">
        <v>51</v>
      </c>
      <c r="D400" s="8">
        <v>2014</v>
      </c>
      <c r="E400" s="21" t="s">
        <v>293</v>
      </c>
      <c r="F400" s="10">
        <v>41778</v>
      </c>
      <c r="G400" s="8">
        <v>11734</v>
      </c>
      <c r="H400" s="11" t="s">
        <v>391</v>
      </c>
      <c r="I400" s="12">
        <v>4000</v>
      </c>
      <c r="J400" s="13" t="s">
        <v>53</v>
      </c>
      <c r="K400" s="13" t="s">
        <v>54</v>
      </c>
      <c r="L400" s="13"/>
      <c r="M400" s="13"/>
      <c r="N400" s="31"/>
      <c r="O400" s="14">
        <f t="shared" si="12"/>
        <v>4000</v>
      </c>
      <c r="P400" s="15">
        <f t="shared" si="13"/>
        <v>41778</v>
      </c>
      <c r="Q400" s="15"/>
      <c r="R400" s="16"/>
      <c r="S400" s="16"/>
    </row>
    <row r="401" spans="1:19" x14ac:dyDescent="0.25">
      <c r="A401" s="23" t="s">
        <v>16</v>
      </c>
      <c r="B401" s="23" t="s">
        <v>17</v>
      </c>
      <c r="C401" s="23" t="s">
        <v>51</v>
      </c>
      <c r="D401" s="8">
        <v>2014</v>
      </c>
      <c r="E401" s="21" t="s">
        <v>293</v>
      </c>
      <c r="F401" s="10">
        <v>41778</v>
      </c>
      <c r="G401" s="8">
        <v>11731</v>
      </c>
      <c r="H401" s="11" t="s">
        <v>393</v>
      </c>
      <c r="I401" s="12">
        <v>5000</v>
      </c>
      <c r="J401" s="13" t="s">
        <v>53</v>
      </c>
      <c r="K401" s="13" t="s">
        <v>54</v>
      </c>
      <c r="L401" s="13"/>
      <c r="M401" s="13"/>
      <c r="N401" s="31"/>
      <c r="O401" s="14">
        <f t="shared" si="12"/>
        <v>5000</v>
      </c>
      <c r="P401" s="15">
        <f t="shared" si="13"/>
        <v>41778</v>
      </c>
      <c r="Q401" s="15"/>
      <c r="R401" s="16"/>
      <c r="S401" s="16"/>
    </row>
    <row r="402" spans="1:19" x14ac:dyDescent="0.25">
      <c r="A402" s="23" t="s">
        <v>16</v>
      </c>
      <c r="B402" s="23" t="s">
        <v>17</v>
      </c>
      <c r="C402" s="23" t="s">
        <v>18</v>
      </c>
      <c r="D402" s="8">
        <v>2014</v>
      </c>
      <c r="E402" s="21" t="s">
        <v>293</v>
      </c>
      <c r="F402" s="10">
        <v>41778</v>
      </c>
      <c r="G402" s="23"/>
      <c r="H402" s="13" t="s">
        <v>404</v>
      </c>
      <c r="I402" s="12">
        <f>-607-95</f>
        <v>-702</v>
      </c>
      <c r="J402" s="13" t="s">
        <v>21</v>
      </c>
      <c r="K402" s="13" t="s">
        <v>22</v>
      </c>
      <c r="L402" s="13" t="s">
        <v>71</v>
      </c>
      <c r="M402" s="13" t="s">
        <v>28</v>
      </c>
      <c r="N402" s="31"/>
      <c r="O402" s="14">
        <f t="shared" si="12"/>
        <v>-702</v>
      </c>
      <c r="P402" s="15">
        <f t="shared" si="13"/>
        <v>41778</v>
      </c>
      <c r="Q402" s="15"/>
      <c r="R402" s="26"/>
      <c r="S402" s="26"/>
    </row>
    <row r="403" spans="1:19" x14ac:dyDescent="0.25">
      <c r="A403" s="8" t="s">
        <v>16</v>
      </c>
      <c r="B403" s="8" t="s">
        <v>17</v>
      </c>
      <c r="C403" s="36" t="s">
        <v>46</v>
      </c>
      <c r="D403" s="8">
        <v>2014</v>
      </c>
      <c r="E403" s="21" t="s">
        <v>293</v>
      </c>
      <c r="F403" s="22">
        <v>41779</v>
      </c>
      <c r="G403" s="8"/>
      <c r="H403" s="17" t="s">
        <v>365</v>
      </c>
      <c r="I403" s="12">
        <v>-3000</v>
      </c>
      <c r="J403" s="13" t="s">
        <v>48</v>
      </c>
      <c r="K403" s="13" t="s">
        <v>49</v>
      </c>
      <c r="L403" s="13" t="s">
        <v>50</v>
      </c>
      <c r="M403" s="13"/>
      <c r="N403" s="14"/>
      <c r="O403" s="14">
        <f t="shared" si="12"/>
        <v>-3000</v>
      </c>
      <c r="P403" s="15">
        <f t="shared" si="13"/>
        <v>41779</v>
      </c>
      <c r="Q403" s="15"/>
      <c r="R403" s="16"/>
      <c r="S403" s="16"/>
    </row>
    <row r="404" spans="1:19" x14ac:dyDescent="0.25">
      <c r="A404" s="8" t="s">
        <v>16</v>
      </c>
      <c r="B404" s="8" t="s">
        <v>17</v>
      </c>
      <c r="C404" s="8" t="s">
        <v>18</v>
      </c>
      <c r="D404" s="8">
        <v>2014</v>
      </c>
      <c r="E404" s="21" t="s">
        <v>293</v>
      </c>
      <c r="F404" s="22">
        <v>41779</v>
      </c>
      <c r="G404" s="8"/>
      <c r="H404" s="17" t="s">
        <v>384</v>
      </c>
      <c r="I404" s="12">
        <v>-500</v>
      </c>
      <c r="J404" s="13" t="s">
        <v>33</v>
      </c>
      <c r="K404" s="13" t="s">
        <v>123</v>
      </c>
      <c r="L404" s="13" t="s">
        <v>385</v>
      </c>
      <c r="M404" s="13"/>
      <c r="N404" s="14"/>
      <c r="O404" s="14">
        <f t="shared" si="12"/>
        <v>-500</v>
      </c>
      <c r="P404" s="15">
        <f t="shared" si="13"/>
        <v>41779</v>
      </c>
      <c r="Q404" s="15"/>
      <c r="R404" s="16"/>
      <c r="S404" s="16"/>
    </row>
    <row r="405" spans="1:19" x14ac:dyDescent="0.25">
      <c r="A405" s="23" t="s">
        <v>16</v>
      </c>
      <c r="B405" s="23" t="s">
        <v>17</v>
      </c>
      <c r="C405" s="23" t="s">
        <v>18</v>
      </c>
      <c r="D405" s="8">
        <v>2014</v>
      </c>
      <c r="E405" s="21" t="s">
        <v>293</v>
      </c>
      <c r="F405" s="22">
        <v>41779</v>
      </c>
      <c r="G405" s="8"/>
      <c r="H405" s="11" t="s">
        <v>377</v>
      </c>
      <c r="I405" s="12">
        <v>-482.97</v>
      </c>
      <c r="J405" s="13" t="s">
        <v>21</v>
      </c>
      <c r="K405" s="13" t="s">
        <v>56</v>
      </c>
      <c r="L405" s="13" t="s">
        <v>57</v>
      </c>
      <c r="M405" s="13"/>
      <c r="N405" s="14"/>
      <c r="O405" s="14">
        <f t="shared" si="12"/>
        <v>-482.97</v>
      </c>
      <c r="P405" s="15">
        <f t="shared" si="13"/>
        <v>41779</v>
      </c>
      <c r="Q405" s="15"/>
      <c r="R405" s="16"/>
      <c r="S405" s="16"/>
    </row>
    <row r="406" spans="1:19" x14ac:dyDescent="0.25">
      <c r="A406" s="23" t="s">
        <v>16</v>
      </c>
      <c r="B406" s="23" t="s">
        <v>17</v>
      </c>
      <c r="C406" s="23" t="s">
        <v>51</v>
      </c>
      <c r="D406" s="8">
        <v>2014</v>
      </c>
      <c r="E406" s="21" t="s">
        <v>293</v>
      </c>
      <c r="F406" s="22">
        <v>41779</v>
      </c>
      <c r="G406" s="8">
        <v>11664</v>
      </c>
      <c r="H406" s="11" t="s">
        <v>405</v>
      </c>
      <c r="I406" s="12">
        <v>20000</v>
      </c>
      <c r="J406" s="13" t="s">
        <v>53</v>
      </c>
      <c r="K406" s="13" t="s">
        <v>54</v>
      </c>
      <c r="L406" s="13"/>
      <c r="M406" s="13"/>
      <c r="N406" s="31"/>
      <c r="O406" s="14">
        <f t="shared" si="12"/>
        <v>20000</v>
      </c>
      <c r="P406" s="15">
        <f t="shared" si="13"/>
        <v>41779</v>
      </c>
      <c r="Q406" s="15"/>
      <c r="R406" s="16"/>
      <c r="S406" s="16"/>
    </row>
    <row r="407" spans="1:19" x14ac:dyDescent="0.25">
      <c r="A407" s="23" t="s">
        <v>16</v>
      </c>
      <c r="B407" s="23" t="s">
        <v>17</v>
      </c>
      <c r="C407" s="23" t="s">
        <v>18</v>
      </c>
      <c r="D407" s="8">
        <v>2014</v>
      </c>
      <c r="E407" s="21" t="s">
        <v>293</v>
      </c>
      <c r="F407" s="22">
        <v>41779</v>
      </c>
      <c r="G407" s="8" t="s">
        <v>357</v>
      </c>
      <c r="H407" s="11" t="s">
        <v>406</v>
      </c>
      <c r="I407" s="12">
        <f>-99.5-99.5</f>
        <v>-199</v>
      </c>
      <c r="J407" s="13" t="s">
        <v>21</v>
      </c>
      <c r="K407" s="13" t="s">
        <v>143</v>
      </c>
      <c r="L407" s="13" t="s">
        <v>173</v>
      </c>
      <c r="M407" s="13"/>
      <c r="N407" s="14"/>
      <c r="O407" s="14">
        <f t="shared" si="12"/>
        <v>-199</v>
      </c>
      <c r="P407" s="15">
        <f t="shared" si="13"/>
        <v>41779</v>
      </c>
      <c r="Q407" s="15"/>
      <c r="R407" s="16"/>
      <c r="S407" s="16"/>
    </row>
    <row r="408" spans="1:19" x14ac:dyDescent="0.25">
      <c r="A408" s="8" t="s">
        <v>16</v>
      </c>
      <c r="B408" s="8" t="s">
        <v>17</v>
      </c>
      <c r="C408" s="36" t="s">
        <v>18</v>
      </c>
      <c r="D408" s="8">
        <v>2014</v>
      </c>
      <c r="E408" s="21" t="s">
        <v>293</v>
      </c>
      <c r="F408" s="22">
        <v>41779</v>
      </c>
      <c r="G408" s="8"/>
      <c r="H408" s="11" t="s">
        <v>383</v>
      </c>
      <c r="I408" s="12">
        <f>-20-20</f>
        <v>-40</v>
      </c>
      <c r="J408" s="13" t="s">
        <v>21</v>
      </c>
      <c r="K408" s="13" t="s">
        <v>56</v>
      </c>
      <c r="L408" s="13" t="s">
        <v>111</v>
      </c>
      <c r="M408" s="13" t="s">
        <v>28</v>
      </c>
      <c r="N408" s="14"/>
      <c r="O408" s="14">
        <f t="shared" si="12"/>
        <v>-40</v>
      </c>
      <c r="P408" s="15">
        <f t="shared" si="13"/>
        <v>41779</v>
      </c>
      <c r="Q408" s="15"/>
      <c r="R408" s="16"/>
      <c r="S408" s="16"/>
    </row>
    <row r="409" spans="1:19" x14ac:dyDescent="0.25">
      <c r="A409" s="23" t="s">
        <v>16</v>
      </c>
      <c r="B409" s="23" t="s">
        <v>17</v>
      </c>
      <c r="C409" s="23" t="s">
        <v>18</v>
      </c>
      <c r="D409" s="8">
        <v>2014</v>
      </c>
      <c r="E409" s="21" t="s">
        <v>293</v>
      </c>
      <c r="F409" s="22">
        <v>41779</v>
      </c>
      <c r="G409" s="8"/>
      <c r="H409" s="13" t="s">
        <v>153</v>
      </c>
      <c r="I409" s="12">
        <f>-60-70</f>
        <v>-130</v>
      </c>
      <c r="J409" s="13" t="s">
        <v>33</v>
      </c>
      <c r="K409" s="13" t="s">
        <v>34</v>
      </c>
      <c r="L409" s="13" t="s">
        <v>76</v>
      </c>
      <c r="M409" s="13"/>
      <c r="N409" s="31"/>
      <c r="O409" s="14">
        <f t="shared" si="12"/>
        <v>-130</v>
      </c>
      <c r="P409" s="15">
        <f t="shared" si="13"/>
        <v>41779</v>
      </c>
      <c r="Q409" s="15"/>
      <c r="R409" s="16"/>
      <c r="S409" s="16"/>
    </row>
    <row r="410" spans="1:19" x14ac:dyDescent="0.25">
      <c r="A410" s="8" t="s">
        <v>16</v>
      </c>
      <c r="B410" s="8" t="s">
        <v>17</v>
      </c>
      <c r="C410" s="8" t="s">
        <v>18</v>
      </c>
      <c r="D410" s="8">
        <v>2014</v>
      </c>
      <c r="E410" s="21" t="s">
        <v>293</v>
      </c>
      <c r="F410" s="22">
        <v>41779</v>
      </c>
      <c r="G410" s="8"/>
      <c r="H410" s="17" t="s">
        <v>407</v>
      </c>
      <c r="I410" s="12">
        <v>-250</v>
      </c>
      <c r="J410" s="13" t="s">
        <v>33</v>
      </c>
      <c r="K410" s="13" t="s">
        <v>317</v>
      </c>
      <c r="L410" s="13" t="s">
        <v>318</v>
      </c>
      <c r="M410" s="13"/>
      <c r="N410" s="14"/>
      <c r="O410" s="14">
        <f t="shared" si="12"/>
        <v>-250</v>
      </c>
      <c r="P410" s="15">
        <f t="shared" si="13"/>
        <v>41779</v>
      </c>
      <c r="Q410" s="15"/>
      <c r="R410" s="16"/>
      <c r="S410" s="16"/>
    </row>
    <row r="411" spans="1:19" x14ac:dyDescent="0.25">
      <c r="A411" s="23" t="s">
        <v>16</v>
      </c>
      <c r="B411" s="23" t="s">
        <v>17</v>
      </c>
      <c r="C411" s="23" t="s">
        <v>18</v>
      </c>
      <c r="D411" s="8">
        <v>2014</v>
      </c>
      <c r="E411" s="21" t="s">
        <v>293</v>
      </c>
      <c r="F411" s="22">
        <v>41779</v>
      </c>
      <c r="G411" s="8" t="s">
        <v>249</v>
      </c>
      <c r="H411" s="11" t="s">
        <v>363</v>
      </c>
      <c r="I411" s="12">
        <v>-100</v>
      </c>
      <c r="J411" s="13" t="s">
        <v>21</v>
      </c>
      <c r="K411" s="13" t="s">
        <v>22</v>
      </c>
      <c r="L411" s="13" t="s">
        <v>23</v>
      </c>
      <c r="M411" s="13"/>
      <c r="N411" s="14"/>
      <c r="O411" s="14">
        <f t="shared" si="12"/>
        <v>-100</v>
      </c>
      <c r="P411" s="15">
        <f t="shared" si="13"/>
        <v>41779</v>
      </c>
      <c r="Q411" s="15"/>
      <c r="R411" s="16"/>
      <c r="S411" s="16"/>
    </row>
    <row r="412" spans="1:19" x14ac:dyDescent="0.25">
      <c r="A412" s="23" t="s">
        <v>16</v>
      </c>
      <c r="B412" s="23" t="s">
        <v>17</v>
      </c>
      <c r="C412" s="23" t="s">
        <v>51</v>
      </c>
      <c r="D412" s="8">
        <v>2014</v>
      </c>
      <c r="E412" s="21" t="s">
        <v>293</v>
      </c>
      <c r="F412" s="10">
        <v>41779</v>
      </c>
      <c r="G412" s="8">
        <v>11739</v>
      </c>
      <c r="H412" s="11" t="s">
        <v>408</v>
      </c>
      <c r="I412" s="12">
        <v>2100</v>
      </c>
      <c r="J412" s="13" t="s">
        <v>53</v>
      </c>
      <c r="K412" s="13" t="s">
        <v>54</v>
      </c>
      <c r="L412" s="13"/>
      <c r="M412" s="13"/>
      <c r="N412" s="31"/>
      <c r="O412" s="14">
        <f t="shared" si="12"/>
        <v>2100</v>
      </c>
      <c r="P412" s="15">
        <f t="shared" si="13"/>
        <v>41779</v>
      </c>
      <c r="Q412" s="15"/>
      <c r="R412" s="16"/>
      <c r="S412" s="16"/>
    </row>
    <row r="413" spans="1:19" x14ac:dyDescent="0.25">
      <c r="A413" s="23" t="s">
        <v>16</v>
      </c>
      <c r="B413" s="23" t="s">
        <v>17</v>
      </c>
      <c r="C413" s="23" t="s">
        <v>51</v>
      </c>
      <c r="D413" s="8">
        <v>2014</v>
      </c>
      <c r="E413" s="21" t="s">
        <v>293</v>
      </c>
      <c r="F413" s="10">
        <v>41779</v>
      </c>
      <c r="G413" s="8">
        <v>11711</v>
      </c>
      <c r="H413" s="11" t="s">
        <v>409</v>
      </c>
      <c r="I413" s="12">
        <v>13000</v>
      </c>
      <c r="J413" s="13" t="s">
        <v>53</v>
      </c>
      <c r="K413" s="13" t="s">
        <v>54</v>
      </c>
      <c r="L413" s="13"/>
      <c r="M413" s="13"/>
      <c r="N413" s="31"/>
      <c r="O413" s="14">
        <f t="shared" si="12"/>
        <v>13000</v>
      </c>
      <c r="P413" s="15">
        <f t="shared" si="13"/>
        <v>41779</v>
      </c>
      <c r="Q413" s="15"/>
      <c r="R413" s="16"/>
      <c r="S413" s="16"/>
    </row>
    <row r="414" spans="1:19" x14ac:dyDescent="0.25">
      <c r="A414" s="8" t="s">
        <v>16</v>
      </c>
      <c r="B414" s="8" t="s">
        <v>17</v>
      </c>
      <c r="C414" s="36" t="s">
        <v>46</v>
      </c>
      <c r="D414" s="8">
        <v>2014</v>
      </c>
      <c r="E414" s="21" t="s">
        <v>293</v>
      </c>
      <c r="F414" s="10">
        <v>41779</v>
      </c>
      <c r="G414" s="8"/>
      <c r="H414" s="17" t="s">
        <v>410</v>
      </c>
      <c r="I414" s="12">
        <f>-250*11.5</f>
        <v>-2875</v>
      </c>
      <c r="J414" s="13" t="s">
        <v>48</v>
      </c>
      <c r="K414" s="13" t="s">
        <v>49</v>
      </c>
      <c r="L414" s="13" t="s">
        <v>50</v>
      </c>
      <c r="M414" s="13"/>
      <c r="N414" s="14"/>
      <c r="O414" s="14">
        <f t="shared" si="12"/>
        <v>-2875</v>
      </c>
      <c r="P414" s="15">
        <f t="shared" si="13"/>
        <v>41779</v>
      </c>
      <c r="Q414" s="15"/>
      <c r="R414" s="16"/>
      <c r="S414" s="16"/>
    </row>
    <row r="415" spans="1:19" x14ac:dyDescent="0.25">
      <c r="A415" s="8" t="s">
        <v>16</v>
      </c>
      <c r="B415" s="8" t="s">
        <v>17</v>
      </c>
      <c r="C415" s="8" t="s">
        <v>18</v>
      </c>
      <c r="D415" s="8">
        <v>2014</v>
      </c>
      <c r="E415" s="21" t="s">
        <v>293</v>
      </c>
      <c r="F415" s="22">
        <v>41781</v>
      </c>
      <c r="G415" s="23"/>
      <c r="H415" s="11" t="s">
        <v>411</v>
      </c>
      <c r="I415" s="12">
        <v>-100</v>
      </c>
      <c r="J415" s="20" t="s">
        <v>21</v>
      </c>
      <c r="K415" s="20" t="s">
        <v>56</v>
      </c>
      <c r="L415" s="20" t="s">
        <v>57</v>
      </c>
      <c r="M415" s="13"/>
      <c r="N415" s="14"/>
      <c r="O415" s="14">
        <f t="shared" si="12"/>
        <v>-100</v>
      </c>
      <c r="P415" s="15">
        <f t="shared" si="13"/>
        <v>41781</v>
      </c>
      <c r="Q415" s="15"/>
      <c r="R415" s="16"/>
      <c r="S415" s="16"/>
    </row>
    <row r="416" spans="1:19" x14ac:dyDescent="0.25">
      <c r="A416" s="8" t="s">
        <v>16</v>
      </c>
      <c r="B416" s="8" t="s">
        <v>17</v>
      </c>
      <c r="C416" s="8" t="s">
        <v>46</v>
      </c>
      <c r="D416" s="8">
        <v>2014</v>
      </c>
      <c r="E416" s="21" t="s">
        <v>293</v>
      </c>
      <c r="F416" s="22">
        <v>41781</v>
      </c>
      <c r="G416" s="8"/>
      <c r="H416" s="17" t="s">
        <v>72</v>
      </c>
      <c r="I416" s="12">
        <v>-220</v>
      </c>
      <c r="J416" s="13" t="s">
        <v>68</v>
      </c>
      <c r="K416" s="13"/>
      <c r="L416" s="13"/>
      <c r="M416" s="13"/>
      <c r="N416" s="14"/>
      <c r="O416" s="14">
        <f t="shared" si="12"/>
        <v>-220</v>
      </c>
      <c r="P416" s="15">
        <f t="shared" si="13"/>
        <v>41781</v>
      </c>
      <c r="Q416" s="15"/>
      <c r="R416" s="16"/>
      <c r="S416" s="16"/>
    </row>
    <row r="417" spans="1:19" x14ac:dyDescent="0.25">
      <c r="A417" s="8" t="s">
        <v>16</v>
      </c>
      <c r="B417" s="8" t="s">
        <v>17</v>
      </c>
      <c r="C417" s="8" t="s">
        <v>46</v>
      </c>
      <c r="D417" s="8">
        <v>2014</v>
      </c>
      <c r="E417" s="21" t="s">
        <v>293</v>
      </c>
      <c r="F417" s="22">
        <v>41781</v>
      </c>
      <c r="G417" s="8"/>
      <c r="H417" s="17" t="s">
        <v>67</v>
      </c>
      <c r="I417" s="12">
        <v>-1000</v>
      </c>
      <c r="J417" s="13" t="s">
        <v>68</v>
      </c>
      <c r="K417" s="13"/>
      <c r="L417" s="13"/>
      <c r="M417" s="13"/>
      <c r="N417" s="14"/>
      <c r="O417" s="14">
        <f t="shared" si="12"/>
        <v>-1000</v>
      </c>
      <c r="P417" s="15">
        <f t="shared" si="13"/>
        <v>41781</v>
      </c>
      <c r="Q417" s="15"/>
      <c r="R417" s="16"/>
      <c r="S417" s="16"/>
    </row>
    <row r="418" spans="1:19" x14ac:dyDescent="0.25">
      <c r="A418" s="8" t="s">
        <v>16</v>
      </c>
      <c r="B418" s="8" t="s">
        <v>17</v>
      </c>
      <c r="C418" s="8" t="s">
        <v>46</v>
      </c>
      <c r="D418" s="8">
        <v>2014</v>
      </c>
      <c r="E418" s="21" t="s">
        <v>293</v>
      </c>
      <c r="F418" s="22">
        <v>41781</v>
      </c>
      <c r="G418" s="8"/>
      <c r="H418" s="17" t="s">
        <v>412</v>
      </c>
      <c r="I418" s="12">
        <v>10000</v>
      </c>
      <c r="J418" s="13" t="s">
        <v>150</v>
      </c>
      <c r="K418" s="13"/>
      <c r="L418" s="13"/>
      <c r="M418" s="13"/>
      <c r="N418" s="14"/>
      <c r="O418" s="14">
        <f t="shared" si="12"/>
        <v>10000</v>
      </c>
      <c r="P418" s="15">
        <f t="shared" si="13"/>
        <v>41781</v>
      </c>
      <c r="Q418" s="15"/>
      <c r="R418" s="16"/>
      <c r="S418" s="16"/>
    </row>
    <row r="419" spans="1:19" x14ac:dyDescent="0.25">
      <c r="A419" s="8" t="s">
        <v>16</v>
      </c>
      <c r="B419" s="8" t="s">
        <v>17</v>
      </c>
      <c r="C419" s="8" t="s">
        <v>46</v>
      </c>
      <c r="D419" s="8">
        <v>2014</v>
      </c>
      <c r="E419" s="21" t="s">
        <v>293</v>
      </c>
      <c r="F419" s="22">
        <v>41781</v>
      </c>
      <c r="G419" s="8"/>
      <c r="H419" s="17" t="s">
        <v>47</v>
      </c>
      <c r="I419" s="12">
        <v>-10000</v>
      </c>
      <c r="J419" s="13" t="s">
        <v>48</v>
      </c>
      <c r="K419" s="13" t="s">
        <v>49</v>
      </c>
      <c r="L419" s="13" t="s">
        <v>50</v>
      </c>
      <c r="M419" s="13"/>
      <c r="N419" s="14"/>
      <c r="O419" s="14">
        <f t="shared" si="12"/>
        <v>-10000</v>
      </c>
      <c r="P419" s="15">
        <f t="shared" si="13"/>
        <v>41781</v>
      </c>
      <c r="Q419" s="15"/>
      <c r="R419" s="16"/>
      <c r="S419" s="16"/>
    </row>
    <row r="420" spans="1:19" x14ac:dyDescent="0.25">
      <c r="A420" s="8" t="s">
        <v>16</v>
      </c>
      <c r="B420" s="8" t="s">
        <v>17</v>
      </c>
      <c r="C420" s="8" t="s">
        <v>18</v>
      </c>
      <c r="D420" s="8">
        <v>2014</v>
      </c>
      <c r="E420" s="21" t="s">
        <v>293</v>
      </c>
      <c r="F420" s="30">
        <v>41782</v>
      </c>
      <c r="G420" s="23"/>
      <c r="H420" s="11" t="s">
        <v>413</v>
      </c>
      <c r="I420" s="12">
        <v>-10</v>
      </c>
      <c r="J420" s="13" t="s">
        <v>21</v>
      </c>
      <c r="K420" s="13" t="s">
        <v>56</v>
      </c>
      <c r="L420" s="13" t="s">
        <v>111</v>
      </c>
      <c r="M420" s="13" t="s">
        <v>28</v>
      </c>
      <c r="N420" s="14"/>
      <c r="O420" s="14">
        <f t="shared" si="12"/>
        <v>-10</v>
      </c>
      <c r="P420" s="15">
        <f t="shared" si="13"/>
        <v>41782</v>
      </c>
      <c r="Q420" s="15"/>
      <c r="R420" s="16"/>
      <c r="S420" s="16"/>
    </row>
    <row r="421" spans="1:19" x14ac:dyDescent="0.25">
      <c r="A421" s="23" t="s">
        <v>16</v>
      </c>
      <c r="B421" s="23" t="s">
        <v>17</v>
      </c>
      <c r="C421" s="23" t="s">
        <v>18</v>
      </c>
      <c r="D421" s="8">
        <v>2014</v>
      </c>
      <c r="E421" s="21" t="s">
        <v>293</v>
      </c>
      <c r="F421" s="22">
        <v>41782</v>
      </c>
      <c r="G421" s="23"/>
      <c r="H421" s="13" t="s">
        <v>252</v>
      </c>
      <c r="I421" s="12">
        <v>-48</v>
      </c>
      <c r="J421" s="13" t="s">
        <v>21</v>
      </c>
      <c r="K421" s="13" t="s">
        <v>22</v>
      </c>
      <c r="L421" s="13" t="s">
        <v>71</v>
      </c>
      <c r="M421" s="13" t="s">
        <v>206</v>
      </c>
      <c r="N421" s="31"/>
      <c r="O421" s="14">
        <f t="shared" si="12"/>
        <v>-48</v>
      </c>
      <c r="P421" s="15">
        <f t="shared" si="13"/>
        <v>41782</v>
      </c>
      <c r="Q421" s="15"/>
      <c r="R421" s="16"/>
      <c r="S421" s="16"/>
    </row>
    <row r="422" spans="1:19" x14ac:dyDescent="0.25">
      <c r="A422" s="8" t="s">
        <v>16</v>
      </c>
      <c r="B422" s="8" t="s">
        <v>17</v>
      </c>
      <c r="C422" s="8" t="s">
        <v>18</v>
      </c>
      <c r="D422" s="8">
        <v>2014</v>
      </c>
      <c r="E422" s="21" t="s">
        <v>293</v>
      </c>
      <c r="F422" s="22">
        <v>41782</v>
      </c>
      <c r="G422" s="8"/>
      <c r="H422" s="13" t="s">
        <v>80</v>
      </c>
      <c r="I422" s="12">
        <v>-50</v>
      </c>
      <c r="J422" s="13" t="s">
        <v>21</v>
      </c>
      <c r="K422" s="13" t="s">
        <v>22</v>
      </c>
      <c r="L422" s="13" t="s">
        <v>23</v>
      </c>
      <c r="M422" s="13" t="s">
        <v>28</v>
      </c>
      <c r="N422" s="14"/>
      <c r="O422" s="14">
        <f t="shared" si="12"/>
        <v>-50</v>
      </c>
      <c r="P422" s="15">
        <f t="shared" si="13"/>
        <v>41782</v>
      </c>
      <c r="Q422" s="15"/>
      <c r="R422" s="16"/>
      <c r="S422" s="16"/>
    </row>
    <row r="423" spans="1:19" x14ac:dyDescent="0.25">
      <c r="A423" s="23" t="s">
        <v>16</v>
      </c>
      <c r="B423" s="23" t="s">
        <v>17</v>
      </c>
      <c r="C423" s="23" t="s">
        <v>18</v>
      </c>
      <c r="D423" s="8">
        <v>2014</v>
      </c>
      <c r="E423" s="21" t="s">
        <v>293</v>
      </c>
      <c r="F423" s="22">
        <v>41782</v>
      </c>
      <c r="G423" s="23" t="s">
        <v>249</v>
      </c>
      <c r="H423" s="13" t="s">
        <v>414</v>
      </c>
      <c r="I423" s="12">
        <v>-200</v>
      </c>
      <c r="J423" s="13" t="s">
        <v>38</v>
      </c>
      <c r="K423" s="13" t="s">
        <v>90</v>
      </c>
      <c r="L423" s="13" t="s">
        <v>91</v>
      </c>
      <c r="M423" s="13"/>
      <c r="N423" s="31"/>
      <c r="O423" s="14">
        <f t="shared" si="12"/>
        <v>-200</v>
      </c>
      <c r="P423" s="15">
        <f t="shared" si="13"/>
        <v>41782</v>
      </c>
      <c r="Q423" s="15"/>
      <c r="R423" s="16"/>
      <c r="S423" s="16"/>
    </row>
    <row r="424" spans="1:19" x14ac:dyDescent="0.25">
      <c r="A424" s="23" t="s">
        <v>16</v>
      </c>
      <c r="B424" s="23" t="s">
        <v>17</v>
      </c>
      <c r="C424" s="23" t="s">
        <v>18</v>
      </c>
      <c r="D424" s="8">
        <v>2014</v>
      </c>
      <c r="E424" s="21" t="s">
        <v>293</v>
      </c>
      <c r="F424" s="22">
        <v>41782</v>
      </c>
      <c r="G424" s="23" t="s">
        <v>249</v>
      </c>
      <c r="H424" s="13" t="s">
        <v>415</v>
      </c>
      <c r="I424" s="12">
        <v>-2000</v>
      </c>
      <c r="J424" s="13" t="s">
        <v>38</v>
      </c>
      <c r="K424" s="13" t="s">
        <v>90</v>
      </c>
      <c r="L424" s="13" t="s">
        <v>91</v>
      </c>
      <c r="M424" s="13"/>
      <c r="N424" s="31"/>
      <c r="O424" s="14">
        <f t="shared" si="12"/>
        <v>-2000</v>
      </c>
      <c r="P424" s="15">
        <f t="shared" si="13"/>
        <v>41782</v>
      </c>
      <c r="Q424" s="15"/>
      <c r="R424" s="16"/>
      <c r="S424" s="16"/>
    </row>
    <row r="425" spans="1:19" x14ac:dyDescent="0.25">
      <c r="A425" s="23" t="s">
        <v>16</v>
      </c>
      <c r="B425" s="23" t="s">
        <v>17</v>
      </c>
      <c r="C425" s="23" t="s">
        <v>18</v>
      </c>
      <c r="D425" s="8">
        <v>2014</v>
      </c>
      <c r="E425" s="21" t="s">
        <v>293</v>
      </c>
      <c r="F425" s="22">
        <v>41782</v>
      </c>
      <c r="G425" s="23" t="s">
        <v>249</v>
      </c>
      <c r="H425" s="13" t="s">
        <v>416</v>
      </c>
      <c r="I425" s="12">
        <f>-200-400</f>
        <v>-600</v>
      </c>
      <c r="J425" s="13" t="s">
        <v>38</v>
      </c>
      <c r="K425" s="13" t="s">
        <v>90</v>
      </c>
      <c r="L425" s="13" t="s">
        <v>91</v>
      </c>
      <c r="M425" s="13"/>
      <c r="N425" s="31"/>
      <c r="O425" s="14">
        <f t="shared" si="12"/>
        <v>-600</v>
      </c>
      <c r="P425" s="15">
        <f t="shared" si="13"/>
        <v>41782</v>
      </c>
      <c r="Q425" s="15"/>
      <c r="R425" s="16"/>
      <c r="S425" s="16"/>
    </row>
    <row r="426" spans="1:19" x14ac:dyDescent="0.25">
      <c r="A426" s="23" t="s">
        <v>16</v>
      </c>
      <c r="B426" s="23" t="s">
        <v>17</v>
      </c>
      <c r="C426" s="23" t="s">
        <v>18</v>
      </c>
      <c r="D426" s="8">
        <v>2014</v>
      </c>
      <c r="E426" s="21" t="s">
        <v>293</v>
      </c>
      <c r="F426" s="22">
        <v>41782</v>
      </c>
      <c r="G426" s="23" t="s">
        <v>249</v>
      </c>
      <c r="H426" s="13" t="s">
        <v>417</v>
      </c>
      <c r="I426" s="12">
        <v>-400</v>
      </c>
      <c r="J426" s="13" t="s">
        <v>38</v>
      </c>
      <c r="K426" s="13" t="s">
        <v>90</v>
      </c>
      <c r="L426" s="13" t="s">
        <v>91</v>
      </c>
      <c r="M426" s="13"/>
      <c r="N426" s="31"/>
      <c r="O426" s="14">
        <f t="shared" si="12"/>
        <v>-400</v>
      </c>
      <c r="P426" s="15">
        <f t="shared" si="13"/>
        <v>41782</v>
      </c>
      <c r="Q426" s="15"/>
      <c r="R426" s="16"/>
      <c r="S426" s="16"/>
    </row>
    <row r="427" spans="1:19" x14ac:dyDescent="0.25">
      <c r="A427" s="23" t="s">
        <v>16</v>
      </c>
      <c r="B427" s="23" t="s">
        <v>17</v>
      </c>
      <c r="C427" s="23" t="s">
        <v>18</v>
      </c>
      <c r="D427" s="8">
        <v>2014</v>
      </c>
      <c r="E427" s="21" t="s">
        <v>293</v>
      </c>
      <c r="F427" s="22">
        <v>41782</v>
      </c>
      <c r="G427" s="23" t="s">
        <v>249</v>
      </c>
      <c r="H427" s="13" t="s">
        <v>418</v>
      </c>
      <c r="I427" s="12">
        <v>-200</v>
      </c>
      <c r="J427" s="13" t="s">
        <v>38</v>
      </c>
      <c r="K427" s="13" t="s">
        <v>90</v>
      </c>
      <c r="L427" s="13" t="s">
        <v>91</v>
      </c>
      <c r="M427" s="13"/>
      <c r="N427" s="31"/>
      <c r="O427" s="14">
        <f t="shared" si="12"/>
        <v>-200</v>
      </c>
      <c r="P427" s="15">
        <f t="shared" si="13"/>
        <v>41782</v>
      </c>
      <c r="Q427" s="15"/>
      <c r="R427" s="16"/>
      <c r="S427" s="16"/>
    </row>
    <row r="428" spans="1:19" x14ac:dyDescent="0.25">
      <c r="A428" s="23" t="s">
        <v>16</v>
      </c>
      <c r="B428" s="23" t="s">
        <v>17</v>
      </c>
      <c r="C428" s="23" t="s">
        <v>51</v>
      </c>
      <c r="D428" s="8">
        <v>2014</v>
      </c>
      <c r="E428" s="21" t="s">
        <v>293</v>
      </c>
      <c r="F428" s="10">
        <v>41782</v>
      </c>
      <c r="G428" s="8">
        <v>11658</v>
      </c>
      <c r="H428" s="11" t="s">
        <v>209</v>
      </c>
      <c r="I428" s="12">
        <v>11000</v>
      </c>
      <c r="J428" s="13" t="s">
        <v>53</v>
      </c>
      <c r="K428" s="13" t="s">
        <v>54</v>
      </c>
      <c r="L428" s="13"/>
      <c r="M428" s="13"/>
      <c r="N428" s="31"/>
      <c r="O428" s="14">
        <f t="shared" si="12"/>
        <v>11000</v>
      </c>
      <c r="P428" s="15">
        <f t="shared" si="13"/>
        <v>41782</v>
      </c>
      <c r="Q428" s="15"/>
      <c r="R428" s="16"/>
      <c r="S428" s="16"/>
    </row>
    <row r="429" spans="1:19" x14ac:dyDescent="0.25">
      <c r="A429" s="23" t="s">
        <v>16</v>
      </c>
      <c r="B429" s="23" t="s">
        <v>17</v>
      </c>
      <c r="C429" s="23" t="s">
        <v>18</v>
      </c>
      <c r="D429" s="8">
        <v>2014</v>
      </c>
      <c r="E429" s="21" t="s">
        <v>293</v>
      </c>
      <c r="F429" s="10">
        <v>41782</v>
      </c>
      <c r="G429" s="8"/>
      <c r="H429" s="11" t="s">
        <v>380</v>
      </c>
      <c r="I429" s="12">
        <f>-24-80-45-25-416</f>
        <v>-590</v>
      </c>
      <c r="J429" s="13" t="s">
        <v>21</v>
      </c>
      <c r="K429" s="13" t="s">
        <v>63</v>
      </c>
      <c r="L429" s="13" t="s">
        <v>64</v>
      </c>
      <c r="M429" s="13"/>
      <c r="N429" s="14"/>
      <c r="O429" s="14">
        <f t="shared" si="12"/>
        <v>-590</v>
      </c>
      <c r="P429" s="15">
        <f t="shared" si="13"/>
        <v>41782</v>
      </c>
      <c r="Q429" s="15"/>
      <c r="R429" s="26"/>
      <c r="S429" s="26"/>
    </row>
    <row r="430" spans="1:19" x14ac:dyDescent="0.25">
      <c r="A430" s="23" t="s">
        <v>16</v>
      </c>
      <c r="B430" s="23" t="s">
        <v>17</v>
      </c>
      <c r="C430" s="23" t="s">
        <v>18</v>
      </c>
      <c r="D430" s="8">
        <v>2014</v>
      </c>
      <c r="E430" s="21" t="s">
        <v>293</v>
      </c>
      <c r="F430" s="10">
        <v>41782</v>
      </c>
      <c r="G430" s="23"/>
      <c r="H430" s="13" t="s">
        <v>300</v>
      </c>
      <c r="I430" s="12">
        <f>-18-30</f>
        <v>-48</v>
      </c>
      <c r="J430" s="13" t="s">
        <v>21</v>
      </c>
      <c r="K430" s="13" t="s">
        <v>22</v>
      </c>
      <c r="L430" s="13" t="s">
        <v>71</v>
      </c>
      <c r="M430" s="13"/>
      <c r="N430" s="14"/>
      <c r="O430" s="14">
        <f t="shared" si="12"/>
        <v>-48</v>
      </c>
      <c r="P430" s="15">
        <f t="shared" si="13"/>
        <v>41782</v>
      </c>
      <c r="Q430" s="15"/>
      <c r="R430" s="16"/>
      <c r="S430" s="16"/>
    </row>
    <row r="431" spans="1:19" x14ac:dyDescent="0.25">
      <c r="A431" s="8" t="s">
        <v>16</v>
      </c>
      <c r="B431" s="8" t="s">
        <v>17</v>
      </c>
      <c r="C431" s="36" t="s">
        <v>46</v>
      </c>
      <c r="D431" s="8">
        <v>2014</v>
      </c>
      <c r="E431" s="21" t="s">
        <v>293</v>
      </c>
      <c r="F431" s="10">
        <v>41782</v>
      </c>
      <c r="G431" s="8"/>
      <c r="H431" s="17" t="s">
        <v>365</v>
      </c>
      <c r="I431" s="12">
        <v>-4000</v>
      </c>
      <c r="J431" s="13" t="s">
        <v>48</v>
      </c>
      <c r="K431" s="13" t="s">
        <v>49</v>
      </c>
      <c r="L431" s="13" t="s">
        <v>50</v>
      </c>
      <c r="M431" s="13"/>
      <c r="N431" s="14"/>
      <c r="O431" s="14">
        <f t="shared" si="12"/>
        <v>-4000</v>
      </c>
      <c r="P431" s="15">
        <f t="shared" si="13"/>
        <v>41782</v>
      </c>
      <c r="Q431" s="15"/>
      <c r="R431" s="16"/>
      <c r="S431" s="16"/>
    </row>
    <row r="432" spans="1:19" x14ac:dyDescent="0.25">
      <c r="A432" s="23" t="s">
        <v>16</v>
      </c>
      <c r="B432" s="23" t="s">
        <v>17</v>
      </c>
      <c r="C432" s="23" t="s">
        <v>18</v>
      </c>
      <c r="D432" s="8">
        <v>2014</v>
      </c>
      <c r="E432" s="21" t="s">
        <v>293</v>
      </c>
      <c r="F432" s="10">
        <v>41782</v>
      </c>
      <c r="G432" s="8"/>
      <c r="H432" s="11" t="s">
        <v>399</v>
      </c>
      <c r="I432" s="12">
        <f>-29.7-20-260-100</f>
        <v>-409.7</v>
      </c>
      <c r="J432" s="13" t="s">
        <v>21</v>
      </c>
      <c r="K432" s="13" t="s">
        <v>56</v>
      </c>
      <c r="L432" s="13" t="s">
        <v>111</v>
      </c>
      <c r="M432" s="13" t="s">
        <v>28</v>
      </c>
      <c r="N432" s="31"/>
      <c r="O432" s="14">
        <f t="shared" si="12"/>
        <v>-409.7</v>
      </c>
      <c r="P432" s="15">
        <f t="shared" si="13"/>
        <v>41782</v>
      </c>
      <c r="Q432" s="15"/>
      <c r="R432" s="16"/>
      <c r="S432" s="16"/>
    </row>
    <row r="433" spans="1:19" x14ac:dyDescent="0.25">
      <c r="A433" s="8" t="s">
        <v>16</v>
      </c>
      <c r="B433" s="8" t="s">
        <v>17</v>
      </c>
      <c r="C433" s="8" t="s">
        <v>18</v>
      </c>
      <c r="D433" s="8">
        <v>2014</v>
      </c>
      <c r="E433" s="21" t="s">
        <v>293</v>
      </c>
      <c r="F433" s="10">
        <v>41782</v>
      </c>
      <c r="G433" s="23"/>
      <c r="H433" s="11" t="s">
        <v>269</v>
      </c>
      <c r="I433" s="12">
        <f>-1000-450</f>
        <v>-1450</v>
      </c>
      <c r="J433" s="20" t="s">
        <v>21</v>
      </c>
      <c r="K433" s="20" t="s">
        <v>56</v>
      </c>
      <c r="L433" s="20" t="s">
        <v>57</v>
      </c>
      <c r="M433" s="13" t="s">
        <v>386</v>
      </c>
      <c r="N433" s="14"/>
      <c r="O433" s="14">
        <f t="shared" si="12"/>
        <v>-1450</v>
      </c>
      <c r="P433" s="15">
        <f t="shared" si="13"/>
        <v>41782</v>
      </c>
      <c r="Q433" s="15"/>
      <c r="R433" s="16"/>
      <c r="S433" s="16"/>
    </row>
    <row r="434" spans="1:19" x14ac:dyDescent="0.25">
      <c r="A434" s="23" t="s">
        <v>16</v>
      </c>
      <c r="B434" s="23" t="s">
        <v>17</v>
      </c>
      <c r="C434" s="23" t="s">
        <v>18</v>
      </c>
      <c r="D434" s="8">
        <v>2014</v>
      </c>
      <c r="E434" s="21" t="s">
        <v>293</v>
      </c>
      <c r="F434" s="10">
        <v>41782</v>
      </c>
      <c r="G434" s="8" t="s">
        <v>249</v>
      </c>
      <c r="H434" s="11" t="s">
        <v>340</v>
      </c>
      <c r="I434" s="12">
        <v>-4000</v>
      </c>
      <c r="J434" s="13" t="s">
        <v>21</v>
      </c>
      <c r="K434" s="13" t="s">
        <v>56</v>
      </c>
      <c r="L434" s="13" t="s">
        <v>57</v>
      </c>
      <c r="M434" s="13"/>
      <c r="N434" s="14"/>
      <c r="O434" s="14">
        <f t="shared" si="12"/>
        <v>-4000</v>
      </c>
      <c r="P434" s="15">
        <f t="shared" si="13"/>
        <v>41782</v>
      </c>
      <c r="Q434" s="15"/>
      <c r="R434" s="16"/>
      <c r="S434" s="16"/>
    </row>
    <row r="435" spans="1:19" x14ac:dyDescent="0.25">
      <c r="A435" s="8" t="s">
        <v>16</v>
      </c>
      <c r="B435" s="8" t="s">
        <v>17</v>
      </c>
      <c r="C435" s="8" t="s">
        <v>18</v>
      </c>
      <c r="D435" s="8">
        <v>2014</v>
      </c>
      <c r="E435" s="21" t="s">
        <v>293</v>
      </c>
      <c r="F435" s="10">
        <v>41782</v>
      </c>
      <c r="G435" s="23" t="s">
        <v>249</v>
      </c>
      <c r="H435" s="11" t="s">
        <v>253</v>
      </c>
      <c r="I435" s="12"/>
      <c r="J435" s="13" t="s">
        <v>21</v>
      </c>
      <c r="K435" s="13" t="s">
        <v>56</v>
      </c>
      <c r="L435" s="13" t="s">
        <v>254</v>
      </c>
      <c r="M435" s="13" t="s">
        <v>255</v>
      </c>
      <c r="N435" s="14"/>
      <c r="O435" s="14">
        <f t="shared" si="12"/>
        <v>0</v>
      </c>
      <c r="P435" s="15">
        <f t="shared" si="13"/>
        <v>41782</v>
      </c>
      <c r="Q435" s="15"/>
      <c r="R435" s="26"/>
      <c r="S435" s="26"/>
    </row>
    <row r="436" spans="1:19" x14ac:dyDescent="0.25">
      <c r="A436" s="23" t="s">
        <v>16</v>
      </c>
      <c r="B436" s="23" t="s">
        <v>17</v>
      </c>
      <c r="C436" s="23" t="s">
        <v>18</v>
      </c>
      <c r="D436" s="8">
        <v>2014</v>
      </c>
      <c r="E436" s="21" t="s">
        <v>293</v>
      </c>
      <c r="F436" s="10">
        <v>41782</v>
      </c>
      <c r="G436" s="23" t="s">
        <v>249</v>
      </c>
      <c r="H436" s="13" t="s">
        <v>256</v>
      </c>
      <c r="I436" s="12">
        <v>-300</v>
      </c>
      <c r="J436" s="13" t="s">
        <v>38</v>
      </c>
      <c r="K436" s="13" t="s">
        <v>155</v>
      </c>
      <c r="L436" s="13" t="s">
        <v>91</v>
      </c>
      <c r="M436" s="13"/>
      <c r="N436" s="31"/>
      <c r="O436" s="14">
        <f t="shared" si="12"/>
        <v>-300</v>
      </c>
      <c r="P436" s="15">
        <f t="shared" si="13"/>
        <v>41782</v>
      </c>
      <c r="Q436" s="15"/>
      <c r="R436" s="16"/>
      <c r="S436" s="26"/>
    </row>
    <row r="437" spans="1:19" x14ac:dyDescent="0.25">
      <c r="A437" s="23" t="s">
        <v>16</v>
      </c>
      <c r="B437" s="23" t="s">
        <v>17</v>
      </c>
      <c r="C437" s="23" t="s">
        <v>18</v>
      </c>
      <c r="D437" s="8">
        <v>2014</v>
      </c>
      <c r="E437" s="21" t="s">
        <v>293</v>
      </c>
      <c r="F437" s="10">
        <v>41782</v>
      </c>
      <c r="G437" s="8" t="s">
        <v>249</v>
      </c>
      <c r="H437" s="11" t="s">
        <v>378</v>
      </c>
      <c r="I437" s="12">
        <v>-470</v>
      </c>
      <c r="J437" s="13" t="s">
        <v>38</v>
      </c>
      <c r="K437" s="13" t="s">
        <v>155</v>
      </c>
      <c r="L437" s="13" t="s">
        <v>91</v>
      </c>
      <c r="M437" s="13"/>
      <c r="N437" s="31"/>
      <c r="O437" s="14">
        <f t="shared" si="12"/>
        <v>-470</v>
      </c>
      <c r="P437" s="15">
        <f t="shared" si="13"/>
        <v>41782</v>
      </c>
      <c r="Q437" s="15"/>
      <c r="R437" s="16"/>
      <c r="S437" s="26"/>
    </row>
    <row r="438" spans="1:19" x14ac:dyDescent="0.25">
      <c r="A438" s="23" t="s">
        <v>16</v>
      </c>
      <c r="B438" s="23" t="s">
        <v>17</v>
      </c>
      <c r="C438" s="23" t="s">
        <v>18</v>
      </c>
      <c r="D438" s="8">
        <v>2014</v>
      </c>
      <c r="E438" s="21" t="s">
        <v>293</v>
      </c>
      <c r="F438" s="10">
        <v>41782</v>
      </c>
      <c r="G438" s="8" t="s">
        <v>249</v>
      </c>
      <c r="H438" s="11" t="s">
        <v>347</v>
      </c>
      <c r="I438" s="12">
        <v>-141</v>
      </c>
      <c r="J438" s="13" t="s">
        <v>38</v>
      </c>
      <c r="K438" s="13" t="s">
        <v>155</v>
      </c>
      <c r="L438" s="13" t="s">
        <v>91</v>
      </c>
      <c r="M438" s="13"/>
      <c r="N438" s="31"/>
      <c r="O438" s="14">
        <f t="shared" si="12"/>
        <v>-141</v>
      </c>
      <c r="P438" s="15">
        <f t="shared" si="13"/>
        <v>41782</v>
      </c>
      <c r="Q438" s="15"/>
      <c r="R438" s="16"/>
      <c r="S438" s="16"/>
    </row>
    <row r="439" spans="1:19" x14ac:dyDescent="0.25">
      <c r="A439" s="23" t="s">
        <v>16</v>
      </c>
      <c r="B439" s="23" t="s">
        <v>17</v>
      </c>
      <c r="C439" s="23" t="s">
        <v>18</v>
      </c>
      <c r="D439" s="8">
        <v>2014</v>
      </c>
      <c r="E439" s="21" t="s">
        <v>293</v>
      </c>
      <c r="F439" s="10">
        <v>41782</v>
      </c>
      <c r="G439" s="8" t="s">
        <v>249</v>
      </c>
      <c r="H439" s="11" t="s">
        <v>348</v>
      </c>
      <c r="I439" s="12">
        <v>-47</v>
      </c>
      <c r="J439" s="13" t="s">
        <v>38</v>
      </c>
      <c r="K439" s="13" t="s">
        <v>155</v>
      </c>
      <c r="L439" s="13" t="s">
        <v>91</v>
      </c>
      <c r="M439" s="13"/>
      <c r="N439" s="31"/>
      <c r="O439" s="14">
        <f t="shared" si="12"/>
        <v>-47</v>
      </c>
      <c r="P439" s="15">
        <f t="shared" si="13"/>
        <v>41782</v>
      </c>
      <c r="Q439" s="15"/>
      <c r="R439" s="16"/>
      <c r="S439" s="16"/>
    </row>
    <row r="440" spans="1:19" x14ac:dyDescent="0.25">
      <c r="A440" s="23" t="s">
        <v>16</v>
      </c>
      <c r="B440" s="23" t="s">
        <v>17</v>
      </c>
      <c r="C440" s="23" t="s">
        <v>18</v>
      </c>
      <c r="D440" s="8">
        <v>2014</v>
      </c>
      <c r="E440" s="21" t="s">
        <v>293</v>
      </c>
      <c r="F440" s="10">
        <v>41782</v>
      </c>
      <c r="G440" s="8" t="s">
        <v>249</v>
      </c>
      <c r="H440" s="11" t="s">
        <v>328</v>
      </c>
      <c r="I440" s="12">
        <v>-658</v>
      </c>
      <c r="J440" s="13" t="s">
        <v>38</v>
      </c>
      <c r="K440" s="13" t="s">
        <v>155</v>
      </c>
      <c r="L440" s="13" t="s">
        <v>91</v>
      </c>
      <c r="M440" s="13"/>
      <c r="N440" s="31"/>
      <c r="O440" s="14">
        <f t="shared" si="12"/>
        <v>-658</v>
      </c>
      <c r="P440" s="15">
        <f t="shared" si="13"/>
        <v>41782</v>
      </c>
      <c r="Q440" s="15"/>
      <c r="R440" s="16"/>
      <c r="S440" s="16"/>
    </row>
    <row r="441" spans="1:19" x14ac:dyDescent="0.25">
      <c r="A441" s="23" t="s">
        <v>16</v>
      </c>
      <c r="B441" s="23" t="s">
        <v>17</v>
      </c>
      <c r="C441" s="23" t="s">
        <v>18</v>
      </c>
      <c r="D441" s="8">
        <v>2014</v>
      </c>
      <c r="E441" s="21" t="s">
        <v>293</v>
      </c>
      <c r="F441" s="10">
        <v>41782</v>
      </c>
      <c r="G441" s="8" t="s">
        <v>249</v>
      </c>
      <c r="H441" s="11" t="s">
        <v>379</v>
      </c>
      <c r="I441" s="12">
        <v>-446</v>
      </c>
      <c r="J441" s="13" t="s">
        <v>38</v>
      </c>
      <c r="K441" s="13" t="s">
        <v>155</v>
      </c>
      <c r="L441" s="13" t="s">
        <v>91</v>
      </c>
      <c r="M441" s="13"/>
      <c r="N441" s="31"/>
      <c r="O441" s="14">
        <f t="shared" si="12"/>
        <v>-446</v>
      </c>
      <c r="P441" s="15">
        <f t="shared" si="13"/>
        <v>41782</v>
      </c>
      <c r="Q441" s="15"/>
      <c r="R441" s="26"/>
      <c r="S441" s="26"/>
    </row>
    <row r="442" spans="1:19" x14ac:dyDescent="0.25">
      <c r="A442" s="23" t="s">
        <v>16</v>
      </c>
      <c r="B442" s="23" t="s">
        <v>17</v>
      </c>
      <c r="C442" s="23" t="s">
        <v>18</v>
      </c>
      <c r="D442" s="8">
        <v>2014</v>
      </c>
      <c r="E442" s="21" t="s">
        <v>293</v>
      </c>
      <c r="F442" s="10">
        <v>41782</v>
      </c>
      <c r="G442" s="8" t="s">
        <v>249</v>
      </c>
      <c r="H442" s="11" t="s">
        <v>350</v>
      </c>
      <c r="I442" s="12">
        <v>-729</v>
      </c>
      <c r="J442" s="13" t="s">
        <v>38</v>
      </c>
      <c r="K442" s="13" t="s">
        <v>155</v>
      </c>
      <c r="L442" s="13" t="s">
        <v>91</v>
      </c>
      <c r="M442" s="13"/>
      <c r="N442" s="31"/>
      <c r="O442" s="14">
        <f t="shared" si="12"/>
        <v>-729</v>
      </c>
      <c r="P442" s="15">
        <f t="shared" si="13"/>
        <v>41782</v>
      </c>
      <c r="Q442" s="15"/>
      <c r="R442" s="26"/>
      <c r="S442" s="26"/>
    </row>
    <row r="443" spans="1:19" x14ac:dyDescent="0.25">
      <c r="A443" s="23" t="s">
        <v>16</v>
      </c>
      <c r="B443" s="23" t="s">
        <v>17</v>
      </c>
      <c r="C443" s="23" t="s">
        <v>18</v>
      </c>
      <c r="D443" s="8">
        <v>2014</v>
      </c>
      <c r="E443" s="21" t="s">
        <v>293</v>
      </c>
      <c r="F443" s="22">
        <v>41782</v>
      </c>
      <c r="G443" s="8" t="s">
        <v>249</v>
      </c>
      <c r="H443" s="11" t="s">
        <v>344</v>
      </c>
      <c r="I443" s="12">
        <v>-141</v>
      </c>
      <c r="J443" s="13" t="s">
        <v>38</v>
      </c>
      <c r="K443" s="13" t="s">
        <v>155</v>
      </c>
      <c r="L443" s="13" t="s">
        <v>91</v>
      </c>
      <c r="M443" s="13"/>
      <c r="N443" s="31"/>
      <c r="O443" s="14">
        <f t="shared" si="12"/>
        <v>-141</v>
      </c>
      <c r="P443" s="15">
        <f t="shared" si="13"/>
        <v>41782</v>
      </c>
      <c r="Q443" s="15"/>
      <c r="R443" s="26"/>
      <c r="S443" s="26"/>
    </row>
    <row r="444" spans="1:19" x14ac:dyDescent="0.25">
      <c r="A444" s="23" t="s">
        <v>16</v>
      </c>
      <c r="B444" s="23" t="s">
        <v>17</v>
      </c>
      <c r="C444" s="23" t="s">
        <v>18</v>
      </c>
      <c r="D444" s="8">
        <v>2014</v>
      </c>
      <c r="E444" s="21" t="s">
        <v>293</v>
      </c>
      <c r="F444" s="22">
        <v>41782</v>
      </c>
      <c r="G444" s="8" t="s">
        <v>249</v>
      </c>
      <c r="H444" s="11" t="s">
        <v>349</v>
      </c>
      <c r="I444" s="12">
        <v>-517</v>
      </c>
      <c r="J444" s="13" t="s">
        <v>38</v>
      </c>
      <c r="K444" s="13" t="s">
        <v>155</v>
      </c>
      <c r="L444" s="13" t="s">
        <v>91</v>
      </c>
      <c r="M444" s="13"/>
      <c r="N444" s="31"/>
      <c r="O444" s="14">
        <f t="shared" si="12"/>
        <v>-517</v>
      </c>
      <c r="P444" s="15">
        <f t="shared" si="13"/>
        <v>41782</v>
      </c>
      <c r="Q444" s="15"/>
      <c r="R444" s="26"/>
      <c r="S444" s="26"/>
    </row>
    <row r="445" spans="1:19" x14ac:dyDescent="0.25">
      <c r="A445" s="23" t="s">
        <v>16</v>
      </c>
      <c r="B445" s="23" t="s">
        <v>17</v>
      </c>
      <c r="C445" s="23" t="s">
        <v>18</v>
      </c>
      <c r="D445" s="8">
        <v>2014</v>
      </c>
      <c r="E445" s="21" t="s">
        <v>293</v>
      </c>
      <c r="F445" s="22">
        <v>41782</v>
      </c>
      <c r="G445" s="8" t="s">
        <v>249</v>
      </c>
      <c r="H445" s="11" t="s">
        <v>419</v>
      </c>
      <c r="I445" s="12">
        <v>-141</v>
      </c>
      <c r="J445" s="13" t="s">
        <v>38</v>
      </c>
      <c r="K445" s="13" t="s">
        <v>155</v>
      </c>
      <c r="L445" s="13" t="s">
        <v>91</v>
      </c>
      <c r="M445" s="13"/>
      <c r="N445" s="31"/>
      <c r="O445" s="14">
        <f t="shared" si="12"/>
        <v>-141</v>
      </c>
      <c r="P445" s="15">
        <f t="shared" si="13"/>
        <v>41782</v>
      </c>
      <c r="Q445" s="15"/>
      <c r="R445" s="26"/>
      <c r="S445" s="26"/>
    </row>
    <row r="446" spans="1:19" x14ac:dyDescent="0.25">
      <c r="A446" s="23" t="s">
        <v>16</v>
      </c>
      <c r="B446" s="23" t="s">
        <v>17</v>
      </c>
      <c r="C446" s="23" t="s">
        <v>18</v>
      </c>
      <c r="D446" s="8">
        <v>2014</v>
      </c>
      <c r="E446" s="21" t="s">
        <v>293</v>
      </c>
      <c r="F446" s="22">
        <v>41782</v>
      </c>
      <c r="G446" s="8" t="s">
        <v>249</v>
      </c>
      <c r="H446" s="11" t="s">
        <v>345</v>
      </c>
      <c r="I446" s="12">
        <v>-47</v>
      </c>
      <c r="J446" s="13" t="s">
        <v>38</v>
      </c>
      <c r="K446" s="13" t="s">
        <v>155</v>
      </c>
      <c r="L446" s="13" t="s">
        <v>91</v>
      </c>
      <c r="M446" s="13"/>
      <c r="N446" s="31"/>
      <c r="O446" s="14">
        <f t="shared" si="12"/>
        <v>-47</v>
      </c>
      <c r="P446" s="15">
        <f t="shared" si="13"/>
        <v>41782</v>
      </c>
      <c r="Q446" s="15"/>
      <c r="R446" s="26"/>
      <c r="S446" s="26"/>
    </row>
    <row r="447" spans="1:19" x14ac:dyDescent="0.25">
      <c r="A447" s="23" t="s">
        <v>16</v>
      </c>
      <c r="B447" s="23" t="s">
        <v>17</v>
      </c>
      <c r="C447" s="23" t="s">
        <v>18</v>
      </c>
      <c r="D447" s="8">
        <v>2014</v>
      </c>
      <c r="E447" s="21" t="s">
        <v>293</v>
      </c>
      <c r="F447" s="22">
        <v>41782</v>
      </c>
      <c r="G447" s="8" t="s">
        <v>249</v>
      </c>
      <c r="H447" s="11" t="s">
        <v>420</v>
      </c>
      <c r="I447" s="12">
        <v>-305</v>
      </c>
      <c r="J447" s="13" t="s">
        <v>38</v>
      </c>
      <c r="K447" s="13" t="s">
        <v>155</v>
      </c>
      <c r="L447" s="13" t="s">
        <v>91</v>
      </c>
      <c r="M447" s="13"/>
      <c r="N447" s="31"/>
      <c r="O447" s="14">
        <f t="shared" si="12"/>
        <v>-305</v>
      </c>
      <c r="P447" s="15">
        <f t="shared" si="13"/>
        <v>41782</v>
      </c>
      <c r="Q447" s="15"/>
      <c r="R447" s="16"/>
      <c r="S447" s="16"/>
    </row>
    <row r="448" spans="1:19" x14ac:dyDescent="0.25">
      <c r="A448" s="23" t="s">
        <v>16</v>
      </c>
      <c r="B448" s="23" t="s">
        <v>17</v>
      </c>
      <c r="C448" s="23" t="s">
        <v>18</v>
      </c>
      <c r="D448" s="8">
        <v>2014</v>
      </c>
      <c r="E448" s="21" t="s">
        <v>293</v>
      </c>
      <c r="F448" s="22">
        <v>41782</v>
      </c>
      <c r="G448" s="8" t="s">
        <v>249</v>
      </c>
      <c r="H448" s="11" t="s">
        <v>346</v>
      </c>
      <c r="I448" s="12">
        <v>-47</v>
      </c>
      <c r="J448" s="13" t="s">
        <v>38</v>
      </c>
      <c r="K448" s="13" t="s">
        <v>155</v>
      </c>
      <c r="L448" s="13" t="s">
        <v>91</v>
      </c>
      <c r="M448" s="13"/>
      <c r="N448" s="31"/>
      <c r="O448" s="14">
        <f t="shared" si="12"/>
        <v>-47</v>
      </c>
      <c r="P448" s="15">
        <f t="shared" si="13"/>
        <v>41782</v>
      </c>
      <c r="Q448" s="15"/>
      <c r="R448" s="16"/>
      <c r="S448" s="16"/>
    </row>
    <row r="449" spans="1:19" x14ac:dyDescent="0.25">
      <c r="A449" s="23" t="s">
        <v>16</v>
      </c>
      <c r="B449" s="23" t="s">
        <v>17</v>
      </c>
      <c r="C449" s="23" t="s">
        <v>18</v>
      </c>
      <c r="D449" s="8">
        <v>2014</v>
      </c>
      <c r="E449" s="21" t="s">
        <v>293</v>
      </c>
      <c r="F449" s="22">
        <v>41782</v>
      </c>
      <c r="G449" s="23" t="s">
        <v>249</v>
      </c>
      <c r="H449" s="13" t="s">
        <v>122</v>
      </c>
      <c r="I449" s="12">
        <v>-4000</v>
      </c>
      <c r="J449" s="13" t="s">
        <v>33</v>
      </c>
      <c r="K449" s="13" t="s">
        <v>123</v>
      </c>
      <c r="L449" s="13" t="s">
        <v>124</v>
      </c>
      <c r="M449" s="25" t="s">
        <v>125</v>
      </c>
      <c r="N449" s="31"/>
      <c r="O449" s="14">
        <f t="shared" si="12"/>
        <v>-4000</v>
      </c>
      <c r="P449" s="15">
        <f t="shared" si="13"/>
        <v>41782</v>
      </c>
      <c r="Q449" s="15"/>
      <c r="R449" s="16"/>
      <c r="S449" s="16"/>
    </row>
    <row r="450" spans="1:19" x14ac:dyDescent="0.25">
      <c r="A450" s="23" t="s">
        <v>16</v>
      </c>
      <c r="B450" s="23" t="s">
        <v>17</v>
      </c>
      <c r="C450" s="23" t="s">
        <v>18</v>
      </c>
      <c r="D450" s="8">
        <v>2014</v>
      </c>
      <c r="E450" s="21" t="s">
        <v>293</v>
      </c>
      <c r="F450" s="10">
        <v>41783</v>
      </c>
      <c r="G450" s="8"/>
      <c r="H450" s="11" t="s">
        <v>377</v>
      </c>
      <c r="I450" s="12">
        <v>-441.26</v>
      </c>
      <c r="J450" s="13" t="s">
        <v>21</v>
      </c>
      <c r="K450" s="13" t="s">
        <v>56</v>
      </c>
      <c r="L450" s="13" t="s">
        <v>111</v>
      </c>
      <c r="M450" s="13" t="s">
        <v>28</v>
      </c>
      <c r="N450" s="14"/>
      <c r="O450" s="14">
        <f t="shared" ref="O450:O513" si="14">IF(B450="$",I450,I450/N450)</f>
        <v>-441.26</v>
      </c>
      <c r="P450" s="15">
        <f t="shared" si="13"/>
        <v>41783</v>
      </c>
      <c r="Q450" s="15"/>
      <c r="R450" s="16"/>
      <c r="S450" s="16"/>
    </row>
    <row r="451" spans="1:19" x14ac:dyDescent="0.25">
      <c r="A451" s="23" t="s">
        <v>16</v>
      </c>
      <c r="B451" s="23" t="s">
        <v>17</v>
      </c>
      <c r="C451" s="23" t="s">
        <v>51</v>
      </c>
      <c r="D451" s="8">
        <v>2014</v>
      </c>
      <c r="E451" s="21" t="s">
        <v>293</v>
      </c>
      <c r="F451" s="10">
        <v>41783</v>
      </c>
      <c r="G451" s="8">
        <v>11740</v>
      </c>
      <c r="H451" s="11" t="s">
        <v>421</v>
      </c>
      <c r="I451" s="12">
        <v>2500</v>
      </c>
      <c r="J451" s="13" t="s">
        <v>53</v>
      </c>
      <c r="K451" s="13" t="s">
        <v>54</v>
      </c>
      <c r="L451" s="13"/>
      <c r="M451" s="13"/>
      <c r="N451" s="31"/>
      <c r="O451" s="14">
        <f t="shared" si="14"/>
        <v>2500</v>
      </c>
      <c r="P451" s="15">
        <f t="shared" si="13"/>
        <v>41783</v>
      </c>
      <c r="Q451" s="15"/>
      <c r="R451" s="16"/>
      <c r="S451" s="16"/>
    </row>
    <row r="452" spans="1:19" x14ac:dyDescent="0.25">
      <c r="A452" s="23" t="s">
        <v>16</v>
      </c>
      <c r="B452" s="23" t="s">
        <v>17</v>
      </c>
      <c r="C452" s="23" t="s">
        <v>51</v>
      </c>
      <c r="D452" s="8">
        <v>2014</v>
      </c>
      <c r="E452" s="21" t="s">
        <v>293</v>
      </c>
      <c r="F452" s="10">
        <v>41783</v>
      </c>
      <c r="G452" s="8">
        <v>11741</v>
      </c>
      <c r="H452" s="11" t="s">
        <v>422</v>
      </c>
      <c r="I452" s="12">
        <v>100</v>
      </c>
      <c r="J452" s="13" t="s">
        <v>53</v>
      </c>
      <c r="K452" s="13" t="s">
        <v>54</v>
      </c>
      <c r="L452" s="13"/>
      <c r="M452" s="13"/>
      <c r="N452" s="31"/>
      <c r="O452" s="14">
        <f t="shared" si="14"/>
        <v>100</v>
      </c>
      <c r="P452" s="15">
        <f t="shared" si="13"/>
        <v>41783</v>
      </c>
      <c r="Q452" s="15"/>
      <c r="R452" s="16"/>
      <c r="S452" s="16"/>
    </row>
    <row r="453" spans="1:19" x14ac:dyDescent="0.25">
      <c r="A453" s="23" t="s">
        <v>16</v>
      </c>
      <c r="B453" s="23" t="s">
        <v>17</v>
      </c>
      <c r="C453" s="23" t="s">
        <v>51</v>
      </c>
      <c r="D453" s="8">
        <v>2014</v>
      </c>
      <c r="E453" s="21" t="s">
        <v>293</v>
      </c>
      <c r="F453" s="10">
        <v>41783</v>
      </c>
      <c r="G453" s="8">
        <v>11743</v>
      </c>
      <c r="H453" s="11" t="s">
        <v>423</v>
      </c>
      <c r="I453" s="12">
        <v>300</v>
      </c>
      <c r="J453" s="13" t="s">
        <v>53</v>
      </c>
      <c r="K453" s="13" t="s">
        <v>54</v>
      </c>
      <c r="L453" s="13"/>
      <c r="M453" s="13"/>
      <c r="N453" s="31"/>
      <c r="O453" s="14">
        <f t="shared" si="14"/>
        <v>300</v>
      </c>
      <c r="P453" s="15">
        <f t="shared" ref="P453:P516" si="15">F453</f>
        <v>41783</v>
      </c>
      <c r="Q453" s="15"/>
      <c r="R453" s="16"/>
      <c r="S453" s="16"/>
    </row>
    <row r="454" spans="1:19" x14ac:dyDescent="0.25">
      <c r="A454" s="23" t="s">
        <v>16</v>
      </c>
      <c r="B454" s="23" t="s">
        <v>17</v>
      </c>
      <c r="C454" s="23" t="s">
        <v>51</v>
      </c>
      <c r="D454" s="8">
        <v>2014</v>
      </c>
      <c r="E454" s="21" t="s">
        <v>293</v>
      </c>
      <c r="F454" s="10">
        <v>41783</v>
      </c>
      <c r="G454" s="8">
        <v>11746</v>
      </c>
      <c r="H454" s="11" t="s">
        <v>424</v>
      </c>
      <c r="I454" s="12">
        <v>100</v>
      </c>
      <c r="J454" s="13" t="s">
        <v>53</v>
      </c>
      <c r="K454" s="13" t="s">
        <v>54</v>
      </c>
      <c r="L454" s="13"/>
      <c r="M454" s="13"/>
      <c r="N454" s="31"/>
      <c r="O454" s="14">
        <f t="shared" si="14"/>
        <v>100</v>
      </c>
      <c r="P454" s="15">
        <f t="shared" si="15"/>
        <v>41783</v>
      </c>
      <c r="Q454" s="15"/>
      <c r="R454" s="16"/>
      <c r="S454" s="16"/>
    </row>
    <row r="455" spans="1:19" x14ac:dyDescent="0.25">
      <c r="A455" s="23" t="s">
        <v>16</v>
      </c>
      <c r="B455" s="23" t="s">
        <v>17</v>
      </c>
      <c r="C455" s="23" t="s">
        <v>51</v>
      </c>
      <c r="D455" s="8">
        <v>2014</v>
      </c>
      <c r="E455" s="21" t="s">
        <v>293</v>
      </c>
      <c r="F455" s="10">
        <v>41783</v>
      </c>
      <c r="G455" s="8">
        <v>11747</v>
      </c>
      <c r="H455" s="11" t="s">
        <v>425</v>
      </c>
      <c r="I455" s="12">
        <v>2000</v>
      </c>
      <c r="J455" s="13" t="s">
        <v>53</v>
      </c>
      <c r="K455" s="13" t="s">
        <v>54</v>
      </c>
      <c r="L455" s="13"/>
      <c r="M455" s="13"/>
      <c r="N455" s="31"/>
      <c r="O455" s="14">
        <f t="shared" si="14"/>
        <v>2000</v>
      </c>
      <c r="P455" s="15">
        <f t="shared" si="15"/>
        <v>41783</v>
      </c>
      <c r="Q455" s="15"/>
      <c r="R455" s="16"/>
      <c r="S455" s="16"/>
    </row>
    <row r="456" spans="1:19" x14ac:dyDescent="0.25">
      <c r="A456" s="23" t="s">
        <v>16</v>
      </c>
      <c r="B456" s="23" t="s">
        <v>17</v>
      </c>
      <c r="C456" s="23" t="s">
        <v>51</v>
      </c>
      <c r="D456" s="8">
        <v>2014</v>
      </c>
      <c r="E456" s="21" t="s">
        <v>293</v>
      </c>
      <c r="F456" s="10">
        <v>41783</v>
      </c>
      <c r="G456" s="8">
        <v>11748</v>
      </c>
      <c r="H456" s="11" t="s">
        <v>426</v>
      </c>
      <c r="I456" s="12">
        <v>2000</v>
      </c>
      <c r="J456" s="13" t="s">
        <v>53</v>
      </c>
      <c r="K456" s="13" t="s">
        <v>54</v>
      </c>
      <c r="L456" s="13"/>
      <c r="M456" s="13"/>
      <c r="N456" s="31"/>
      <c r="O456" s="14">
        <f t="shared" si="14"/>
        <v>2000</v>
      </c>
      <c r="P456" s="15">
        <f t="shared" si="15"/>
        <v>41783</v>
      </c>
      <c r="Q456" s="15"/>
      <c r="R456" s="16"/>
      <c r="S456" s="16"/>
    </row>
    <row r="457" spans="1:19" x14ac:dyDescent="0.25">
      <c r="A457" s="23" t="s">
        <v>16</v>
      </c>
      <c r="B457" s="23" t="s">
        <v>17</v>
      </c>
      <c r="C457" s="23" t="s">
        <v>51</v>
      </c>
      <c r="D457" s="8">
        <v>2014</v>
      </c>
      <c r="E457" s="21" t="s">
        <v>293</v>
      </c>
      <c r="F457" s="10">
        <v>41784</v>
      </c>
      <c r="G457" s="8">
        <v>11750</v>
      </c>
      <c r="H457" s="11" t="s">
        <v>427</v>
      </c>
      <c r="I457" s="12">
        <v>100</v>
      </c>
      <c r="J457" s="13" t="s">
        <v>53</v>
      </c>
      <c r="K457" s="13" t="s">
        <v>54</v>
      </c>
      <c r="L457" s="13"/>
      <c r="M457" s="13"/>
      <c r="N457" s="31"/>
      <c r="O457" s="14">
        <f t="shared" si="14"/>
        <v>100</v>
      </c>
      <c r="P457" s="15">
        <f t="shared" si="15"/>
        <v>41784</v>
      </c>
      <c r="Q457" s="15"/>
      <c r="R457" s="16"/>
      <c r="S457" s="16"/>
    </row>
    <row r="458" spans="1:19" x14ac:dyDescent="0.25">
      <c r="A458" s="23" t="s">
        <v>16</v>
      </c>
      <c r="B458" s="23" t="s">
        <v>17</v>
      </c>
      <c r="C458" s="23" t="s">
        <v>51</v>
      </c>
      <c r="D458" s="8">
        <v>2014</v>
      </c>
      <c r="E458" s="21" t="s">
        <v>293</v>
      </c>
      <c r="F458" s="10">
        <v>41784</v>
      </c>
      <c r="G458" s="8">
        <v>11751</v>
      </c>
      <c r="H458" s="11" t="s">
        <v>428</v>
      </c>
      <c r="I458" s="12">
        <v>500</v>
      </c>
      <c r="J458" s="13" t="s">
        <v>53</v>
      </c>
      <c r="K458" s="13" t="s">
        <v>54</v>
      </c>
      <c r="L458" s="13"/>
      <c r="M458" s="13"/>
      <c r="N458" s="31"/>
      <c r="O458" s="14">
        <f t="shared" si="14"/>
        <v>500</v>
      </c>
      <c r="P458" s="15">
        <f t="shared" si="15"/>
        <v>41784</v>
      </c>
      <c r="Q458" s="15"/>
      <c r="R458" s="16"/>
      <c r="S458" s="16"/>
    </row>
    <row r="459" spans="1:19" x14ac:dyDescent="0.25">
      <c r="A459" s="8" t="s">
        <v>16</v>
      </c>
      <c r="B459" s="8" t="s">
        <v>45</v>
      </c>
      <c r="C459" s="36" t="s">
        <v>46</v>
      </c>
      <c r="D459" s="8">
        <v>2014</v>
      </c>
      <c r="E459" s="21" t="s">
        <v>293</v>
      </c>
      <c r="F459" s="10">
        <v>41784</v>
      </c>
      <c r="G459" s="8"/>
      <c r="H459" s="17" t="s">
        <v>365</v>
      </c>
      <c r="I459" s="12">
        <f>-2295.08*11.12</f>
        <v>-25521.289599999996</v>
      </c>
      <c r="J459" s="13" t="s">
        <v>48</v>
      </c>
      <c r="K459" s="13" t="s">
        <v>49</v>
      </c>
      <c r="L459" s="13" t="s">
        <v>50</v>
      </c>
      <c r="M459" s="13"/>
      <c r="N459" s="14">
        <v>11.12</v>
      </c>
      <c r="O459" s="14">
        <f t="shared" si="14"/>
        <v>-2295.08</v>
      </c>
      <c r="P459" s="15">
        <f t="shared" si="15"/>
        <v>41784</v>
      </c>
      <c r="Q459" s="15"/>
      <c r="R459" s="35"/>
      <c r="S459" s="16"/>
    </row>
    <row r="460" spans="1:19" x14ac:dyDescent="0.25">
      <c r="A460" s="23" t="s">
        <v>16</v>
      </c>
      <c r="B460" s="23" t="s">
        <v>17</v>
      </c>
      <c r="C460" s="23" t="s">
        <v>51</v>
      </c>
      <c r="D460" s="8">
        <v>2014</v>
      </c>
      <c r="E460" s="21" t="s">
        <v>293</v>
      </c>
      <c r="F460" s="22">
        <v>41784</v>
      </c>
      <c r="G460" s="8">
        <v>11749</v>
      </c>
      <c r="H460" s="11" t="s">
        <v>429</v>
      </c>
      <c r="I460" s="12">
        <v>500</v>
      </c>
      <c r="J460" s="13" t="s">
        <v>53</v>
      </c>
      <c r="K460" s="13" t="s">
        <v>54</v>
      </c>
      <c r="L460" s="13"/>
      <c r="M460" s="13"/>
      <c r="N460" s="31"/>
      <c r="O460" s="14">
        <f t="shared" si="14"/>
        <v>500</v>
      </c>
      <c r="P460" s="15">
        <f t="shared" si="15"/>
        <v>41784</v>
      </c>
      <c r="Q460" s="15"/>
      <c r="R460" s="16"/>
      <c r="S460" s="16"/>
    </row>
    <row r="461" spans="1:19" x14ac:dyDescent="0.25">
      <c r="A461" s="8" t="s">
        <v>16</v>
      </c>
      <c r="B461" s="8" t="s">
        <v>17</v>
      </c>
      <c r="C461" s="36" t="s">
        <v>18</v>
      </c>
      <c r="D461" s="8">
        <v>2014</v>
      </c>
      <c r="E461" s="21" t="s">
        <v>293</v>
      </c>
      <c r="F461" s="10">
        <v>41785</v>
      </c>
      <c r="G461" s="8"/>
      <c r="H461" s="11" t="s">
        <v>142</v>
      </c>
      <c r="I461" s="12">
        <v>-58</v>
      </c>
      <c r="J461" s="13" t="s">
        <v>21</v>
      </c>
      <c r="K461" s="13" t="s">
        <v>143</v>
      </c>
      <c r="L461" s="13" t="s">
        <v>144</v>
      </c>
      <c r="M461" s="13" t="s">
        <v>145</v>
      </c>
      <c r="N461" s="14"/>
      <c r="O461" s="14">
        <f t="shared" si="14"/>
        <v>-58</v>
      </c>
      <c r="P461" s="15">
        <f t="shared" si="15"/>
        <v>41785</v>
      </c>
      <c r="Q461" s="15"/>
      <c r="R461" s="16"/>
      <c r="S461" s="16"/>
    </row>
    <row r="462" spans="1:19" x14ac:dyDescent="0.25">
      <c r="A462" s="8" t="s">
        <v>16</v>
      </c>
      <c r="B462" s="8" t="s">
        <v>17</v>
      </c>
      <c r="C462" s="36" t="s">
        <v>18</v>
      </c>
      <c r="D462" s="8">
        <v>2014</v>
      </c>
      <c r="E462" s="21" t="s">
        <v>293</v>
      </c>
      <c r="F462" s="10">
        <v>41785</v>
      </c>
      <c r="G462" s="8"/>
      <c r="H462" s="17" t="s">
        <v>142</v>
      </c>
      <c r="I462" s="12">
        <v>-46.11</v>
      </c>
      <c r="J462" s="13" t="s">
        <v>21</v>
      </c>
      <c r="K462" s="13" t="s">
        <v>143</v>
      </c>
      <c r="L462" s="13" t="s">
        <v>144</v>
      </c>
      <c r="M462" s="13" t="s">
        <v>28</v>
      </c>
      <c r="N462" s="14"/>
      <c r="O462" s="14">
        <f t="shared" si="14"/>
        <v>-46.11</v>
      </c>
      <c r="P462" s="15">
        <f t="shared" si="15"/>
        <v>41785</v>
      </c>
      <c r="Q462" s="15"/>
      <c r="R462" s="16"/>
      <c r="S462" s="16"/>
    </row>
    <row r="463" spans="1:19" x14ac:dyDescent="0.25">
      <c r="A463" s="8" t="s">
        <v>16</v>
      </c>
      <c r="B463" s="8" t="s">
        <v>17</v>
      </c>
      <c r="C463" s="8" t="s">
        <v>18</v>
      </c>
      <c r="D463" s="8">
        <v>2014</v>
      </c>
      <c r="E463" s="21" t="s">
        <v>293</v>
      </c>
      <c r="F463" s="10">
        <v>41785</v>
      </c>
      <c r="G463" s="8"/>
      <c r="H463" s="11" t="s">
        <v>430</v>
      </c>
      <c r="I463" s="12">
        <v>-159.6</v>
      </c>
      <c r="J463" s="13" t="s">
        <v>21</v>
      </c>
      <c r="K463" s="13" t="s">
        <v>63</v>
      </c>
      <c r="L463" s="13" t="s">
        <v>64</v>
      </c>
      <c r="M463" s="13"/>
      <c r="N463" s="14"/>
      <c r="O463" s="14">
        <f t="shared" si="14"/>
        <v>-159.6</v>
      </c>
      <c r="P463" s="15">
        <f t="shared" si="15"/>
        <v>41785</v>
      </c>
      <c r="Q463" s="15"/>
      <c r="R463" s="16"/>
      <c r="S463" s="16"/>
    </row>
    <row r="464" spans="1:19" x14ac:dyDescent="0.25">
      <c r="A464" s="8" t="s">
        <v>16</v>
      </c>
      <c r="B464" s="8" t="s">
        <v>17</v>
      </c>
      <c r="C464" s="8" t="s">
        <v>18</v>
      </c>
      <c r="D464" s="8">
        <v>2014</v>
      </c>
      <c r="E464" s="21" t="s">
        <v>293</v>
      </c>
      <c r="F464" s="10">
        <v>41785</v>
      </c>
      <c r="G464" s="8"/>
      <c r="H464" s="11" t="s">
        <v>431</v>
      </c>
      <c r="I464" s="12">
        <v>-90</v>
      </c>
      <c r="J464" s="13" t="s">
        <v>21</v>
      </c>
      <c r="K464" s="13" t="s">
        <v>63</v>
      </c>
      <c r="L464" s="13" t="s">
        <v>64</v>
      </c>
      <c r="M464" s="13"/>
      <c r="N464" s="14"/>
      <c r="O464" s="14">
        <f t="shared" si="14"/>
        <v>-90</v>
      </c>
      <c r="P464" s="15">
        <f t="shared" si="15"/>
        <v>41785</v>
      </c>
      <c r="Q464" s="15"/>
      <c r="R464" s="16"/>
      <c r="S464" s="16"/>
    </row>
    <row r="465" spans="1:19" x14ac:dyDescent="0.25">
      <c r="A465" s="8" t="s">
        <v>16</v>
      </c>
      <c r="B465" s="8" t="s">
        <v>17</v>
      </c>
      <c r="C465" s="8" t="s">
        <v>18</v>
      </c>
      <c r="D465" s="8">
        <v>2014</v>
      </c>
      <c r="E465" s="21" t="s">
        <v>293</v>
      </c>
      <c r="F465" s="10">
        <v>41785</v>
      </c>
      <c r="G465" s="8"/>
      <c r="H465" s="11" t="s">
        <v>335</v>
      </c>
      <c r="I465" s="12">
        <v>-409</v>
      </c>
      <c r="J465" s="13" t="s">
        <v>21</v>
      </c>
      <c r="K465" s="13" t="s">
        <v>63</v>
      </c>
      <c r="L465" s="13" t="s">
        <v>64</v>
      </c>
      <c r="M465" s="13"/>
      <c r="N465" s="14"/>
      <c r="O465" s="14">
        <f t="shared" si="14"/>
        <v>-409</v>
      </c>
      <c r="P465" s="15">
        <f t="shared" si="15"/>
        <v>41785</v>
      </c>
      <c r="Q465" s="15"/>
      <c r="R465" s="16"/>
      <c r="S465" s="16"/>
    </row>
    <row r="466" spans="1:19" x14ac:dyDescent="0.25">
      <c r="A466" s="23" t="s">
        <v>16</v>
      </c>
      <c r="B466" s="23" t="s">
        <v>17</v>
      </c>
      <c r="C466" s="23" t="s">
        <v>51</v>
      </c>
      <c r="D466" s="8">
        <v>2014</v>
      </c>
      <c r="E466" s="21" t="s">
        <v>293</v>
      </c>
      <c r="F466" s="22">
        <v>41785</v>
      </c>
      <c r="G466" s="8">
        <v>11753</v>
      </c>
      <c r="H466" s="11" t="s">
        <v>432</v>
      </c>
      <c r="I466" s="12">
        <v>10000</v>
      </c>
      <c r="J466" s="13" t="s">
        <v>53</v>
      </c>
      <c r="K466" s="13" t="s">
        <v>54</v>
      </c>
      <c r="L466" s="13"/>
      <c r="M466" s="13"/>
      <c r="N466" s="31"/>
      <c r="O466" s="14">
        <f t="shared" si="14"/>
        <v>10000</v>
      </c>
      <c r="P466" s="15">
        <f t="shared" si="15"/>
        <v>41785</v>
      </c>
      <c r="Q466" s="15"/>
      <c r="R466" s="16"/>
      <c r="S466" s="16"/>
    </row>
    <row r="467" spans="1:19" x14ac:dyDescent="0.25">
      <c r="A467" s="23" t="s">
        <v>16</v>
      </c>
      <c r="B467" s="23" t="s">
        <v>17</v>
      </c>
      <c r="C467" s="23" t="s">
        <v>51</v>
      </c>
      <c r="D467" s="8">
        <v>2014</v>
      </c>
      <c r="E467" s="21" t="s">
        <v>293</v>
      </c>
      <c r="F467" s="22">
        <v>41785</v>
      </c>
      <c r="G467" s="8">
        <v>11725</v>
      </c>
      <c r="H467" s="11" t="s">
        <v>368</v>
      </c>
      <c r="I467" s="12">
        <v>1100</v>
      </c>
      <c r="J467" s="13" t="s">
        <v>53</v>
      </c>
      <c r="K467" s="13" t="s">
        <v>54</v>
      </c>
      <c r="L467" s="13"/>
      <c r="M467" s="13"/>
      <c r="N467" s="31"/>
      <c r="O467" s="14">
        <f t="shared" si="14"/>
        <v>1100</v>
      </c>
      <c r="P467" s="15">
        <f t="shared" si="15"/>
        <v>41785</v>
      </c>
      <c r="Q467" s="15"/>
      <c r="R467" s="16"/>
      <c r="S467" s="16"/>
    </row>
    <row r="468" spans="1:19" x14ac:dyDescent="0.25">
      <c r="A468" s="23" t="s">
        <v>16</v>
      </c>
      <c r="B468" s="23" t="s">
        <v>17</v>
      </c>
      <c r="C468" s="23" t="s">
        <v>51</v>
      </c>
      <c r="D468" s="8">
        <v>2014</v>
      </c>
      <c r="E468" s="21" t="s">
        <v>293</v>
      </c>
      <c r="F468" s="22">
        <v>41785</v>
      </c>
      <c r="G468" s="8">
        <v>11741</v>
      </c>
      <c r="H468" s="11" t="s">
        <v>422</v>
      </c>
      <c r="I468" s="12">
        <v>9800</v>
      </c>
      <c r="J468" s="13" t="s">
        <v>53</v>
      </c>
      <c r="K468" s="13" t="s">
        <v>54</v>
      </c>
      <c r="L468" s="13"/>
      <c r="M468" s="13"/>
      <c r="N468" s="31"/>
      <c r="O468" s="14">
        <f t="shared" si="14"/>
        <v>9800</v>
      </c>
      <c r="P468" s="15">
        <f t="shared" si="15"/>
        <v>41785</v>
      </c>
      <c r="Q468" s="15"/>
      <c r="R468" s="16"/>
      <c r="S468" s="16"/>
    </row>
    <row r="469" spans="1:19" x14ac:dyDescent="0.25">
      <c r="A469" s="8" t="s">
        <v>16</v>
      </c>
      <c r="B469" s="8" t="s">
        <v>17</v>
      </c>
      <c r="C469" s="8" t="s">
        <v>18</v>
      </c>
      <c r="D469" s="8">
        <v>2014</v>
      </c>
      <c r="E469" s="21" t="s">
        <v>293</v>
      </c>
      <c r="F469" s="10">
        <v>41786</v>
      </c>
      <c r="G469" s="8"/>
      <c r="H469" s="11" t="s">
        <v>433</v>
      </c>
      <c r="I469" s="12">
        <v>-60</v>
      </c>
      <c r="J469" s="13" t="s">
        <v>21</v>
      </c>
      <c r="K469" s="13" t="s">
        <v>63</v>
      </c>
      <c r="L469" s="13" t="s">
        <v>64</v>
      </c>
      <c r="M469" s="13"/>
      <c r="N469" s="14"/>
      <c r="O469" s="14">
        <f t="shared" si="14"/>
        <v>-60</v>
      </c>
      <c r="P469" s="15">
        <f t="shared" si="15"/>
        <v>41786</v>
      </c>
      <c r="Q469" s="15"/>
      <c r="R469" s="16"/>
      <c r="S469" s="16"/>
    </row>
    <row r="470" spans="1:19" x14ac:dyDescent="0.25">
      <c r="A470" s="8" t="s">
        <v>16</v>
      </c>
      <c r="B470" s="8" t="s">
        <v>17</v>
      </c>
      <c r="C470" s="8" t="s">
        <v>18</v>
      </c>
      <c r="D470" s="8">
        <v>2014</v>
      </c>
      <c r="E470" s="21" t="s">
        <v>293</v>
      </c>
      <c r="F470" s="10">
        <v>41786</v>
      </c>
      <c r="G470" s="8"/>
      <c r="H470" s="11" t="s">
        <v>434</v>
      </c>
      <c r="I470" s="12">
        <f>-60-78-49</f>
        <v>-187</v>
      </c>
      <c r="J470" s="13" t="s">
        <v>21</v>
      </c>
      <c r="K470" s="13" t="s">
        <v>63</v>
      </c>
      <c r="L470" s="13" t="s">
        <v>64</v>
      </c>
      <c r="M470" s="13"/>
      <c r="N470" s="14"/>
      <c r="O470" s="14">
        <f t="shared" si="14"/>
        <v>-187</v>
      </c>
      <c r="P470" s="15">
        <f t="shared" si="15"/>
        <v>41786</v>
      </c>
      <c r="Q470" s="15"/>
      <c r="R470" s="16"/>
      <c r="S470" s="16"/>
    </row>
    <row r="471" spans="1:19" x14ac:dyDescent="0.25">
      <c r="A471" s="8" t="s">
        <v>16</v>
      </c>
      <c r="B471" s="8" t="s">
        <v>17</v>
      </c>
      <c r="C471" s="8" t="s">
        <v>18</v>
      </c>
      <c r="D471" s="8">
        <v>2014</v>
      </c>
      <c r="E471" s="21" t="s">
        <v>293</v>
      </c>
      <c r="F471" s="10">
        <v>41786</v>
      </c>
      <c r="G471" s="23"/>
      <c r="H471" s="11" t="s">
        <v>269</v>
      </c>
      <c r="I471" s="12">
        <v>-850</v>
      </c>
      <c r="J471" s="20" t="s">
        <v>21</v>
      </c>
      <c r="K471" s="20" t="s">
        <v>56</v>
      </c>
      <c r="L471" s="20" t="s">
        <v>57</v>
      </c>
      <c r="M471" s="13" t="s">
        <v>386</v>
      </c>
      <c r="N471" s="14"/>
      <c r="O471" s="14">
        <f t="shared" si="14"/>
        <v>-850</v>
      </c>
      <c r="P471" s="15">
        <f t="shared" si="15"/>
        <v>41786</v>
      </c>
      <c r="Q471" s="15"/>
      <c r="R471" s="16"/>
      <c r="S471" s="16"/>
    </row>
    <row r="472" spans="1:19" x14ac:dyDescent="0.25">
      <c r="A472" s="8" t="s">
        <v>16</v>
      </c>
      <c r="B472" s="8" t="s">
        <v>17</v>
      </c>
      <c r="C472" s="8" t="s">
        <v>18</v>
      </c>
      <c r="D472" s="8">
        <v>2014</v>
      </c>
      <c r="E472" s="21" t="s">
        <v>293</v>
      </c>
      <c r="F472" s="10">
        <v>41786</v>
      </c>
      <c r="G472" s="23" t="s">
        <v>249</v>
      </c>
      <c r="H472" s="13" t="s">
        <v>435</v>
      </c>
      <c r="I472" s="12">
        <v>-500</v>
      </c>
      <c r="J472" s="13" t="s">
        <v>38</v>
      </c>
      <c r="K472" s="13" t="s">
        <v>90</v>
      </c>
      <c r="L472" s="13" t="s">
        <v>91</v>
      </c>
      <c r="M472" s="13"/>
      <c r="N472" s="31"/>
      <c r="O472" s="14">
        <f t="shared" si="14"/>
        <v>-500</v>
      </c>
      <c r="P472" s="15">
        <f t="shared" si="15"/>
        <v>41786</v>
      </c>
      <c r="Q472" s="15"/>
      <c r="R472" s="16"/>
      <c r="S472" s="16"/>
    </row>
    <row r="473" spans="1:19" x14ac:dyDescent="0.25">
      <c r="A473" s="8" t="s">
        <v>16</v>
      </c>
      <c r="B473" s="8" t="s">
        <v>17</v>
      </c>
      <c r="C473" s="8" t="s">
        <v>18</v>
      </c>
      <c r="D473" s="8">
        <v>2014</v>
      </c>
      <c r="E473" s="21" t="s">
        <v>293</v>
      </c>
      <c r="F473" s="10">
        <v>41786</v>
      </c>
      <c r="G473" s="23" t="s">
        <v>249</v>
      </c>
      <c r="H473" s="13" t="s">
        <v>436</v>
      </c>
      <c r="I473" s="12">
        <v>-1200</v>
      </c>
      <c r="J473" s="13" t="s">
        <v>38</v>
      </c>
      <c r="K473" s="13" t="s">
        <v>90</v>
      </c>
      <c r="L473" s="13" t="s">
        <v>91</v>
      </c>
      <c r="M473" s="13"/>
      <c r="N473" s="31"/>
      <c r="O473" s="14">
        <f t="shared" si="14"/>
        <v>-1200</v>
      </c>
      <c r="P473" s="15">
        <f t="shared" si="15"/>
        <v>41786</v>
      </c>
      <c r="Q473" s="15"/>
      <c r="R473" s="16"/>
      <c r="S473" s="16"/>
    </row>
    <row r="474" spans="1:19" x14ac:dyDescent="0.25">
      <c r="A474" s="8" t="s">
        <v>16</v>
      </c>
      <c r="B474" s="8" t="s">
        <v>17</v>
      </c>
      <c r="C474" s="8" t="s">
        <v>18</v>
      </c>
      <c r="D474" s="8">
        <v>2014</v>
      </c>
      <c r="E474" s="21" t="s">
        <v>293</v>
      </c>
      <c r="F474" s="10">
        <v>41786</v>
      </c>
      <c r="G474" s="23"/>
      <c r="H474" s="13" t="s">
        <v>363</v>
      </c>
      <c r="I474" s="12">
        <v>-200</v>
      </c>
      <c r="J474" s="13" t="s">
        <v>21</v>
      </c>
      <c r="K474" s="13" t="s">
        <v>22</v>
      </c>
      <c r="L474" s="13" t="s">
        <v>23</v>
      </c>
      <c r="M474" s="13"/>
      <c r="N474" s="31"/>
      <c r="O474" s="14">
        <f t="shared" si="14"/>
        <v>-200</v>
      </c>
      <c r="P474" s="15">
        <f t="shared" si="15"/>
        <v>41786</v>
      </c>
      <c r="Q474" s="15"/>
      <c r="R474" s="16"/>
      <c r="S474" s="16"/>
    </row>
    <row r="475" spans="1:19" x14ac:dyDescent="0.25">
      <c r="A475" s="8" t="s">
        <v>16</v>
      </c>
      <c r="B475" s="8" t="s">
        <v>17</v>
      </c>
      <c r="C475" s="8" t="s">
        <v>18</v>
      </c>
      <c r="D475" s="8">
        <v>2014</v>
      </c>
      <c r="E475" s="21" t="s">
        <v>293</v>
      </c>
      <c r="F475" s="10">
        <v>41786</v>
      </c>
      <c r="G475" s="23"/>
      <c r="H475" s="13" t="s">
        <v>363</v>
      </c>
      <c r="I475" s="12">
        <v>-200</v>
      </c>
      <c r="J475" s="13" t="s">
        <v>21</v>
      </c>
      <c r="K475" s="13" t="s">
        <v>22</v>
      </c>
      <c r="L475" s="13" t="s">
        <v>23</v>
      </c>
      <c r="M475" s="13"/>
      <c r="N475" s="31"/>
      <c r="O475" s="14">
        <f t="shared" si="14"/>
        <v>-200</v>
      </c>
      <c r="P475" s="15">
        <f t="shared" si="15"/>
        <v>41786</v>
      </c>
      <c r="Q475" s="15"/>
      <c r="R475" s="16"/>
      <c r="S475" s="16"/>
    </row>
    <row r="476" spans="1:19" x14ac:dyDescent="0.25">
      <c r="A476" s="8" t="s">
        <v>16</v>
      </c>
      <c r="B476" s="8" t="s">
        <v>17</v>
      </c>
      <c r="C476" s="8" t="s">
        <v>18</v>
      </c>
      <c r="D476" s="8">
        <v>2014</v>
      </c>
      <c r="E476" s="21" t="s">
        <v>293</v>
      </c>
      <c r="F476" s="10">
        <v>41786</v>
      </c>
      <c r="G476" s="23" t="s">
        <v>249</v>
      </c>
      <c r="H476" s="13" t="s">
        <v>437</v>
      </c>
      <c r="I476" s="12">
        <f>-20-100</f>
        <v>-120</v>
      </c>
      <c r="J476" s="13" t="s">
        <v>38</v>
      </c>
      <c r="K476" s="13" t="s">
        <v>90</v>
      </c>
      <c r="L476" s="13" t="s">
        <v>91</v>
      </c>
      <c r="M476" s="13"/>
      <c r="N476" s="31"/>
      <c r="O476" s="14">
        <f t="shared" si="14"/>
        <v>-120</v>
      </c>
      <c r="P476" s="15">
        <f t="shared" si="15"/>
        <v>41786</v>
      </c>
      <c r="Q476" s="15"/>
      <c r="R476" s="35"/>
      <c r="S476" s="16"/>
    </row>
    <row r="477" spans="1:19" x14ac:dyDescent="0.25">
      <c r="A477" s="8" t="s">
        <v>16</v>
      </c>
      <c r="B477" s="8" t="s">
        <v>17</v>
      </c>
      <c r="C477" s="8" t="s">
        <v>18</v>
      </c>
      <c r="D477" s="8">
        <v>2014</v>
      </c>
      <c r="E477" s="21" t="s">
        <v>293</v>
      </c>
      <c r="F477" s="10">
        <v>41786</v>
      </c>
      <c r="G477" s="23" t="s">
        <v>249</v>
      </c>
      <c r="H477" s="13" t="s">
        <v>438</v>
      </c>
      <c r="I477" s="12">
        <v>-50</v>
      </c>
      <c r="J477" s="13" t="s">
        <v>38</v>
      </c>
      <c r="K477" s="13" t="s">
        <v>90</v>
      </c>
      <c r="L477" s="13" t="s">
        <v>91</v>
      </c>
      <c r="M477" s="13"/>
      <c r="N477" s="31"/>
      <c r="O477" s="14">
        <f t="shared" si="14"/>
        <v>-50</v>
      </c>
      <c r="P477" s="15">
        <f t="shared" si="15"/>
        <v>41786</v>
      </c>
      <c r="Q477" s="15"/>
      <c r="R477" s="26"/>
      <c r="S477" s="26"/>
    </row>
    <row r="478" spans="1:19" x14ac:dyDescent="0.25">
      <c r="A478" s="8" t="s">
        <v>16</v>
      </c>
      <c r="B478" s="8" t="s">
        <v>17</v>
      </c>
      <c r="C478" s="8" t="s">
        <v>18</v>
      </c>
      <c r="D478" s="8">
        <v>2014</v>
      </c>
      <c r="E478" s="21" t="s">
        <v>293</v>
      </c>
      <c r="F478" s="10">
        <v>41786</v>
      </c>
      <c r="G478" s="8"/>
      <c r="H478" s="11" t="s">
        <v>439</v>
      </c>
      <c r="I478" s="12">
        <v>-40</v>
      </c>
      <c r="J478" s="13" t="s">
        <v>21</v>
      </c>
      <c r="K478" s="13" t="s">
        <v>63</v>
      </c>
      <c r="L478" s="13" t="s">
        <v>64</v>
      </c>
      <c r="M478" s="13"/>
      <c r="N478" s="14"/>
      <c r="O478" s="14">
        <f t="shared" si="14"/>
        <v>-40</v>
      </c>
      <c r="P478" s="15">
        <f t="shared" si="15"/>
        <v>41786</v>
      </c>
      <c r="Q478" s="15"/>
      <c r="R478" s="35"/>
      <c r="S478" s="16"/>
    </row>
    <row r="479" spans="1:19" x14ac:dyDescent="0.25">
      <c r="A479" s="8" t="s">
        <v>16</v>
      </c>
      <c r="B479" s="8" t="s">
        <v>17</v>
      </c>
      <c r="C479" s="8" t="s">
        <v>18</v>
      </c>
      <c r="D479" s="8">
        <v>2014</v>
      </c>
      <c r="E479" s="21" t="s">
        <v>293</v>
      </c>
      <c r="F479" s="10">
        <v>41786</v>
      </c>
      <c r="G479" s="8"/>
      <c r="H479" s="11" t="s">
        <v>440</v>
      </c>
      <c r="I479" s="12">
        <v>-640</v>
      </c>
      <c r="J479" s="13" t="s">
        <v>21</v>
      </c>
      <c r="K479" s="13" t="s">
        <v>63</v>
      </c>
      <c r="L479" s="13" t="s">
        <v>64</v>
      </c>
      <c r="M479" s="13"/>
      <c r="N479" s="14"/>
      <c r="O479" s="14">
        <f t="shared" si="14"/>
        <v>-640</v>
      </c>
      <c r="P479" s="15">
        <f t="shared" si="15"/>
        <v>41786</v>
      </c>
      <c r="Q479" s="15"/>
      <c r="R479" s="16"/>
      <c r="S479" s="16"/>
    </row>
    <row r="480" spans="1:19" x14ac:dyDescent="0.25">
      <c r="A480" s="8" t="s">
        <v>16</v>
      </c>
      <c r="B480" s="8" t="s">
        <v>17</v>
      </c>
      <c r="C480" s="8" t="s">
        <v>18</v>
      </c>
      <c r="D480" s="8">
        <v>2014</v>
      </c>
      <c r="E480" s="21" t="s">
        <v>293</v>
      </c>
      <c r="F480" s="10">
        <v>41786</v>
      </c>
      <c r="G480" s="8"/>
      <c r="H480" s="11" t="s">
        <v>441</v>
      </c>
      <c r="I480" s="12">
        <v>-162.9</v>
      </c>
      <c r="J480" s="13" t="s">
        <v>21</v>
      </c>
      <c r="K480" s="13" t="s">
        <v>25</v>
      </c>
      <c r="L480" s="13" t="s">
        <v>26</v>
      </c>
      <c r="M480" s="13" t="s">
        <v>127</v>
      </c>
      <c r="N480" s="14"/>
      <c r="O480" s="14">
        <f t="shared" si="14"/>
        <v>-162.9</v>
      </c>
      <c r="P480" s="15">
        <f t="shared" si="15"/>
        <v>41786</v>
      </c>
      <c r="Q480" s="15"/>
      <c r="R480" s="16"/>
      <c r="S480" s="16"/>
    </row>
    <row r="481" spans="1:19" x14ac:dyDescent="0.25">
      <c r="A481" s="23" t="s">
        <v>16</v>
      </c>
      <c r="B481" s="23" t="s">
        <v>17</v>
      </c>
      <c r="C481" s="23" t="s">
        <v>18</v>
      </c>
      <c r="D481" s="8">
        <v>2014</v>
      </c>
      <c r="E481" s="21" t="s">
        <v>293</v>
      </c>
      <c r="F481" s="10">
        <v>41786</v>
      </c>
      <c r="G481" s="8"/>
      <c r="H481" s="11" t="s">
        <v>442</v>
      </c>
      <c r="I481" s="12">
        <v>-280</v>
      </c>
      <c r="J481" s="13" t="s">
        <v>21</v>
      </c>
      <c r="K481" s="13" t="s">
        <v>56</v>
      </c>
      <c r="L481" s="13" t="s">
        <v>111</v>
      </c>
      <c r="M481" s="13" t="s">
        <v>28</v>
      </c>
      <c r="N481" s="31"/>
      <c r="O481" s="14">
        <f t="shared" si="14"/>
        <v>-280</v>
      </c>
      <c r="P481" s="15">
        <f t="shared" si="15"/>
        <v>41786</v>
      </c>
      <c r="Q481" s="15"/>
      <c r="R481" s="16"/>
      <c r="S481" s="16"/>
    </row>
    <row r="482" spans="1:19" x14ac:dyDescent="0.25">
      <c r="A482" s="8" t="s">
        <v>16</v>
      </c>
      <c r="B482" s="8" t="s">
        <v>17</v>
      </c>
      <c r="C482" s="36" t="s">
        <v>18</v>
      </c>
      <c r="D482" s="8">
        <v>2014</v>
      </c>
      <c r="E482" s="21" t="s">
        <v>293</v>
      </c>
      <c r="F482" s="10">
        <v>41786</v>
      </c>
      <c r="G482" s="8"/>
      <c r="H482" s="17" t="s">
        <v>443</v>
      </c>
      <c r="I482" s="12">
        <v>-2582.77</v>
      </c>
      <c r="J482" s="13" t="s">
        <v>33</v>
      </c>
      <c r="K482" s="13" t="s">
        <v>224</v>
      </c>
      <c r="L482" s="13" t="s">
        <v>231</v>
      </c>
      <c r="M482" s="13"/>
      <c r="N482" s="14"/>
      <c r="O482" s="14">
        <f t="shared" si="14"/>
        <v>-2582.77</v>
      </c>
      <c r="P482" s="15">
        <f t="shared" si="15"/>
        <v>41786</v>
      </c>
      <c r="Q482" s="15"/>
      <c r="R482" s="16"/>
      <c r="S482" s="16"/>
    </row>
    <row r="483" spans="1:19" x14ac:dyDescent="0.25">
      <c r="A483" s="23" t="s">
        <v>16</v>
      </c>
      <c r="B483" s="23" t="s">
        <v>17</v>
      </c>
      <c r="C483" s="23" t="s">
        <v>18</v>
      </c>
      <c r="D483" s="8">
        <v>2014</v>
      </c>
      <c r="E483" s="21" t="s">
        <v>293</v>
      </c>
      <c r="F483" s="10">
        <v>41787</v>
      </c>
      <c r="G483" s="23"/>
      <c r="H483" s="13" t="s">
        <v>444</v>
      </c>
      <c r="I483" s="12">
        <v>-65</v>
      </c>
      <c r="J483" s="13" t="s">
        <v>33</v>
      </c>
      <c r="K483" s="13" t="s">
        <v>34</v>
      </c>
      <c r="L483" s="13" t="s">
        <v>76</v>
      </c>
      <c r="M483" s="13" t="s">
        <v>226</v>
      </c>
      <c r="N483" s="14"/>
      <c r="O483" s="14">
        <f t="shared" si="14"/>
        <v>-65</v>
      </c>
      <c r="P483" s="15">
        <f t="shared" si="15"/>
        <v>41787</v>
      </c>
      <c r="Q483" s="15"/>
      <c r="R483" s="16"/>
      <c r="S483" s="16"/>
    </row>
    <row r="484" spans="1:19" x14ac:dyDescent="0.25">
      <c r="A484" s="8" t="s">
        <v>16</v>
      </c>
      <c r="B484" s="8" t="s">
        <v>17</v>
      </c>
      <c r="C484" s="8" t="s">
        <v>18</v>
      </c>
      <c r="D484" s="8">
        <v>2014</v>
      </c>
      <c r="E484" s="21" t="s">
        <v>293</v>
      </c>
      <c r="F484" s="10">
        <v>41787</v>
      </c>
      <c r="G484" s="23"/>
      <c r="H484" s="17" t="s">
        <v>445</v>
      </c>
      <c r="I484" s="12">
        <f>-295-90</f>
        <v>-385</v>
      </c>
      <c r="J484" s="13" t="s">
        <v>21</v>
      </c>
      <c r="K484" s="13" t="s">
        <v>63</v>
      </c>
      <c r="L484" s="13" t="s">
        <v>64</v>
      </c>
      <c r="M484" s="13"/>
      <c r="N484" s="14"/>
      <c r="O484" s="14">
        <f t="shared" si="14"/>
        <v>-385</v>
      </c>
      <c r="P484" s="15">
        <f t="shared" si="15"/>
        <v>41787</v>
      </c>
      <c r="Q484" s="15"/>
      <c r="R484" s="16"/>
      <c r="S484" s="16"/>
    </row>
    <row r="485" spans="1:19" x14ac:dyDescent="0.25">
      <c r="A485" s="8" t="s">
        <v>16</v>
      </c>
      <c r="B485" s="8" t="s">
        <v>17</v>
      </c>
      <c r="C485" s="36" t="s">
        <v>18</v>
      </c>
      <c r="D485" s="8">
        <v>2014</v>
      </c>
      <c r="E485" s="21" t="s">
        <v>293</v>
      </c>
      <c r="F485" s="10">
        <v>41787</v>
      </c>
      <c r="G485" s="8"/>
      <c r="H485" s="13" t="s">
        <v>82</v>
      </c>
      <c r="I485" s="12">
        <v>-830</v>
      </c>
      <c r="J485" s="13" t="s">
        <v>21</v>
      </c>
      <c r="K485" s="13" t="s">
        <v>63</v>
      </c>
      <c r="L485" s="13" t="s">
        <v>83</v>
      </c>
      <c r="M485" s="13"/>
      <c r="N485" s="14"/>
      <c r="O485" s="14">
        <f t="shared" si="14"/>
        <v>-830</v>
      </c>
      <c r="P485" s="15">
        <f t="shared" si="15"/>
        <v>41787</v>
      </c>
      <c r="Q485" s="15"/>
      <c r="R485" s="16"/>
      <c r="S485" s="16"/>
    </row>
    <row r="486" spans="1:19" x14ac:dyDescent="0.25">
      <c r="A486" s="8" t="s">
        <v>16</v>
      </c>
      <c r="B486" s="8" t="s">
        <v>17</v>
      </c>
      <c r="C486" s="36" t="s">
        <v>18</v>
      </c>
      <c r="D486" s="8">
        <v>2014</v>
      </c>
      <c r="E486" s="21" t="s">
        <v>293</v>
      </c>
      <c r="F486" s="10">
        <v>41787</v>
      </c>
      <c r="G486" s="8"/>
      <c r="H486" s="13" t="s">
        <v>446</v>
      </c>
      <c r="I486" s="12">
        <v>-1100</v>
      </c>
      <c r="J486" s="13" t="s">
        <v>21</v>
      </c>
      <c r="K486" s="13" t="s">
        <v>63</v>
      </c>
      <c r="L486" s="13" t="s">
        <v>83</v>
      </c>
      <c r="M486" s="13"/>
      <c r="N486" s="14"/>
      <c r="O486" s="14">
        <f t="shared" si="14"/>
        <v>-1100</v>
      </c>
      <c r="P486" s="15">
        <f t="shared" si="15"/>
        <v>41787</v>
      </c>
      <c r="Q486" s="15"/>
      <c r="R486" s="16"/>
      <c r="S486" s="16"/>
    </row>
    <row r="487" spans="1:19" x14ac:dyDescent="0.25">
      <c r="A487" s="8" t="s">
        <v>16</v>
      </c>
      <c r="B487" s="8" t="s">
        <v>17</v>
      </c>
      <c r="C487" s="8" t="s">
        <v>18</v>
      </c>
      <c r="D487" s="8">
        <v>2014</v>
      </c>
      <c r="E487" s="21" t="s">
        <v>293</v>
      </c>
      <c r="F487" s="10">
        <v>41787</v>
      </c>
      <c r="G487" s="23"/>
      <c r="H487" s="11" t="s">
        <v>269</v>
      </c>
      <c r="I487" s="12">
        <v>-150</v>
      </c>
      <c r="J487" s="20" t="s">
        <v>21</v>
      </c>
      <c r="K487" s="20" t="s">
        <v>56</v>
      </c>
      <c r="L487" s="20" t="s">
        <v>57</v>
      </c>
      <c r="M487" s="13" t="s">
        <v>386</v>
      </c>
      <c r="N487" s="14"/>
      <c r="O487" s="14">
        <f t="shared" si="14"/>
        <v>-150</v>
      </c>
      <c r="P487" s="15">
        <f t="shared" si="15"/>
        <v>41787</v>
      </c>
      <c r="Q487" s="15"/>
      <c r="R487" s="16"/>
      <c r="S487" s="16"/>
    </row>
    <row r="488" spans="1:19" x14ac:dyDescent="0.25">
      <c r="A488" s="23" t="s">
        <v>16</v>
      </c>
      <c r="B488" s="23" t="s">
        <v>17</v>
      </c>
      <c r="C488" s="23" t="s">
        <v>18</v>
      </c>
      <c r="D488" s="8">
        <v>2014</v>
      </c>
      <c r="E488" s="21" t="s">
        <v>293</v>
      </c>
      <c r="F488" s="10">
        <v>41787</v>
      </c>
      <c r="G488" s="8" t="s">
        <v>249</v>
      </c>
      <c r="H488" s="11" t="s">
        <v>340</v>
      </c>
      <c r="I488" s="12">
        <v>-750</v>
      </c>
      <c r="J488" s="13" t="s">
        <v>21</v>
      </c>
      <c r="K488" s="13" t="s">
        <v>56</v>
      </c>
      <c r="L488" s="13" t="s">
        <v>57</v>
      </c>
      <c r="M488" s="13"/>
      <c r="N488" s="14"/>
      <c r="O488" s="14">
        <f t="shared" si="14"/>
        <v>-750</v>
      </c>
      <c r="P488" s="15">
        <f t="shared" si="15"/>
        <v>41787</v>
      </c>
      <c r="Q488" s="15"/>
      <c r="R488" s="16"/>
      <c r="S488" s="16"/>
    </row>
    <row r="489" spans="1:19" x14ac:dyDescent="0.25">
      <c r="A489" s="23" t="s">
        <v>16</v>
      </c>
      <c r="B489" s="23" t="s">
        <v>17</v>
      </c>
      <c r="C489" s="23" t="s">
        <v>18</v>
      </c>
      <c r="D489" s="8">
        <v>2014</v>
      </c>
      <c r="E489" s="21" t="s">
        <v>293</v>
      </c>
      <c r="F489" s="10">
        <v>41787</v>
      </c>
      <c r="G489" s="8"/>
      <c r="H489" s="11" t="s">
        <v>447</v>
      </c>
      <c r="I489" s="12">
        <f>-22-22</f>
        <v>-44</v>
      </c>
      <c r="J489" s="13" t="s">
        <v>21</v>
      </c>
      <c r="K489" s="13" t="s">
        <v>56</v>
      </c>
      <c r="L489" s="13" t="s">
        <v>111</v>
      </c>
      <c r="M489" s="13" t="s">
        <v>28</v>
      </c>
      <c r="N489" s="31"/>
      <c r="O489" s="14">
        <f t="shared" si="14"/>
        <v>-44</v>
      </c>
      <c r="P489" s="15">
        <f t="shared" si="15"/>
        <v>41787</v>
      </c>
      <c r="Q489" s="15"/>
      <c r="R489" s="16"/>
      <c r="S489" s="16"/>
    </row>
    <row r="490" spans="1:19" x14ac:dyDescent="0.25">
      <c r="A490" s="23" t="s">
        <v>16</v>
      </c>
      <c r="B490" s="23" t="s">
        <v>17</v>
      </c>
      <c r="C490" s="23" t="s">
        <v>51</v>
      </c>
      <c r="D490" s="8">
        <v>2014</v>
      </c>
      <c r="E490" s="21" t="s">
        <v>293</v>
      </c>
      <c r="F490" s="10">
        <v>41787</v>
      </c>
      <c r="G490" s="8">
        <v>11757</v>
      </c>
      <c r="H490" s="11" t="s">
        <v>448</v>
      </c>
      <c r="I490" s="12">
        <v>210</v>
      </c>
      <c r="J490" s="13" t="s">
        <v>53</v>
      </c>
      <c r="K490" s="13" t="s">
        <v>54</v>
      </c>
      <c r="L490" s="13"/>
      <c r="M490" s="13"/>
      <c r="N490" s="31"/>
      <c r="O490" s="14">
        <f t="shared" si="14"/>
        <v>210</v>
      </c>
      <c r="P490" s="15">
        <f t="shared" si="15"/>
        <v>41787</v>
      </c>
      <c r="Q490" s="15"/>
      <c r="R490" s="16"/>
      <c r="S490" s="16"/>
    </row>
    <row r="491" spans="1:19" x14ac:dyDescent="0.25">
      <c r="A491" s="8" t="s">
        <v>16</v>
      </c>
      <c r="B491" s="8" t="s">
        <v>17</v>
      </c>
      <c r="C491" s="8" t="s">
        <v>18</v>
      </c>
      <c r="D491" s="8">
        <v>2014</v>
      </c>
      <c r="E491" s="21" t="s">
        <v>293</v>
      </c>
      <c r="F491" s="10">
        <v>41788</v>
      </c>
      <c r="G491" s="8"/>
      <c r="H491" s="11" t="s">
        <v>449</v>
      </c>
      <c r="I491" s="12">
        <v>-592.9</v>
      </c>
      <c r="J491" s="13" t="s">
        <v>21</v>
      </c>
      <c r="K491" s="13" t="s">
        <v>25</v>
      </c>
      <c r="L491" s="13" t="s">
        <v>26</v>
      </c>
      <c r="M491" s="13" t="s">
        <v>127</v>
      </c>
      <c r="N491" s="14"/>
      <c r="O491" s="14">
        <f t="shared" si="14"/>
        <v>-592.9</v>
      </c>
      <c r="P491" s="15">
        <f t="shared" si="15"/>
        <v>41788</v>
      </c>
      <c r="Q491" s="15"/>
      <c r="R491" s="16"/>
      <c r="S491" s="16"/>
    </row>
    <row r="492" spans="1:19" x14ac:dyDescent="0.25">
      <c r="A492" s="8" t="s">
        <v>16</v>
      </c>
      <c r="B492" s="8" t="s">
        <v>17</v>
      </c>
      <c r="C492" s="8" t="s">
        <v>18</v>
      </c>
      <c r="D492" s="8">
        <v>2014</v>
      </c>
      <c r="E492" s="21" t="s">
        <v>293</v>
      </c>
      <c r="F492" s="10">
        <v>41788</v>
      </c>
      <c r="G492" s="8"/>
      <c r="H492" s="11" t="s">
        <v>450</v>
      </c>
      <c r="I492" s="12">
        <v>-1300</v>
      </c>
      <c r="J492" s="13" t="s">
        <v>33</v>
      </c>
      <c r="K492" s="13" t="s">
        <v>34</v>
      </c>
      <c r="L492" s="13" t="s">
        <v>451</v>
      </c>
      <c r="M492" s="13"/>
      <c r="N492" s="14"/>
      <c r="O492" s="14">
        <f t="shared" si="14"/>
        <v>-1300</v>
      </c>
      <c r="P492" s="15">
        <f t="shared" si="15"/>
        <v>41788</v>
      </c>
      <c r="Q492" s="15"/>
      <c r="R492" s="16"/>
      <c r="S492" s="16"/>
    </row>
    <row r="493" spans="1:19" x14ac:dyDescent="0.25">
      <c r="A493" s="8" t="s">
        <v>16</v>
      </c>
      <c r="B493" s="8" t="s">
        <v>17</v>
      </c>
      <c r="C493" s="8" t="s">
        <v>18</v>
      </c>
      <c r="D493" s="8">
        <v>2014</v>
      </c>
      <c r="E493" s="21" t="s">
        <v>293</v>
      </c>
      <c r="F493" s="10">
        <v>41788</v>
      </c>
      <c r="G493" s="23"/>
      <c r="H493" s="11" t="s">
        <v>269</v>
      </c>
      <c r="I493" s="12">
        <v>-928</v>
      </c>
      <c r="J493" s="54" t="s">
        <v>21</v>
      </c>
      <c r="K493" s="54" t="s">
        <v>56</v>
      </c>
      <c r="L493" s="54" t="s">
        <v>57</v>
      </c>
      <c r="M493" s="13" t="s">
        <v>386</v>
      </c>
      <c r="N493" s="14"/>
      <c r="O493" s="14">
        <f t="shared" si="14"/>
        <v>-928</v>
      </c>
      <c r="P493" s="15">
        <f t="shared" si="15"/>
        <v>41788</v>
      </c>
      <c r="Q493" s="15"/>
      <c r="R493" s="16"/>
      <c r="S493" s="16"/>
    </row>
    <row r="494" spans="1:19" x14ac:dyDescent="0.25">
      <c r="A494" s="8" t="s">
        <v>16</v>
      </c>
      <c r="B494" s="8" t="s">
        <v>17</v>
      </c>
      <c r="C494" s="8" t="s">
        <v>18</v>
      </c>
      <c r="D494" s="8">
        <v>2014</v>
      </c>
      <c r="E494" s="21" t="s">
        <v>293</v>
      </c>
      <c r="F494" s="10">
        <v>41788</v>
      </c>
      <c r="G494" s="23"/>
      <c r="H494" s="11" t="s">
        <v>452</v>
      </c>
      <c r="I494" s="12">
        <v>-200</v>
      </c>
      <c r="J494" s="54" t="s">
        <v>21</v>
      </c>
      <c r="K494" s="54" t="s">
        <v>56</v>
      </c>
      <c r="L494" s="54" t="s">
        <v>57</v>
      </c>
      <c r="M494" s="13" t="s">
        <v>386</v>
      </c>
      <c r="N494" s="14"/>
      <c r="O494" s="14">
        <f t="shared" si="14"/>
        <v>-200</v>
      </c>
      <c r="P494" s="15">
        <f t="shared" si="15"/>
        <v>41788</v>
      </c>
      <c r="Q494" s="15"/>
      <c r="R494" s="16"/>
      <c r="S494" s="16"/>
    </row>
    <row r="495" spans="1:19" x14ac:dyDescent="0.25">
      <c r="A495" s="23" t="s">
        <v>16</v>
      </c>
      <c r="B495" s="23" t="s">
        <v>17</v>
      </c>
      <c r="C495" s="23" t="s">
        <v>51</v>
      </c>
      <c r="D495" s="8">
        <v>2014</v>
      </c>
      <c r="E495" s="21" t="s">
        <v>293</v>
      </c>
      <c r="F495" s="10">
        <v>41788</v>
      </c>
      <c r="G495" s="8">
        <v>11638</v>
      </c>
      <c r="H495" s="11" t="s">
        <v>453</v>
      </c>
      <c r="I495" s="12">
        <v>1500</v>
      </c>
      <c r="J495" s="13" t="s">
        <v>53</v>
      </c>
      <c r="K495" s="13" t="s">
        <v>54</v>
      </c>
      <c r="L495" s="13"/>
      <c r="M495" s="13"/>
      <c r="N495" s="31"/>
      <c r="O495" s="14">
        <f t="shared" si="14"/>
        <v>1500</v>
      </c>
      <c r="P495" s="15">
        <f t="shared" si="15"/>
        <v>41788</v>
      </c>
      <c r="Q495" s="15"/>
      <c r="R495" s="16"/>
      <c r="S495" s="16"/>
    </row>
    <row r="496" spans="1:19" x14ac:dyDescent="0.25">
      <c r="A496" s="23" t="s">
        <v>16</v>
      </c>
      <c r="B496" s="23" t="s">
        <v>17</v>
      </c>
      <c r="C496" s="23" t="s">
        <v>51</v>
      </c>
      <c r="D496" s="8">
        <v>2014</v>
      </c>
      <c r="E496" s="21" t="s">
        <v>293</v>
      </c>
      <c r="F496" s="10">
        <v>41788</v>
      </c>
      <c r="G496" s="8">
        <v>11758</v>
      </c>
      <c r="H496" s="11" t="s">
        <v>454</v>
      </c>
      <c r="I496" s="12">
        <v>600</v>
      </c>
      <c r="J496" s="13" t="s">
        <v>53</v>
      </c>
      <c r="K496" s="13" t="s">
        <v>54</v>
      </c>
      <c r="L496" s="13"/>
      <c r="M496" s="13"/>
      <c r="N496" s="31"/>
      <c r="O496" s="14">
        <f t="shared" si="14"/>
        <v>600</v>
      </c>
      <c r="P496" s="15">
        <f t="shared" si="15"/>
        <v>41788</v>
      </c>
      <c r="Q496" s="15"/>
      <c r="R496" s="16"/>
      <c r="S496" s="16"/>
    </row>
    <row r="497" spans="1:19" x14ac:dyDescent="0.25">
      <c r="A497" s="23" t="s">
        <v>16</v>
      </c>
      <c r="B497" s="23" t="s">
        <v>17</v>
      </c>
      <c r="C497" s="23" t="s">
        <v>51</v>
      </c>
      <c r="D497" s="8">
        <v>2014</v>
      </c>
      <c r="E497" s="21" t="s">
        <v>293</v>
      </c>
      <c r="F497" s="10">
        <v>41788</v>
      </c>
      <c r="G497" s="8">
        <v>11692</v>
      </c>
      <c r="H497" s="11" t="s">
        <v>455</v>
      </c>
      <c r="I497" s="12">
        <v>10800</v>
      </c>
      <c r="J497" s="13" t="s">
        <v>53</v>
      </c>
      <c r="K497" s="13" t="s">
        <v>54</v>
      </c>
      <c r="L497" s="13"/>
      <c r="M497" s="13"/>
      <c r="N497" s="31"/>
      <c r="O497" s="14">
        <f t="shared" si="14"/>
        <v>10800</v>
      </c>
      <c r="P497" s="15">
        <f t="shared" si="15"/>
        <v>41788</v>
      </c>
      <c r="Q497" s="15"/>
      <c r="R497" s="16"/>
      <c r="S497" s="16"/>
    </row>
    <row r="498" spans="1:19" x14ac:dyDescent="0.25">
      <c r="A498" s="23" t="s">
        <v>16</v>
      </c>
      <c r="B498" s="23" t="s">
        <v>17</v>
      </c>
      <c r="C498" s="23" t="s">
        <v>51</v>
      </c>
      <c r="D498" s="8">
        <v>2014</v>
      </c>
      <c r="E498" s="21" t="s">
        <v>293</v>
      </c>
      <c r="F498" s="30">
        <v>41789</v>
      </c>
      <c r="G498" s="8">
        <v>11748</v>
      </c>
      <c r="H498" s="11" t="s">
        <v>456</v>
      </c>
      <c r="I498" s="12">
        <v>6000</v>
      </c>
      <c r="J498" s="13" t="s">
        <v>53</v>
      </c>
      <c r="K498" s="13" t="s">
        <v>54</v>
      </c>
      <c r="L498" s="13"/>
      <c r="M498" s="13"/>
      <c r="N498" s="31"/>
      <c r="O498" s="14">
        <f t="shared" si="14"/>
        <v>6000</v>
      </c>
      <c r="P498" s="15">
        <f t="shared" si="15"/>
        <v>41789</v>
      </c>
      <c r="Q498" s="15"/>
      <c r="R498" s="16"/>
      <c r="S498" s="16"/>
    </row>
    <row r="499" spans="1:19" x14ac:dyDescent="0.25">
      <c r="A499" s="23" t="s">
        <v>16</v>
      </c>
      <c r="B499" s="23" t="s">
        <v>17</v>
      </c>
      <c r="C499" s="23" t="s">
        <v>18</v>
      </c>
      <c r="D499" s="8">
        <v>2014</v>
      </c>
      <c r="E499" s="21" t="s">
        <v>293</v>
      </c>
      <c r="F499" s="10">
        <v>41789</v>
      </c>
      <c r="G499" s="8" t="s">
        <v>249</v>
      </c>
      <c r="H499" s="11" t="s">
        <v>340</v>
      </c>
      <c r="I499" s="12">
        <v>-4000</v>
      </c>
      <c r="J499" s="13" t="s">
        <v>21</v>
      </c>
      <c r="K499" s="13" t="s">
        <v>56</v>
      </c>
      <c r="L499" s="13" t="s">
        <v>57</v>
      </c>
      <c r="M499" s="13"/>
      <c r="N499" s="14"/>
      <c r="O499" s="14">
        <f t="shared" si="14"/>
        <v>-4000</v>
      </c>
      <c r="P499" s="15">
        <f t="shared" si="15"/>
        <v>41789</v>
      </c>
      <c r="Q499" s="15"/>
      <c r="R499" s="16"/>
      <c r="S499" s="16"/>
    </row>
    <row r="500" spans="1:19" x14ac:dyDescent="0.25">
      <c r="A500" s="8" t="s">
        <v>16</v>
      </c>
      <c r="B500" s="8" t="s">
        <v>17</v>
      </c>
      <c r="C500" s="8" t="s">
        <v>18</v>
      </c>
      <c r="D500" s="8">
        <v>2014</v>
      </c>
      <c r="E500" s="21" t="s">
        <v>293</v>
      </c>
      <c r="F500" s="10">
        <v>41789</v>
      </c>
      <c r="G500" s="23" t="s">
        <v>249</v>
      </c>
      <c r="H500" s="11" t="s">
        <v>253</v>
      </c>
      <c r="I500" s="12">
        <f>-56-473</f>
        <v>-529</v>
      </c>
      <c r="J500" s="13" t="s">
        <v>21</v>
      </c>
      <c r="K500" s="13" t="s">
        <v>56</v>
      </c>
      <c r="L500" s="13" t="s">
        <v>254</v>
      </c>
      <c r="M500" s="13" t="s">
        <v>255</v>
      </c>
      <c r="N500" s="14"/>
      <c r="O500" s="14">
        <f t="shared" si="14"/>
        <v>-529</v>
      </c>
      <c r="P500" s="15">
        <f t="shared" si="15"/>
        <v>41789</v>
      </c>
      <c r="Q500" s="15"/>
      <c r="R500" s="26"/>
      <c r="S500" s="26"/>
    </row>
    <row r="501" spans="1:19" x14ac:dyDescent="0.25">
      <c r="A501" s="23" t="s">
        <v>16</v>
      </c>
      <c r="B501" s="23" t="s">
        <v>17</v>
      </c>
      <c r="C501" s="23" t="s">
        <v>18</v>
      </c>
      <c r="D501" s="8">
        <v>2014</v>
      </c>
      <c r="E501" s="21" t="s">
        <v>293</v>
      </c>
      <c r="F501" s="10">
        <v>41789</v>
      </c>
      <c r="G501" s="23" t="s">
        <v>249</v>
      </c>
      <c r="H501" s="13" t="s">
        <v>256</v>
      </c>
      <c r="I501" s="12">
        <v>-235</v>
      </c>
      <c r="J501" s="13" t="s">
        <v>38</v>
      </c>
      <c r="K501" s="13" t="s">
        <v>155</v>
      </c>
      <c r="L501" s="13" t="s">
        <v>91</v>
      </c>
      <c r="M501" s="13"/>
      <c r="N501" s="31"/>
      <c r="O501" s="14">
        <f t="shared" si="14"/>
        <v>-235</v>
      </c>
      <c r="P501" s="15">
        <f t="shared" si="15"/>
        <v>41789</v>
      </c>
      <c r="Q501" s="15"/>
      <c r="R501" s="16"/>
      <c r="S501" s="26"/>
    </row>
    <row r="502" spans="1:19" x14ac:dyDescent="0.25">
      <c r="A502" s="23" t="s">
        <v>16</v>
      </c>
      <c r="B502" s="23" t="s">
        <v>17</v>
      </c>
      <c r="C502" s="23" t="s">
        <v>18</v>
      </c>
      <c r="D502" s="8">
        <v>2014</v>
      </c>
      <c r="E502" s="21" t="s">
        <v>293</v>
      </c>
      <c r="F502" s="10">
        <v>41789</v>
      </c>
      <c r="G502" s="8" t="s">
        <v>249</v>
      </c>
      <c r="H502" s="11" t="s">
        <v>457</v>
      </c>
      <c r="I502" s="12">
        <v>-2000</v>
      </c>
      <c r="J502" s="13" t="s">
        <v>21</v>
      </c>
      <c r="K502" s="13" t="s">
        <v>56</v>
      </c>
      <c r="L502" s="13" t="s">
        <v>57</v>
      </c>
      <c r="M502" s="13"/>
      <c r="N502" s="14"/>
      <c r="O502" s="14">
        <f t="shared" si="14"/>
        <v>-2000</v>
      </c>
      <c r="P502" s="15">
        <f t="shared" si="15"/>
        <v>41789</v>
      </c>
      <c r="Q502" s="15"/>
      <c r="R502" s="16"/>
      <c r="S502" s="16"/>
    </row>
    <row r="503" spans="1:19" x14ac:dyDescent="0.25">
      <c r="A503" s="23" t="s">
        <v>16</v>
      </c>
      <c r="B503" s="23" t="s">
        <v>17</v>
      </c>
      <c r="C503" s="23" t="s">
        <v>18</v>
      </c>
      <c r="D503" s="8">
        <v>2014</v>
      </c>
      <c r="E503" s="21" t="s">
        <v>293</v>
      </c>
      <c r="F503" s="10">
        <v>41789</v>
      </c>
      <c r="G503" s="8" t="s">
        <v>249</v>
      </c>
      <c r="H503" s="11" t="s">
        <v>378</v>
      </c>
      <c r="I503" s="12">
        <v>-799</v>
      </c>
      <c r="J503" s="13" t="s">
        <v>38</v>
      </c>
      <c r="K503" s="13" t="s">
        <v>155</v>
      </c>
      <c r="L503" s="13" t="s">
        <v>91</v>
      </c>
      <c r="M503" s="13"/>
      <c r="N503" s="31"/>
      <c r="O503" s="14">
        <f t="shared" si="14"/>
        <v>-799</v>
      </c>
      <c r="P503" s="15">
        <f t="shared" si="15"/>
        <v>41789</v>
      </c>
      <c r="Q503" s="15"/>
      <c r="R503" s="16"/>
      <c r="S503" s="26"/>
    </row>
    <row r="504" spans="1:19" x14ac:dyDescent="0.25">
      <c r="A504" s="23" t="s">
        <v>16</v>
      </c>
      <c r="B504" s="23" t="s">
        <v>17</v>
      </c>
      <c r="C504" s="23" t="s">
        <v>18</v>
      </c>
      <c r="D504" s="8">
        <v>2014</v>
      </c>
      <c r="E504" s="21" t="s">
        <v>293</v>
      </c>
      <c r="F504" s="10">
        <v>41789</v>
      </c>
      <c r="G504" s="8" t="s">
        <v>249</v>
      </c>
      <c r="H504" s="11" t="s">
        <v>347</v>
      </c>
      <c r="I504" s="12">
        <v>-282</v>
      </c>
      <c r="J504" s="13" t="s">
        <v>38</v>
      </c>
      <c r="K504" s="13" t="s">
        <v>155</v>
      </c>
      <c r="L504" s="13" t="s">
        <v>91</v>
      </c>
      <c r="M504" s="13"/>
      <c r="N504" s="31"/>
      <c r="O504" s="14">
        <f t="shared" si="14"/>
        <v>-282</v>
      </c>
      <c r="P504" s="15">
        <f t="shared" si="15"/>
        <v>41789</v>
      </c>
      <c r="Q504" s="15"/>
      <c r="R504" s="16"/>
      <c r="S504" s="16"/>
    </row>
    <row r="505" spans="1:19" x14ac:dyDescent="0.25">
      <c r="A505" s="23" t="s">
        <v>16</v>
      </c>
      <c r="B505" s="23" t="s">
        <v>17</v>
      </c>
      <c r="C505" s="23" t="s">
        <v>18</v>
      </c>
      <c r="D505" s="8">
        <v>2014</v>
      </c>
      <c r="E505" s="21" t="s">
        <v>293</v>
      </c>
      <c r="F505" s="10">
        <v>41789</v>
      </c>
      <c r="G505" s="8" t="s">
        <v>249</v>
      </c>
      <c r="H505" s="11" t="s">
        <v>348</v>
      </c>
      <c r="I505" s="12">
        <v>-288</v>
      </c>
      <c r="J505" s="13" t="s">
        <v>38</v>
      </c>
      <c r="K505" s="13" t="s">
        <v>155</v>
      </c>
      <c r="L505" s="13" t="s">
        <v>91</v>
      </c>
      <c r="M505" s="13"/>
      <c r="N505" s="31"/>
      <c r="O505" s="14">
        <f t="shared" si="14"/>
        <v>-288</v>
      </c>
      <c r="P505" s="15">
        <f t="shared" si="15"/>
        <v>41789</v>
      </c>
      <c r="Q505" s="15"/>
      <c r="R505" s="16"/>
      <c r="S505" s="16"/>
    </row>
    <row r="506" spans="1:19" x14ac:dyDescent="0.25">
      <c r="A506" s="23" t="s">
        <v>16</v>
      </c>
      <c r="B506" s="23" t="s">
        <v>17</v>
      </c>
      <c r="C506" s="23" t="s">
        <v>18</v>
      </c>
      <c r="D506" s="8">
        <v>2014</v>
      </c>
      <c r="E506" s="21" t="s">
        <v>293</v>
      </c>
      <c r="F506" s="10">
        <v>41789</v>
      </c>
      <c r="G506" s="8" t="s">
        <v>249</v>
      </c>
      <c r="H506" s="11" t="s">
        <v>328</v>
      </c>
      <c r="I506" s="12">
        <v>-447</v>
      </c>
      <c r="J506" s="13" t="s">
        <v>38</v>
      </c>
      <c r="K506" s="13" t="s">
        <v>155</v>
      </c>
      <c r="L506" s="13" t="s">
        <v>91</v>
      </c>
      <c r="M506" s="13"/>
      <c r="N506" s="31"/>
      <c r="O506" s="14">
        <f t="shared" si="14"/>
        <v>-447</v>
      </c>
      <c r="P506" s="15">
        <f t="shared" si="15"/>
        <v>41789</v>
      </c>
      <c r="Q506" s="15"/>
      <c r="R506" s="16"/>
      <c r="S506" s="16"/>
    </row>
    <row r="507" spans="1:19" x14ac:dyDescent="0.25">
      <c r="A507" s="23" t="s">
        <v>16</v>
      </c>
      <c r="B507" s="23" t="s">
        <v>17</v>
      </c>
      <c r="C507" s="23" t="s">
        <v>18</v>
      </c>
      <c r="D507" s="8">
        <v>2014</v>
      </c>
      <c r="E507" s="21" t="s">
        <v>293</v>
      </c>
      <c r="F507" s="10">
        <v>41789</v>
      </c>
      <c r="G507" s="8" t="s">
        <v>249</v>
      </c>
      <c r="H507" s="11" t="s">
        <v>379</v>
      </c>
      <c r="I507" s="12">
        <v>-353</v>
      </c>
      <c r="J507" s="13" t="s">
        <v>38</v>
      </c>
      <c r="K507" s="13" t="s">
        <v>155</v>
      </c>
      <c r="L507" s="13" t="s">
        <v>91</v>
      </c>
      <c r="M507" s="13"/>
      <c r="N507" s="31"/>
      <c r="O507" s="14">
        <f t="shared" si="14"/>
        <v>-353</v>
      </c>
      <c r="P507" s="15">
        <f t="shared" si="15"/>
        <v>41789</v>
      </c>
      <c r="Q507" s="15"/>
      <c r="R507" s="26"/>
      <c r="S507" s="26"/>
    </row>
    <row r="508" spans="1:19" x14ac:dyDescent="0.25">
      <c r="A508" s="23" t="s">
        <v>16</v>
      </c>
      <c r="B508" s="23" t="s">
        <v>17</v>
      </c>
      <c r="C508" s="23" t="s">
        <v>18</v>
      </c>
      <c r="D508" s="8">
        <v>2014</v>
      </c>
      <c r="E508" s="21" t="s">
        <v>293</v>
      </c>
      <c r="F508" s="10">
        <v>41789</v>
      </c>
      <c r="G508" s="8" t="s">
        <v>249</v>
      </c>
      <c r="H508" s="11" t="s">
        <v>350</v>
      </c>
      <c r="I508" s="12">
        <v>-211</v>
      </c>
      <c r="J508" s="13" t="s">
        <v>38</v>
      </c>
      <c r="K508" s="13" t="s">
        <v>155</v>
      </c>
      <c r="L508" s="13" t="s">
        <v>91</v>
      </c>
      <c r="M508" s="13"/>
      <c r="N508" s="31"/>
      <c r="O508" s="14">
        <f t="shared" si="14"/>
        <v>-211</v>
      </c>
      <c r="P508" s="15">
        <f t="shared" si="15"/>
        <v>41789</v>
      </c>
      <c r="Q508" s="15"/>
      <c r="R508" s="26"/>
      <c r="S508" s="26"/>
    </row>
    <row r="509" spans="1:19" x14ac:dyDescent="0.25">
      <c r="A509" s="23" t="s">
        <v>16</v>
      </c>
      <c r="B509" s="23" t="s">
        <v>17</v>
      </c>
      <c r="C509" s="23" t="s">
        <v>18</v>
      </c>
      <c r="D509" s="8">
        <v>2014</v>
      </c>
      <c r="E509" s="21" t="s">
        <v>293</v>
      </c>
      <c r="F509" s="22">
        <v>41789</v>
      </c>
      <c r="G509" s="8" t="s">
        <v>249</v>
      </c>
      <c r="H509" s="11" t="s">
        <v>344</v>
      </c>
      <c r="I509" s="12">
        <v>-141</v>
      </c>
      <c r="J509" s="13" t="s">
        <v>38</v>
      </c>
      <c r="K509" s="13" t="s">
        <v>155</v>
      </c>
      <c r="L509" s="13" t="s">
        <v>91</v>
      </c>
      <c r="M509" s="13"/>
      <c r="N509" s="31"/>
      <c r="O509" s="14">
        <f t="shared" si="14"/>
        <v>-141</v>
      </c>
      <c r="P509" s="15">
        <f t="shared" si="15"/>
        <v>41789</v>
      </c>
      <c r="Q509" s="15"/>
      <c r="R509" s="26"/>
      <c r="S509" s="26"/>
    </row>
    <row r="510" spans="1:19" x14ac:dyDescent="0.25">
      <c r="A510" s="23" t="s">
        <v>16</v>
      </c>
      <c r="B510" s="23" t="s">
        <v>17</v>
      </c>
      <c r="C510" s="23" t="s">
        <v>18</v>
      </c>
      <c r="D510" s="8">
        <v>2014</v>
      </c>
      <c r="E510" s="21" t="s">
        <v>293</v>
      </c>
      <c r="F510" s="22">
        <v>41789</v>
      </c>
      <c r="G510" s="8" t="s">
        <v>249</v>
      </c>
      <c r="H510" s="11" t="s">
        <v>419</v>
      </c>
      <c r="I510" s="12">
        <v>-353</v>
      </c>
      <c r="J510" s="13" t="s">
        <v>38</v>
      </c>
      <c r="K510" s="13" t="s">
        <v>155</v>
      </c>
      <c r="L510" s="13" t="s">
        <v>91</v>
      </c>
      <c r="M510" s="13"/>
      <c r="N510" s="31"/>
      <c r="O510" s="14">
        <f t="shared" si="14"/>
        <v>-353</v>
      </c>
      <c r="P510" s="15">
        <f t="shared" si="15"/>
        <v>41789</v>
      </c>
      <c r="Q510" s="15"/>
      <c r="R510" s="26"/>
      <c r="S510" s="26"/>
    </row>
    <row r="511" spans="1:19" x14ac:dyDescent="0.25">
      <c r="A511" s="23" t="s">
        <v>16</v>
      </c>
      <c r="B511" s="23" t="s">
        <v>17</v>
      </c>
      <c r="C511" s="23" t="s">
        <v>18</v>
      </c>
      <c r="D511" s="8">
        <v>2014</v>
      </c>
      <c r="E511" s="21" t="s">
        <v>293</v>
      </c>
      <c r="F511" s="22">
        <v>41789</v>
      </c>
      <c r="G511" s="8" t="s">
        <v>249</v>
      </c>
      <c r="H511" s="11" t="s">
        <v>345</v>
      </c>
      <c r="I511" s="12">
        <v>-245</v>
      </c>
      <c r="J511" s="13" t="s">
        <v>38</v>
      </c>
      <c r="K511" s="13" t="s">
        <v>155</v>
      </c>
      <c r="L511" s="13" t="s">
        <v>91</v>
      </c>
      <c r="M511" s="13"/>
      <c r="N511" s="31"/>
      <c r="O511" s="14">
        <f t="shared" si="14"/>
        <v>-245</v>
      </c>
      <c r="P511" s="15">
        <f t="shared" si="15"/>
        <v>41789</v>
      </c>
      <c r="Q511" s="15"/>
      <c r="R511" s="26"/>
      <c r="S511" s="26"/>
    </row>
    <row r="512" spans="1:19" x14ac:dyDescent="0.25">
      <c r="A512" s="23" t="s">
        <v>16</v>
      </c>
      <c r="B512" s="23" t="s">
        <v>17</v>
      </c>
      <c r="C512" s="23" t="s">
        <v>18</v>
      </c>
      <c r="D512" s="8">
        <v>2014</v>
      </c>
      <c r="E512" s="21" t="s">
        <v>293</v>
      </c>
      <c r="F512" s="22">
        <v>41789</v>
      </c>
      <c r="G512" s="8" t="s">
        <v>249</v>
      </c>
      <c r="H512" s="11" t="s">
        <v>420</v>
      </c>
      <c r="I512" s="12">
        <v>-728</v>
      </c>
      <c r="J512" s="13" t="s">
        <v>38</v>
      </c>
      <c r="K512" s="13" t="s">
        <v>155</v>
      </c>
      <c r="L512" s="13" t="s">
        <v>91</v>
      </c>
      <c r="M512" s="13"/>
      <c r="N512" s="31"/>
      <c r="O512" s="14">
        <f t="shared" si="14"/>
        <v>-728</v>
      </c>
      <c r="P512" s="15">
        <f t="shared" si="15"/>
        <v>41789</v>
      </c>
      <c r="Q512" s="15"/>
      <c r="R512" s="16"/>
      <c r="S512" s="16"/>
    </row>
    <row r="513" spans="1:19" x14ac:dyDescent="0.25">
      <c r="A513" s="23" t="s">
        <v>16</v>
      </c>
      <c r="B513" s="23" t="s">
        <v>17</v>
      </c>
      <c r="C513" s="23" t="s">
        <v>18</v>
      </c>
      <c r="D513" s="8">
        <v>2014</v>
      </c>
      <c r="E513" s="21" t="s">
        <v>293</v>
      </c>
      <c r="F513" s="22">
        <v>41789</v>
      </c>
      <c r="G513" s="23" t="s">
        <v>249</v>
      </c>
      <c r="H513" s="13" t="s">
        <v>416</v>
      </c>
      <c r="I513" s="12">
        <v>-450</v>
      </c>
      <c r="J513" s="13" t="s">
        <v>38</v>
      </c>
      <c r="K513" s="13" t="s">
        <v>90</v>
      </c>
      <c r="L513" s="13" t="s">
        <v>91</v>
      </c>
      <c r="M513" s="13"/>
      <c r="N513" s="31"/>
      <c r="O513" s="14">
        <f t="shared" si="14"/>
        <v>-450</v>
      </c>
      <c r="P513" s="15">
        <f t="shared" si="15"/>
        <v>41789</v>
      </c>
      <c r="Q513" s="15"/>
      <c r="R513" s="16"/>
      <c r="S513" s="16"/>
    </row>
    <row r="514" spans="1:19" x14ac:dyDescent="0.25">
      <c r="A514" s="23" t="s">
        <v>16</v>
      </c>
      <c r="B514" s="23" t="s">
        <v>17</v>
      </c>
      <c r="C514" s="23" t="s">
        <v>18</v>
      </c>
      <c r="D514" s="8">
        <v>2014</v>
      </c>
      <c r="E514" s="21" t="s">
        <v>293</v>
      </c>
      <c r="F514" s="22">
        <v>41789</v>
      </c>
      <c r="G514" s="23" t="s">
        <v>249</v>
      </c>
      <c r="H514" s="13" t="s">
        <v>414</v>
      </c>
      <c r="I514" s="12">
        <v>-50</v>
      </c>
      <c r="J514" s="13" t="s">
        <v>38</v>
      </c>
      <c r="K514" s="13" t="s">
        <v>90</v>
      </c>
      <c r="L514" s="13" t="s">
        <v>91</v>
      </c>
      <c r="M514" s="13"/>
      <c r="N514" s="31"/>
      <c r="O514" s="14">
        <f t="shared" ref="O514:O578" si="16">IF(B514="$",I514,I514/N514)</f>
        <v>-50</v>
      </c>
      <c r="P514" s="15">
        <f t="shared" si="15"/>
        <v>41789</v>
      </c>
      <c r="Q514" s="15"/>
      <c r="R514" s="16"/>
      <c r="S514" s="16"/>
    </row>
    <row r="515" spans="1:19" x14ac:dyDescent="0.25">
      <c r="A515" s="23" t="s">
        <v>16</v>
      </c>
      <c r="B515" s="23" t="s">
        <v>17</v>
      </c>
      <c r="C515" s="23" t="s">
        <v>18</v>
      </c>
      <c r="D515" s="8">
        <v>2014</v>
      </c>
      <c r="E515" s="21" t="s">
        <v>293</v>
      </c>
      <c r="F515" s="22">
        <v>41789</v>
      </c>
      <c r="G515" s="23" t="s">
        <v>249</v>
      </c>
      <c r="H515" s="13" t="s">
        <v>418</v>
      </c>
      <c r="I515" s="12">
        <v>-300</v>
      </c>
      <c r="J515" s="13" t="s">
        <v>38</v>
      </c>
      <c r="K515" s="13" t="s">
        <v>90</v>
      </c>
      <c r="L515" s="13" t="s">
        <v>91</v>
      </c>
      <c r="M515" s="13"/>
      <c r="N515" s="31"/>
      <c r="O515" s="14">
        <f t="shared" si="16"/>
        <v>-300</v>
      </c>
      <c r="P515" s="15">
        <f t="shared" si="15"/>
        <v>41789</v>
      </c>
      <c r="Q515" s="15"/>
      <c r="R515" s="16"/>
      <c r="S515" s="16"/>
    </row>
    <row r="516" spans="1:19" x14ac:dyDescent="0.25">
      <c r="A516" s="23" t="s">
        <v>16</v>
      </c>
      <c r="B516" s="23" t="s">
        <v>17</v>
      </c>
      <c r="C516" s="23" t="s">
        <v>18</v>
      </c>
      <c r="D516" s="8">
        <v>2014</v>
      </c>
      <c r="E516" s="21" t="s">
        <v>293</v>
      </c>
      <c r="F516" s="22">
        <v>41789</v>
      </c>
      <c r="G516" s="23"/>
      <c r="H516" s="13" t="s">
        <v>252</v>
      </c>
      <c r="I516" s="12">
        <v>-48</v>
      </c>
      <c r="J516" s="13" t="s">
        <v>21</v>
      </c>
      <c r="K516" s="13" t="s">
        <v>22</v>
      </c>
      <c r="L516" s="13" t="s">
        <v>71</v>
      </c>
      <c r="M516" s="13" t="s">
        <v>206</v>
      </c>
      <c r="N516" s="31"/>
      <c r="O516" s="14">
        <f t="shared" si="16"/>
        <v>-48</v>
      </c>
      <c r="P516" s="15">
        <f t="shared" si="15"/>
        <v>41789</v>
      </c>
      <c r="Q516" s="15"/>
      <c r="R516" s="16"/>
      <c r="S516" s="16"/>
    </row>
    <row r="517" spans="1:19" x14ac:dyDescent="0.25">
      <c r="A517" s="23" t="s">
        <v>16</v>
      </c>
      <c r="B517" s="23" t="s">
        <v>17</v>
      </c>
      <c r="C517" s="23" t="s">
        <v>18</v>
      </c>
      <c r="D517" s="8">
        <v>2014</v>
      </c>
      <c r="E517" s="21" t="s">
        <v>293</v>
      </c>
      <c r="F517" s="22">
        <v>41789</v>
      </c>
      <c r="G517" s="8"/>
      <c r="H517" s="11" t="s">
        <v>399</v>
      </c>
      <c r="I517" s="12">
        <f>-22-59.4-79.2-631-300-50</f>
        <v>-1141.5999999999999</v>
      </c>
      <c r="J517" s="13" t="s">
        <v>21</v>
      </c>
      <c r="K517" s="13" t="s">
        <v>56</v>
      </c>
      <c r="L517" s="13" t="s">
        <v>111</v>
      </c>
      <c r="M517" s="13" t="s">
        <v>28</v>
      </c>
      <c r="N517" s="31"/>
      <c r="O517" s="14">
        <f t="shared" si="16"/>
        <v>-1141.5999999999999</v>
      </c>
      <c r="P517" s="15">
        <f t="shared" ref="P517:P583" si="17">F517</f>
        <v>41789</v>
      </c>
      <c r="Q517" s="15"/>
      <c r="R517" s="16"/>
      <c r="S517" s="16"/>
    </row>
    <row r="518" spans="1:19" x14ac:dyDescent="0.25">
      <c r="A518" s="8" t="s">
        <v>16</v>
      </c>
      <c r="B518" s="8" t="s">
        <v>17</v>
      </c>
      <c r="C518" s="8" t="s">
        <v>18</v>
      </c>
      <c r="D518" s="8">
        <v>2014</v>
      </c>
      <c r="E518" s="21" t="s">
        <v>293</v>
      </c>
      <c r="F518" s="22">
        <v>41789</v>
      </c>
      <c r="G518" s="23"/>
      <c r="H518" s="11" t="s">
        <v>269</v>
      </c>
      <c r="I518" s="12">
        <v>-150</v>
      </c>
      <c r="J518" s="20" t="s">
        <v>21</v>
      </c>
      <c r="K518" s="20" t="s">
        <v>56</v>
      </c>
      <c r="L518" s="20" t="s">
        <v>57</v>
      </c>
      <c r="M518" s="13" t="s">
        <v>386</v>
      </c>
      <c r="N518" s="14"/>
      <c r="O518" s="14">
        <f t="shared" si="16"/>
        <v>-150</v>
      </c>
      <c r="P518" s="15">
        <f t="shared" si="17"/>
        <v>41789</v>
      </c>
      <c r="Q518" s="15"/>
      <c r="R518" s="16"/>
      <c r="S518" s="16"/>
    </row>
    <row r="519" spans="1:19" x14ac:dyDescent="0.25">
      <c r="A519" s="8" t="s">
        <v>16</v>
      </c>
      <c r="B519" s="8" t="s">
        <v>17</v>
      </c>
      <c r="C519" s="8" t="s">
        <v>18</v>
      </c>
      <c r="D519" s="8">
        <v>2014</v>
      </c>
      <c r="E519" s="21" t="s">
        <v>293</v>
      </c>
      <c r="F519" s="22">
        <v>41789</v>
      </c>
      <c r="G519" s="8"/>
      <c r="H519" s="13" t="s">
        <v>80</v>
      </c>
      <c r="I519" s="12">
        <v>-50</v>
      </c>
      <c r="J519" s="13" t="s">
        <v>21</v>
      </c>
      <c r="K519" s="13" t="s">
        <v>22</v>
      </c>
      <c r="L519" s="13" t="s">
        <v>23</v>
      </c>
      <c r="M519" s="13" t="s">
        <v>28</v>
      </c>
      <c r="N519" s="14"/>
      <c r="O519" s="14">
        <f t="shared" si="16"/>
        <v>-50</v>
      </c>
      <c r="P519" s="15">
        <f t="shared" si="17"/>
        <v>41789</v>
      </c>
      <c r="Q519" s="15"/>
      <c r="R519" s="16"/>
      <c r="S519" s="16"/>
    </row>
    <row r="520" spans="1:19" x14ac:dyDescent="0.25">
      <c r="A520" s="8" t="s">
        <v>16</v>
      </c>
      <c r="B520" s="8" t="s">
        <v>17</v>
      </c>
      <c r="C520" s="36" t="s">
        <v>18</v>
      </c>
      <c r="D520" s="8">
        <v>2014</v>
      </c>
      <c r="E520" s="21" t="s">
        <v>293</v>
      </c>
      <c r="F520" s="22">
        <v>41789</v>
      </c>
      <c r="G520" s="8"/>
      <c r="H520" s="11" t="s">
        <v>148</v>
      </c>
      <c r="I520" s="12">
        <v>-250</v>
      </c>
      <c r="J520" s="13" t="s">
        <v>21</v>
      </c>
      <c r="K520" s="13" t="s">
        <v>22</v>
      </c>
      <c r="L520" s="13" t="s">
        <v>23</v>
      </c>
      <c r="M520" s="13"/>
      <c r="N520" s="14"/>
      <c r="O520" s="14">
        <f t="shared" si="16"/>
        <v>-250</v>
      </c>
      <c r="P520" s="15">
        <f t="shared" si="17"/>
        <v>41789</v>
      </c>
      <c r="Q520" s="15"/>
      <c r="R520" s="16"/>
      <c r="S520" s="16"/>
    </row>
    <row r="521" spans="1:19" x14ac:dyDescent="0.25">
      <c r="A521" s="23" t="s">
        <v>16</v>
      </c>
      <c r="B521" s="23" t="s">
        <v>17</v>
      </c>
      <c r="C521" s="8" t="s">
        <v>18</v>
      </c>
      <c r="D521" s="8">
        <v>2014</v>
      </c>
      <c r="E521" s="21" t="s">
        <v>293</v>
      </c>
      <c r="F521" s="22">
        <v>41789</v>
      </c>
      <c r="G521" s="8"/>
      <c r="H521" s="11" t="s">
        <v>458</v>
      </c>
      <c r="I521" s="12">
        <f>-27-30</f>
        <v>-57</v>
      </c>
      <c r="J521" s="13" t="s">
        <v>21</v>
      </c>
      <c r="K521" s="13" t="s">
        <v>22</v>
      </c>
      <c r="L521" s="13" t="s">
        <v>121</v>
      </c>
      <c r="M521" s="13"/>
      <c r="N521" s="31"/>
      <c r="O521" s="14">
        <f t="shared" si="16"/>
        <v>-57</v>
      </c>
      <c r="P521" s="15">
        <f t="shared" si="17"/>
        <v>41789</v>
      </c>
      <c r="Q521" s="15"/>
      <c r="R521" s="16"/>
      <c r="S521" s="16"/>
    </row>
    <row r="522" spans="1:19" x14ac:dyDescent="0.25">
      <c r="A522" s="23" t="s">
        <v>16</v>
      </c>
      <c r="B522" s="23" t="s">
        <v>17</v>
      </c>
      <c r="C522" s="23" t="s">
        <v>18</v>
      </c>
      <c r="D522" s="8">
        <v>2014</v>
      </c>
      <c r="E522" s="21" t="s">
        <v>293</v>
      </c>
      <c r="F522" s="22">
        <v>41789</v>
      </c>
      <c r="G522" s="23" t="s">
        <v>249</v>
      </c>
      <c r="H522" s="13" t="s">
        <v>122</v>
      </c>
      <c r="I522" s="12">
        <v>-4000</v>
      </c>
      <c r="J522" s="13" t="s">
        <v>33</v>
      </c>
      <c r="K522" s="13" t="s">
        <v>123</v>
      </c>
      <c r="L522" s="13" t="s">
        <v>124</v>
      </c>
      <c r="M522" s="25" t="s">
        <v>125</v>
      </c>
      <c r="N522" s="31"/>
      <c r="O522" s="14">
        <f t="shared" si="16"/>
        <v>-4000</v>
      </c>
      <c r="P522" s="15">
        <f t="shared" si="17"/>
        <v>41789</v>
      </c>
      <c r="Q522" s="15"/>
      <c r="R522" s="16"/>
      <c r="S522" s="16"/>
    </row>
    <row r="523" spans="1:19" x14ac:dyDescent="0.25">
      <c r="A523" s="23" t="s">
        <v>16</v>
      </c>
      <c r="B523" s="23" t="s">
        <v>17</v>
      </c>
      <c r="C523" s="23" t="s">
        <v>51</v>
      </c>
      <c r="D523" s="8">
        <v>2014</v>
      </c>
      <c r="E523" s="21" t="s">
        <v>293</v>
      </c>
      <c r="F523" s="10">
        <v>41789</v>
      </c>
      <c r="G523" s="8">
        <v>11761</v>
      </c>
      <c r="H523" s="11" t="s">
        <v>459</v>
      </c>
      <c r="I523" s="12">
        <v>700</v>
      </c>
      <c r="J523" s="13" t="s">
        <v>53</v>
      </c>
      <c r="K523" s="13" t="s">
        <v>54</v>
      </c>
      <c r="L523" s="13"/>
      <c r="M523" s="13"/>
      <c r="N523" s="31"/>
      <c r="O523" s="14">
        <f t="shared" si="16"/>
        <v>700</v>
      </c>
      <c r="P523" s="15">
        <f t="shared" si="17"/>
        <v>41789</v>
      </c>
      <c r="Q523" s="15"/>
      <c r="R523" s="16"/>
      <c r="S523" s="16"/>
    </row>
    <row r="524" spans="1:19" x14ac:dyDescent="0.25">
      <c r="A524" s="23" t="s">
        <v>16</v>
      </c>
      <c r="B524" s="23" t="s">
        <v>17</v>
      </c>
      <c r="C524" s="23" t="s">
        <v>18</v>
      </c>
      <c r="D524" s="8">
        <v>2014</v>
      </c>
      <c r="E524" s="21" t="s">
        <v>293</v>
      </c>
      <c r="F524" s="10">
        <v>41789</v>
      </c>
      <c r="G524" s="8"/>
      <c r="H524" s="11" t="s">
        <v>460</v>
      </c>
      <c r="I524" s="12">
        <f>-118.8-37-32.5-451.45-315.77-419.92-462.01</f>
        <v>-1837.45</v>
      </c>
      <c r="J524" s="13" t="s">
        <v>21</v>
      </c>
      <c r="K524" s="13" t="s">
        <v>56</v>
      </c>
      <c r="L524" s="13" t="s">
        <v>111</v>
      </c>
      <c r="M524" s="13" t="s">
        <v>28</v>
      </c>
      <c r="N524" s="31"/>
      <c r="O524" s="14">
        <f t="shared" si="16"/>
        <v>-1837.45</v>
      </c>
      <c r="P524" s="15">
        <f t="shared" si="17"/>
        <v>41789</v>
      </c>
      <c r="Q524" s="15"/>
      <c r="R524" s="16"/>
      <c r="S524" s="16"/>
    </row>
    <row r="525" spans="1:19" x14ac:dyDescent="0.25">
      <c r="A525" s="23" t="s">
        <v>16</v>
      </c>
      <c r="B525" s="23" t="s">
        <v>17</v>
      </c>
      <c r="C525" s="23" t="s">
        <v>51</v>
      </c>
      <c r="D525" s="8">
        <v>2014</v>
      </c>
      <c r="E525" s="21" t="s">
        <v>293</v>
      </c>
      <c r="F525" s="10">
        <v>41790</v>
      </c>
      <c r="G525" s="8">
        <v>11763</v>
      </c>
      <c r="H525" s="11" t="s">
        <v>461</v>
      </c>
      <c r="I525" s="12">
        <v>2000</v>
      </c>
      <c r="J525" s="13" t="s">
        <v>53</v>
      </c>
      <c r="K525" s="13" t="s">
        <v>54</v>
      </c>
      <c r="L525" s="13"/>
      <c r="M525" s="13"/>
      <c r="N525" s="31"/>
      <c r="O525" s="14">
        <f t="shared" si="16"/>
        <v>2000</v>
      </c>
      <c r="P525" s="15">
        <f t="shared" si="17"/>
        <v>41790</v>
      </c>
      <c r="Q525" s="15"/>
      <c r="R525" s="16"/>
      <c r="S525" s="16"/>
    </row>
    <row r="526" spans="1:19" x14ac:dyDescent="0.25">
      <c r="A526" s="23" t="s">
        <v>16</v>
      </c>
      <c r="B526" s="23" t="s">
        <v>17</v>
      </c>
      <c r="C526" s="23" t="s">
        <v>51</v>
      </c>
      <c r="D526" s="8">
        <v>2014</v>
      </c>
      <c r="E526" s="21" t="s">
        <v>293</v>
      </c>
      <c r="F526" s="10">
        <v>41790</v>
      </c>
      <c r="G526" s="8">
        <v>11764</v>
      </c>
      <c r="H526" s="11" t="s">
        <v>390</v>
      </c>
      <c r="I526" s="12">
        <v>1300</v>
      </c>
      <c r="J526" s="13" t="s">
        <v>53</v>
      </c>
      <c r="K526" s="13" t="s">
        <v>54</v>
      </c>
      <c r="L526" s="13"/>
      <c r="M526" s="13"/>
      <c r="N526" s="31"/>
      <c r="O526" s="14">
        <f t="shared" si="16"/>
        <v>1300</v>
      </c>
      <c r="P526" s="15">
        <f t="shared" si="17"/>
        <v>41790</v>
      </c>
      <c r="Q526" s="15"/>
      <c r="R526" s="16"/>
      <c r="S526" s="16"/>
    </row>
    <row r="527" spans="1:19" x14ac:dyDescent="0.25">
      <c r="A527" s="23" t="s">
        <v>16</v>
      </c>
      <c r="B527" s="23" t="s">
        <v>17</v>
      </c>
      <c r="C527" s="23" t="s">
        <v>51</v>
      </c>
      <c r="D527" s="8">
        <v>2014</v>
      </c>
      <c r="E527" s="21" t="s">
        <v>293</v>
      </c>
      <c r="F527" s="10">
        <v>41790</v>
      </c>
      <c r="G527" s="8">
        <v>11765</v>
      </c>
      <c r="H527" s="11" t="s">
        <v>462</v>
      </c>
      <c r="I527" s="12">
        <v>600</v>
      </c>
      <c r="J527" s="13" t="s">
        <v>53</v>
      </c>
      <c r="K527" s="13" t="s">
        <v>54</v>
      </c>
      <c r="L527" s="13"/>
      <c r="M527" s="13"/>
      <c r="N527" s="31"/>
      <c r="O527" s="14">
        <f t="shared" si="16"/>
        <v>600</v>
      </c>
      <c r="P527" s="15">
        <f t="shared" si="17"/>
        <v>41790</v>
      </c>
      <c r="Q527" s="15"/>
      <c r="R527" s="16"/>
      <c r="S527" s="16"/>
    </row>
    <row r="528" spans="1:19" x14ac:dyDescent="0.25">
      <c r="A528" s="8" t="s">
        <v>16</v>
      </c>
      <c r="B528" s="8" t="s">
        <v>17</v>
      </c>
      <c r="C528" s="8" t="s">
        <v>41</v>
      </c>
      <c r="D528" s="8">
        <v>2014</v>
      </c>
      <c r="E528" s="9" t="s">
        <v>463</v>
      </c>
      <c r="F528" s="10">
        <v>41791</v>
      </c>
      <c r="G528" s="8"/>
      <c r="H528" s="11" t="s">
        <v>43</v>
      </c>
      <c r="I528" s="29">
        <v>41156.646400000114</v>
      </c>
      <c r="J528" s="13" t="s">
        <v>44</v>
      </c>
      <c r="K528" s="13"/>
      <c r="L528" s="13"/>
      <c r="M528" s="13"/>
      <c r="N528" s="14"/>
      <c r="O528" s="14">
        <f t="shared" si="16"/>
        <v>41156.646400000114</v>
      </c>
      <c r="P528" s="15">
        <f t="shared" si="17"/>
        <v>41791</v>
      </c>
      <c r="Q528" s="15"/>
      <c r="R528" s="26"/>
      <c r="S528" s="16"/>
    </row>
    <row r="529" spans="1:19" x14ac:dyDescent="0.25">
      <c r="A529" s="8" t="s">
        <v>16</v>
      </c>
      <c r="B529" s="8" t="s">
        <v>45</v>
      </c>
      <c r="C529" s="8" t="s">
        <v>41</v>
      </c>
      <c r="D529" s="8">
        <v>2014</v>
      </c>
      <c r="E529" s="21" t="s">
        <v>463</v>
      </c>
      <c r="F529" s="10">
        <v>41791</v>
      </c>
      <c r="G529" s="8"/>
      <c r="H529" s="11" t="s">
        <v>43</v>
      </c>
      <c r="I529" s="29">
        <v>0</v>
      </c>
      <c r="J529" s="13" t="s">
        <v>44</v>
      </c>
      <c r="K529" s="13"/>
      <c r="L529" s="13"/>
      <c r="M529" s="13"/>
      <c r="N529" s="14">
        <v>11.12</v>
      </c>
      <c r="O529" s="14">
        <f t="shared" si="16"/>
        <v>0</v>
      </c>
      <c r="P529" s="15">
        <f t="shared" si="17"/>
        <v>41791</v>
      </c>
      <c r="Q529" s="15"/>
      <c r="R529" s="26"/>
      <c r="S529" s="16"/>
    </row>
    <row r="530" spans="1:19" x14ac:dyDescent="0.25">
      <c r="A530" s="23" t="s">
        <v>16</v>
      </c>
      <c r="B530" s="23" t="s">
        <v>17</v>
      </c>
      <c r="C530" s="23" t="s">
        <v>51</v>
      </c>
      <c r="D530" s="8">
        <v>2014</v>
      </c>
      <c r="E530" s="9" t="s">
        <v>463</v>
      </c>
      <c r="F530" s="10">
        <v>41791</v>
      </c>
      <c r="G530" s="8" t="s">
        <v>395</v>
      </c>
      <c r="H530" s="11" t="s">
        <v>464</v>
      </c>
      <c r="I530" s="12">
        <v>1340</v>
      </c>
      <c r="J530" s="13" t="s">
        <v>53</v>
      </c>
      <c r="K530" s="13" t="s">
        <v>54</v>
      </c>
      <c r="L530" s="13"/>
      <c r="M530" s="13"/>
      <c r="N530" s="31"/>
      <c r="O530" s="14">
        <f t="shared" si="16"/>
        <v>1340</v>
      </c>
      <c r="P530" s="15">
        <f t="shared" si="17"/>
        <v>41791</v>
      </c>
      <c r="Q530" s="15"/>
      <c r="R530" s="16"/>
      <c r="S530" s="16"/>
    </row>
    <row r="531" spans="1:19" x14ac:dyDescent="0.25">
      <c r="A531" s="23" t="s">
        <v>16</v>
      </c>
      <c r="B531" s="23" t="s">
        <v>17</v>
      </c>
      <c r="C531" s="23" t="s">
        <v>51</v>
      </c>
      <c r="D531" s="8">
        <v>2014</v>
      </c>
      <c r="E531" s="21" t="s">
        <v>463</v>
      </c>
      <c r="F531" s="10">
        <v>41791</v>
      </c>
      <c r="G531" s="8">
        <v>11766</v>
      </c>
      <c r="H531" s="11" t="s">
        <v>465</v>
      </c>
      <c r="I531" s="12">
        <v>500</v>
      </c>
      <c r="J531" s="13" t="s">
        <v>53</v>
      </c>
      <c r="K531" s="13" t="s">
        <v>54</v>
      </c>
      <c r="L531" s="13"/>
      <c r="M531" s="13"/>
      <c r="N531" s="31"/>
      <c r="O531" s="14">
        <f t="shared" si="16"/>
        <v>500</v>
      </c>
      <c r="P531" s="15">
        <f t="shared" si="17"/>
        <v>41791</v>
      </c>
      <c r="Q531" s="15"/>
      <c r="R531" s="16"/>
      <c r="S531" s="16"/>
    </row>
    <row r="532" spans="1:19" x14ac:dyDescent="0.25">
      <c r="A532" s="23" t="s">
        <v>16</v>
      </c>
      <c r="B532" s="23" t="s">
        <v>17</v>
      </c>
      <c r="C532" s="23" t="s">
        <v>51</v>
      </c>
      <c r="D532" s="8">
        <v>2014</v>
      </c>
      <c r="E532" s="9" t="s">
        <v>463</v>
      </c>
      <c r="F532" s="10">
        <v>41791</v>
      </c>
      <c r="G532" s="8">
        <v>11767</v>
      </c>
      <c r="H532" s="11" t="s">
        <v>466</v>
      </c>
      <c r="I532" s="12">
        <v>400</v>
      </c>
      <c r="J532" s="13" t="s">
        <v>53</v>
      </c>
      <c r="K532" s="13" t="s">
        <v>54</v>
      </c>
      <c r="L532" s="13"/>
      <c r="M532" s="13"/>
      <c r="N532" s="31"/>
      <c r="O532" s="14">
        <f t="shared" si="16"/>
        <v>400</v>
      </c>
      <c r="P532" s="15">
        <f t="shared" si="17"/>
        <v>41791</v>
      </c>
      <c r="Q532" s="15"/>
      <c r="R532" s="16"/>
      <c r="S532" s="16"/>
    </row>
    <row r="533" spans="1:19" x14ac:dyDescent="0.25">
      <c r="A533" s="23" t="s">
        <v>16</v>
      </c>
      <c r="B533" s="23" t="s">
        <v>17</v>
      </c>
      <c r="C533" s="23" t="s">
        <v>51</v>
      </c>
      <c r="D533" s="8">
        <v>2014</v>
      </c>
      <c r="E533" s="21" t="s">
        <v>463</v>
      </c>
      <c r="F533" s="10">
        <v>41791</v>
      </c>
      <c r="G533" s="8">
        <v>11768</v>
      </c>
      <c r="H533" s="11" t="s">
        <v>467</v>
      </c>
      <c r="I533" s="12">
        <v>200</v>
      </c>
      <c r="J533" s="13" t="s">
        <v>53</v>
      </c>
      <c r="K533" s="13" t="s">
        <v>54</v>
      </c>
      <c r="L533" s="13"/>
      <c r="M533" s="13"/>
      <c r="N533" s="31"/>
      <c r="O533" s="14">
        <f t="shared" si="16"/>
        <v>200</v>
      </c>
      <c r="P533" s="15">
        <f t="shared" si="17"/>
        <v>41791</v>
      </c>
      <c r="Q533" s="15"/>
      <c r="R533" s="16"/>
      <c r="S533" s="16"/>
    </row>
    <row r="534" spans="1:19" x14ac:dyDescent="0.25">
      <c r="A534" s="23" t="s">
        <v>16</v>
      </c>
      <c r="B534" s="23" t="s">
        <v>17</v>
      </c>
      <c r="C534" s="23" t="s">
        <v>51</v>
      </c>
      <c r="D534" s="8">
        <v>2014</v>
      </c>
      <c r="E534" s="9" t="s">
        <v>463</v>
      </c>
      <c r="F534" s="10">
        <v>41791</v>
      </c>
      <c r="G534" s="8">
        <v>11769</v>
      </c>
      <c r="H534" s="11" t="s">
        <v>468</v>
      </c>
      <c r="I534" s="12">
        <v>200</v>
      </c>
      <c r="J534" s="13" t="s">
        <v>53</v>
      </c>
      <c r="K534" s="13" t="s">
        <v>54</v>
      </c>
      <c r="L534" s="13"/>
      <c r="M534" s="13"/>
      <c r="N534" s="31"/>
      <c r="O534" s="14">
        <f t="shared" si="16"/>
        <v>200</v>
      </c>
      <c r="P534" s="15">
        <f t="shared" si="17"/>
        <v>41791</v>
      </c>
      <c r="Q534" s="15"/>
      <c r="R534" s="16"/>
      <c r="S534" s="16"/>
    </row>
    <row r="535" spans="1:19" x14ac:dyDescent="0.25">
      <c r="A535" s="23" t="s">
        <v>16</v>
      </c>
      <c r="B535" s="23" t="s">
        <v>17</v>
      </c>
      <c r="C535" s="23" t="s">
        <v>51</v>
      </c>
      <c r="D535" s="8">
        <v>2014</v>
      </c>
      <c r="E535" s="21" t="s">
        <v>463</v>
      </c>
      <c r="F535" s="10">
        <v>41791</v>
      </c>
      <c r="G535" s="8">
        <v>11770</v>
      </c>
      <c r="H535" s="11" t="s">
        <v>469</v>
      </c>
      <c r="I535" s="12">
        <v>300</v>
      </c>
      <c r="J535" s="13" t="s">
        <v>53</v>
      </c>
      <c r="K535" s="13" t="s">
        <v>54</v>
      </c>
      <c r="L535" s="13"/>
      <c r="M535" s="13"/>
      <c r="N535" s="31"/>
      <c r="O535" s="14">
        <f t="shared" si="16"/>
        <v>300</v>
      </c>
      <c r="P535" s="15">
        <f t="shared" si="17"/>
        <v>41791</v>
      </c>
      <c r="Q535" s="15"/>
      <c r="R535" s="16"/>
      <c r="S535" s="16"/>
    </row>
    <row r="536" spans="1:19" x14ac:dyDescent="0.25">
      <c r="A536" s="23" t="s">
        <v>16</v>
      </c>
      <c r="B536" s="23" t="s">
        <v>17</v>
      </c>
      <c r="C536" s="23" t="s">
        <v>18</v>
      </c>
      <c r="D536" s="8">
        <v>2014</v>
      </c>
      <c r="E536" s="9" t="s">
        <v>463</v>
      </c>
      <c r="F536" s="10">
        <v>41791</v>
      </c>
      <c r="G536" s="8"/>
      <c r="H536" s="11" t="s">
        <v>399</v>
      </c>
      <c r="I536" s="12">
        <f>-25-25-22</f>
        <v>-72</v>
      </c>
      <c r="J536" s="13" t="s">
        <v>21</v>
      </c>
      <c r="K536" s="13" t="s">
        <v>56</v>
      </c>
      <c r="L536" s="13" t="s">
        <v>111</v>
      </c>
      <c r="M536" s="13" t="s">
        <v>28</v>
      </c>
      <c r="N536" s="31"/>
      <c r="O536" s="14">
        <f t="shared" si="16"/>
        <v>-72</v>
      </c>
      <c r="P536" s="15">
        <f t="shared" si="17"/>
        <v>41791</v>
      </c>
      <c r="Q536" s="15"/>
      <c r="R536" s="16"/>
      <c r="S536" s="16"/>
    </row>
    <row r="537" spans="1:19" x14ac:dyDescent="0.25">
      <c r="A537" s="8" t="s">
        <v>16</v>
      </c>
      <c r="B537" s="8" t="s">
        <v>17</v>
      </c>
      <c r="C537" s="8" t="s">
        <v>18</v>
      </c>
      <c r="D537" s="8">
        <v>2014</v>
      </c>
      <c r="E537" s="21" t="s">
        <v>463</v>
      </c>
      <c r="F537" s="10">
        <v>41791</v>
      </c>
      <c r="G537" s="8"/>
      <c r="H537" s="11" t="s">
        <v>470</v>
      </c>
      <c r="I537" s="12">
        <v>-260</v>
      </c>
      <c r="J537" s="13" t="s">
        <v>21</v>
      </c>
      <c r="K537" s="13" t="s">
        <v>25</v>
      </c>
      <c r="L537" s="13" t="s">
        <v>26</v>
      </c>
      <c r="M537" s="13" t="s">
        <v>127</v>
      </c>
      <c r="N537" s="14"/>
      <c r="O537" s="14">
        <f t="shared" si="16"/>
        <v>-260</v>
      </c>
      <c r="P537" s="15">
        <f t="shared" si="17"/>
        <v>41791</v>
      </c>
      <c r="Q537" s="15"/>
      <c r="R537" s="16"/>
      <c r="S537" s="16"/>
    </row>
    <row r="538" spans="1:19" x14ac:dyDescent="0.25">
      <c r="A538" s="8" t="s">
        <v>16</v>
      </c>
      <c r="B538" s="8" t="s">
        <v>17</v>
      </c>
      <c r="C538" s="8" t="s">
        <v>18</v>
      </c>
      <c r="D538" s="8">
        <v>2014</v>
      </c>
      <c r="E538" s="9" t="s">
        <v>463</v>
      </c>
      <c r="F538" s="22">
        <v>41792</v>
      </c>
      <c r="G538" s="23"/>
      <c r="H538" s="11" t="s">
        <v>269</v>
      </c>
      <c r="I538" s="12">
        <f>-250-400-150</f>
        <v>-800</v>
      </c>
      <c r="J538" s="20" t="s">
        <v>21</v>
      </c>
      <c r="K538" s="20" t="s">
        <v>56</v>
      </c>
      <c r="L538" s="20" t="s">
        <v>57</v>
      </c>
      <c r="M538" s="13" t="s">
        <v>386</v>
      </c>
      <c r="N538" s="14"/>
      <c r="O538" s="14">
        <f t="shared" si="16"/>
        <v>-800</v>
      </c>
      <c r="P538" s="15">
        <f t="shared" si="17"/>
        <v>41792</v>
      </c>
      <c r="Q538" s="15"/>
      <c r="R538" s="16"/>
      <c r="S538" s="16"/>
    </row>
    <row r="539" spans="1:19" x14ac:dyDescent="0.25">
      <c r="A539" s="8" t="s">
        <v>16</v>
      </c>
      <c r="B539" s="8" t="s">
        <v>17</v>
      </c>
      <c r="C539" s="36" t="s">
        <v>18</v>
      </c>
      <c r="D539" s="8">
        <v>2014</v>
      </c>
      <c r="E539" s="21" t="s">
        <v>463</v>
      </c>
      <c r="F539" s="22">
        <v>41792</v>
      </c>
      <c r="G539" s="8"/>
      <c r="H539" s="13" t="s">
        <v>471</v>
      </c>
      <c r="I539" s="12">
        <v>-4120</v>
      </c>
      <c r="J539" s="13" t="s">
        <v>21</v>
      </c>
      <c r="K539" s="13" t="s">
        <v>63</v>
      </c>
      <c r="L539" s="55" t="s">
        <v>472</v>
      </c>
      <c r="M539" s="13"/>
      <c r="N539" s="14"/>
      <c r="O539" s="14">
        <f t="shared" si="16"/>
        <v>-4120</v>
      </c>
      <c r="P539" s="15">
        <f t="shared" si="17"/>
        <v>41792</v>
      </c>
      <c r="Q539" s="15"/>
      <c r="R539" s="16"/>
      <c r="S539" s="16"/>
    </row>
    <row r="540" spans="1:19" x14ac:dyDescent="0.25">
      <c r="A540" s="8" t="s">
        <v>16</v>
      </c>
      <c r="B540" s="8" t="s">
        <v>17</v>
      </c>
      <c r="C540" s="8" t="s">
        <v>18</v>
      </c>
      <c r="D540" s="8">
        <v>2014</v>
      </c>
      <c r="E540" s="9" t="s">
        <v>463</v>
      </c>
      <c r="F540" s="22">
        <v>41792</v>
      </c>
      <c r="G540" s="8"/>
      <c r="H540" s="13" t="s">
        <v>473</v>
      </c>
      <c r="I540" s="12">
        <v>-3000</v>
      </c>
      <c r="J540" s="13" t="s">
        <v>169</v>
      </c>
      <c r="K540" s="13" t="s">
        <v>474</v>
      </c>
      <c r="L540" s="13" t="s">
        <v>475</v>
      </c>
      <c r="M540" s="13"/>
      <c r="N540" s="14"/>
      <c r="O540" s="14">
        <f t="shared" si="16"/>
        <v>-3000</v>
      </c>
      <c r="P540" s="15">
        <f t="shared" si="17"/>
        <v>41792</v>
      </c>
      <c r="Q540" s="15"/>
      <c r="R540" s="35"/>
      <c r="S540" s="16"/>
    </row>
    <row r="541" spans="1:19" x14ac:dyDescent="0.25">
      <c r="A541" s="8" t="s">
        <v>16</v>
      </c>
      <c r="B541" s="8" t="s">
        <v>17</v>
      </c>
      <c r="C541" s="8" t="s">
        <v>18</v>
      </c>
      <c r="D541" s="8">
        <v>2014</v>
      </c>
      <c r="E541" s="21" t="s">
        <v>463</v>
      </c>
      <c r="F541" s="22">
        <v>41792</v>
      </c>
      <c r="G541" s="23"/>
      <c r="H541" s="17" t="s">
        <v>62</v>
      </c>
      <c r="I541" s="12">
        <f>-100-68-10-53</f>
        <v>-231</v>
      </c>
      <c r="J541" s="13" t="s">
        <v>21</v>
      </c>
      <c r="K541" s="13" t="s">
        <v>63</v>
      </c>
      <c r="L541" s="13" t="s">
        <v>64</v>
      </c>
      <c r="M541" s="13"/>
      <c r="N541" s="14"/>
      <c r="O541" s="14">
        <f t="shared" si="16"/>
        <v>-231</v>
      </c>
      <c r="P541" s="15">
        <f t="shared" si="17"/>
        <v>41792</v>
      </c>
      <c r="Q541" s="15"/>
      <c r="R541" s="16"/>
      <c r="S541" s="16"/>
    </row>
    <row r="542" spans="1:19" x14ac:dyDescent="0.25">
      <c r="A542" s="23" t="s">
        <v>16</v>
      </c>
      <c r="B542" s="23" t="s">
        <v>17</v>
      </c>
      <c r="C542" s="8" t="s">
        <v>18</v>
      </c>
      <c r="D542" s="8">
        <v>2014</v>
      </c>
      <c r="E542" s="9" t="s">
        <v>463</v>
      </c>
      <c r="F542" s="22">
        <v>41792</v>
      </c>
      <c r="G542" s="8"/>
      <c r="H542" s="11" t="s">
        <v>329</v>
      </c>
      <c r="I542" s="12">
        <v>-430</v>
      </c>
      <c r="J542" s="13" t="s">
        <v>21</v>
      </c>
      <c r="K542" s="13" t="s">
        <v>63</v>
      </c>
      <c r="L542" s="13" t="s">
        <v>64</v>
      </c>
      <c r="M542" s="13"/>
      <c r="N542" s="14"/>
      <c r="O542" s="14">
        <f t="shared" si="16"/>
        <v>-430</v>
      </c>
      <c r="P542" s="15">
        <f t="shared" si="17"/>
        <v>41792</v>
      </c>
      <c r="Q542" s="15"/>
      <c r="R542" s="16"/>
      <c r="S542" s="16"/>
    </row>
    <row r="543" spans="1:19" x14ac:dyDescent="0.25">
      <c r="A543" s="23" t="s">
        <v>16</v>
      </c>
      <c r="B543" s="23" t="s">
        <v>17</v>
      </c>
      <c r="C543" s="23" t="s">
        <v>51</v>
      </c>
      <c r="D543" s="8">
        <v>2014</v>
      </c>
      <c r="E543" s="21" t="s">
        <v>463</v>
      </c>
      <c r="F543" s="22">
        <v>41792</v>
      </c>
      <c r="G543" s="8">
        <v>11770</v>
      </c>
      <c r="H543" s="11" t="s">
        <v>469</v>
      </c>
      <c r="I543" s="12">
        <v>5700</v>
      </c>
      <c r="J543" s="13" t="s">
        <v>53</v>
      </c>
      <c r="K543" s="13" t="s">
        <v>54</v>
      </c>
      <c r="L543" s="13"/>
      <c r="M543" s="13"/>
      <c r="N543" s="31"/>
      <c r="O543" s="14">
        <f t="shared" si="16"/>
        <v>5700</v>
      </c>
      <c r="P543" s="15">
        <f t="shared" si="17"/>
        <v>41792</v>
      </c>
      <c r="Q543" s="15"/>
      <c r="R543" s="16"/>
      <c r="S543" s="16"/>
    </row>
    <row r="544" spans="1:19" x14ac:dyDescent="0.25">
      <c r="A544" s="23" t="s">
        <v>16</v>
      </c>
      <c r="B544" s="23" t="s">
        <v>17</v>
      </c>
      <c r="C544" s="23" t="s">
        <v>51</v>
      </c>
      <c r="D544" s="8">
        <v>2014</v>
      </c>
      <c r="E544" s="9" t="s">
        <v>463</v>
      </c>
      <c r="F544" s="22">
        <v>41792</v>
      </c>
      <c r="G544" s="8">
        <v>11682</v>
      </c>
      <c r="H544" s="11" t="s">
        <v>476</v>
      </c>
      <c r="I544" s="12">
        <v>9000</v>
      </c>
      <c r="J544" s="13" t="s">
        <v>53</v>
      </c>
      <c r="K544" s="13" t="s">
        <v>54</v>
      </c>
      <c r="L544" s="13"/>
      <c r="M544" s="13"/>
      <c r="N544" s="31"/>
      <c r="O544" s="14">
        <f t="shared" si="16"/>
        <v>9000</v>
      </c>
      <c r="P544" s="15">
        <f t="shared" si="17"/>
        <v>41792</v>
      </c>
      <c r="Q544" s="15"/>
      <c r="R544" s="16"/>
      <c r="S544" s="16"/>
    </row>
    <row r="545" spans="1:19" x14ac:dyDescent="0.25">
      <c r="A545" s="23" t="s">
        <v>16</v>
      </c>
      <c r="B545" s="23" t="s">
        <v>17</v>
      </c>
      <c r="C545" s="23" t="s">
        <v>51</v>
      </c>
      <c r="D545" s="8">
        <v>2014</v>
      </c>
      <c r="E545" s="21" t="s">
        <v>463</v>
      </c>
      <c r="F545" s="10">
        <v>41793</v>
      </c>
      <c r="G545" s="8">
        <v>11771</v>
      </c>
      <c r="H545" s="11" t="s">
        <v>477</v>
      </c>
      <c r="I545" s="12">
        <v>3000</v>
      </c>
      <c r="J545" s="13" t="s">
        <v>53</v>
      </c>
      <c r="K545" s="13" t="s">
        <v>54</v>
      </c>
      <c r="L545" s="13"/>
      <c r="M545" s="13"/>
      <c r="N545" s="31"/>
      <c r="O545" s="14">
        <f t="shared" si="16"/>
        <v>3000</v>
      </c>
      <c r="P545" s="15">
        <f t="shared" si="17"/>
        <v>41793</v>
      </c>
      <c r="Q545" s="56"/>
      <c r="R545" s="16"/>
      <c r="S545" s="16"/>
    </row>
    <row r="546" spans="1:19" x14ac:dyDescent="0.25">
      <c r="A546" s="23" t="s">
        <v>16</v>
      </c>
      <c r="B546" s="23" t="s">
        <v>17</v>
      </c>
      <c r="C546" s="23" t="s">
        <v>51</v>
      </c>
      <c r="D546" s="8">
        <v>2014</v>
      </c>
      <c r="E546" s="9" t="s">
        <v>463</v>
      </c>
      <c r="F546" s="10">
        <v>41793</v>
      </c>
      <c r="G546" s="8">
        <v>11772</v>
      </c>
      <c r="H546" s="11" t="s">
        <v>478</v>
      </c>
      <c r="I546" s="12">
        <v>7000</v>
      </c>
      <c r="J546" s="13" t="s">
        <v>53</v>
      </c>
      <c r="K546" s="13" t="s">
        <v>54</v>
      </c>
      <c r="L546" s="13"/>
      <c r="M546" s="13"/>
      <c r="N546" s="31"/>
      <c r="O546" s="14">
        <f t="shared" si="16"/>
        <v>7000</v>
      </c>
      <c r="P546" s="15">
        <f t="shared" si="17"/>
        <v>41793</v>
      </c>
      <c r="Q546" s="56"/>
      <c r="R546" s="16"/>
      <c r="S546" s="16"/>
    </row>
    <row r="547" spans="1:19" x14ac:dyDescent="0.25">
      <c r="A547" s="23" t="s">
        <v>16</v>
      </c>
      <c r="B547" s="23" t="s">
        <v>17</v>
      </c>
      <c r="C547" s="23" t="s">
        <v>51</v>
      </c>
      <c r="D547" s="8">
        <v>2014</v>
      </c>
      <c r="E547" s="21" t="s">
        <v>463</v>
      </c>
      <c r="F547" s="10">
        <v>41793</v>
      </c>
      <c r="G547" s="8">
        <v>11658</v>
      </c>
      <c r="H547" s="11" t="s">
        <v>479</v>
      </c>
      <c r="I547" s="12">
        <v>10000</v>
      </c>
      <c r="J547" s="13" t="s">
        <v>53</v>
      </c>
      <c r="K547" s="13" t="s">
        <v>54</v>
      </c>
      <c r="L547" s="13"/>
      <c r="M547" s="13"/>
      <c r="N547" s="31"/>
      <c r="O547" s="14">
        <f t="shared" si="16"/>
        <v>10000</v>
      </c>
      <c r="P547" s="15">
        <f t="shared" si="17"/>
        <v>41793</v>
      </c>
      <c r="Q547" s="56"/>
      <c r="R547" s="16"/>
      <c r="S547" s="16"/>
    </row>
    <row r="548" spans="1:19" x14ac:dyDescent="0.25">
      <c r="A548" s="23" t="s">
        <v>16</v>
      </c>
      <c r="B548" s="23" t="s">
        <v>17</v>
      </c>
      <c r="C548" s="23" t="s">
        <v>51</v>
      </c>
      <c r="D548" s="8">
        <v>2014</v>
      </c>
      <c r="E548" s="9" t="s">
        <v>463</v>
      </c>
      <c r="F548" s="10">
        <v>41794</v>
      </c>
      <c r="G548" s="8">
        <v>11773</v>
      </c>
      <c r="H548" s="11" t="s">
        <v>480</v>
      </c>
      <c r="I548" s="12">
        <v>1000</v>
      </c>
      <c r="J548" s="13" t="s">
        <v>53</v>
      </c>
      <c r="K548" s="13" t="s">
        <v>54</v>
      </c>
      <c r="L548" s="13"/>
      <c r="M548" s="13"/>
      <c r="N548" s="31"/>
      <c r="O548" s="14">
        <f t="shared" si="16"/>
        <v>1000</v>
      </c>
      <c r="P548" s="15">
        <f t="shared" si="17"/>
        <v>41794</v>
      </c>
      <c r="Q548" s="56"/>
      <c r="R548" s="16"/>
      <c r="S548" s="16"/>
    </row>
    <row r="549" spans="1:19" x14ac:dyDescent="0.25">
      <c r="A549" s="8" t="s">
        <v>16</v>
      </c>
      <c r="B549" s="8" t="s">
        <v>17</v>
      </c>
      <c r="C549" s="8" t="s">
        <v>18</v>
      </c>
      <c r="D549" s="8">
        <v>2014</v>
      </c>
      <c r="E549" s="21" t="s">
        <v>463</v>
      </c>
      <c r="F549" s="10">
        <v>41794</v>
      </c>
      <c r="G549" s="23"/>
      <c r="H549" s="13" t="s">
        <v>363</v>
      </c>
      <c r="I549" s="12">
        <v>-200</v>
      </c>
      <c r="J549" s="13" t="s">
        <v>21</v>
      </c>
      <c r="K549" s="13" t="s">
        <v>22</v>
      </c>
      <c r="L549" s="13" t="s">
        <v>23</v>
      </c>
      <c r="M549" s="13"/>
      <c r="N549" s="31"/>
      <c r="O549" s="14">
        <f t="shared" si="16"/>
        <v>-200</v>
      </c>
      <c r="P549" s="15">
        <f t="shared" si="17"/>
        <v>41794</v>
      </c>
      <c r="Q549" s="15"/>
      <c r="R549" s="16"/>
      <c r="S549" s="16"/>
    </row>
    <row r="550" spans="1:19" x14ac:dyDescent="0.25">
      <c r="A550" s="23" t="s">
        <v>16</v>
      </c>
      <c r="B550" s="23" t="s">
        <v>17</v>
      </c>
      <c r="C550" s="36" t="s">
        <v>46</v>
      </c>
      <c r="D550" s="8">
        <v>2014</v>
      </c>
      <c r="E550" s="21" t="s">
        <v>463</v>
      </c>
      <c r="F550" s="10">
        <v>41794</v>
      </c>
      <c r="G550" s="23"/>
      <c r="H550" s="17" t="s">
        <v>481</v>
      </c>
      <c r="I550" s="57">
        <v>-4000</v>
      </c>
      <c r="J550" s="13" t="s">
        <v>48</v>
      </c>
      <c r="K550" s="13" t="s">
        <v>326</v>
      </c>
      <c r="L550" s="13"/>
      <c r="M550" s="13" t="s">
        <v>226</v>
      </c>
      <c r="N550" s="14"/>
      <c r="O550" s="14">
        <f t="shared" si="16"/>
        <v>-4000</v>
      </c>
      <c r="P550" s="15">
        <f t="shared" si="17"/>
        <v>41794</v>
      </c>
      <c r="Q550" s="15"/>
      <c r="R550" s="16"/>
      <c r="S550" s="16"/>
    </row>
    <row r="551" spans="1:19" x14ac:dyDescent="0.25">
      <c r="A551" s="8" t="s">
        <v>16</v>
      </c>
      <c r="B551" s="8" t="s">
        <v>17</v>
      </c>
      <c r="C551" s="36" t="s">
        <v>46</v>
      </c>
      <c r="D551" s="8">
        <v>2014</v>
      </c>
      <c r="E551" s="9" t="s">
        <v>463</v>
      </c>
      <c r="F551" s="10">
        <v>41794</v>
      </c>
      <c r="G551" s="8" t="s">
        <v>249</v>
      </c>
      <c r="H551" s="11" t="s">
        <v>112</v>
      </c>
      <c r="I551" s="12">
        <v>-7500</v>
      </c>
      <c r="J551" s="13" t="s">
        <v>48</v>
      </c>
      <c r="K551" s="13" t="s">
        <v>113</v>
      </c>
      <c r="L551" s="13" t="s">
        <v>114</v>
      </c>
      <c r="M551" s="13"/>
      <c r="N551" s="14"/>
      <c r="O551" s="14">
        <f t="shared" si="16"/>
        <v>-7500</v>
      </c>
      <c r="P551" s="15">
        <f t="shared" si="17"/>
        <v>41794</v>
      </c>
      <c r="Q551" s="15"/>
      <c r="R551" s="16"/>
      <c r="S551" s="16"/>
    </row>
    <row r="552" spans="1:19" x14ac:dyDescent="0.25">
      <c r="A552" s="23" t="s">
        <v>16</v>
      </c>
      <c r="B552" s="23" t="s">
        <v>17</v>
      </c>
      <c r="C552" s="23" t="s">
        <v>51</v>
      </c>
      <c r="D552" s="8">
        <v>2014</v>
      </c>
      <c r="E552" s="21" t="s">
        <v>463</v>
      </c>
      <c r="F552" s="10">
        <v>41795</v>
      </c>
      <c r="G552" s="8">
        <v>11774</v>
      </c>
      <c r="H552" s="11" t="s">
        <v>482</v>
      </c>
      <c r="I552" s="12">
        <v>2400</v>
      </c>
      <c r="J552" s="13" t="s">
        <v>53</v>
      </c>
      <c r="K552" s="13" t="s">
        <v>54</v>
      </c>
      <c r="L552" s="13"/>
      <c r="M552" s="13"/>
      <c r="N552" s="31"/>
      <c r="O552" s="14">
        <f t="shared" si="16"/>
        <v>2400</v>
      </c>
      <c r="P552" s="15">
        <f t="shared" si="17"/>
        <v>41795</v>
      </c>
      <c r="Q552" s="56"/>
      <c r="R552" s="16"/>
      <c r="S552" s="16"/>
    </row>
    <row r="553" spans="1:19" x14ac:dyDescent="0.25">
      <c r="A553" s="23" t="s">
        <v>16</v>
      </c>
      <c r="B553" s="23" t="s">
        <v>17</v>
      </c>
      <c r="C553" s="23" t="s">
        <v>51</v>
      </c>
      <c r="D553" s="8">
        <v>2014</v>
      </c>
      <c r="E553" s="9" t="s">
        <v>463</v>
      </c>
      <c r="F553" s="10">
        <v>41795</v>
      </c>
      <c r="G553" s="8">
        <v>11773</v>
      </c>
      <c r="H553" s="11" t="s">
        <v>483</v>
      </c>
      <c r="I553" s="12">
        <v>18000</v>
      </c>
      <c r="J553" s="13" t="s">
        <v>53</v>
      </c>
      <c r="K553" s="13" t="s">
        <v>54</v>
      </c>
      <c r="L553" s="13"/>
      <c r="M553" s="13"/>
      <c r="N553" s="31"/>
      <c r="O553" s="14">
        <f t="shared" si="16"/>
        <v>18000</v>
      </c>
      <c r="P553" s="15">
        <f t="shared" si="17"/>
        <v>41795</v>
      </c>
      <c r="Q553" s="56"/>
      <c r="R553" s="16"/>
      <c r="S553" s="16"/>
    </row>
    <row r="554" spans="1:19" x14ac:dyDescent="0.25">
      <c r="A554" s="23" t="s">
        <v>16</v>
      </c>
      <c r="B554" s="23" t="s">
        <v>17</v>
      </c>
      <c r="C554" s="23" t="s">
        <v>18</v>
      </c>
      <c r="D554" s="8">
        <v>2014</v>
      </c>
      <c r="E554" s="21" t="s">
        <v>463</v>
      </c>
      <c r="F554" s="10">
        <v>41795</v>
      </c>
      <c r="G554" s="23" t="s">
        <v>249</v>
      </c>
      <c r="H554" s="13" t="s">
        <v>270</v>
      </c>
      <c r="I554" s="12">
        <v>-1500</v>
      </c>
      <c r="J554" s="13" t="s">
        <v>38</v>
      </c>
      <c r="K554" s="13" t="s">
        <v>90</v>
      </c>
      <c r="L554" s="13" t="s">
        <v>91</v>
      </c>
      <c r="M554" s="13"/>
      <c r="N554" s="31"/>
      <c r="O554" s="14">
        <f t="shared" si="16"/>
        <v>-1500</v>
      </c>
      <c r="P554" s="15">
        <f t="shared" si="17"/>
        <v>41795</v>
      </c>
      <c r="Q554" s="15"/>
      <c r="R554" s="26"/>
      <c r="S554" s="26"/>
    </row>
    <row r="555" spans="1:19" x14ac:dyDescent="0.25">
      <c r="A555" s="8" t="s">
        <v>16</v>
      </c>
      <c r="B555" s="40" t="s">
        <v>17</v>
      </c>
      <c r="C555" s="8" t="s">
        <v>18</v>
      </c>
      <c r="D555" s="8">
        <v>2014</v>
      </c>
      <c r="E555" s="9" t="s">
        <v>463</v>
      </c>
      <c r="F555" s="10">
        <v>41795</v>
      </c>
      <c r="G555" s="8"/>
      <c r="H555" s="17" t="s">
        <v>96</v>
      </c>
      <c r="I555" s="12">
        <v>-5000</v>
      </c>
      <c r="J555" s="13" t="s">
        <v>38</v>
      </c>
      <c r="K555" s="13" t="s">
        <v>93</v>
      </c>
      <c r="L555" s="13" t="s">
        <v>94</v>
      </c>
      <c r="M555" s="13" t="s">
        <v>95</v>
      </c>
      <c r="N555" s="14"/>
      <c r="O555" s="14">
        <f t="shared" si="16"/>
        <v>-5000</v>
      </c>
      <c r="P555" s="15">
        <f t="shared" si="17"/>
        <v>41795</v>
      </c>
      <c r="Q555" s="15"/>
      <c r="R555" s="16"/>
      <c r="S555" s="16"/>
    </row>
    <row r="556" spans="1:19" x14ac:dyDescent="0.25">
      <c r="A556" s="8" t="s">
        <v>16</v>
      </c>
      <c r="B556" s="8" t="s">
        <v>17</v>
      </c>
      <c r="C556" s="8" t="s">
        <v>18</v>
      </c>
      <c r="D556" s="8">
        <v>2014</v>
      </c>
      <c r="E556" s="21" t="s">
        <v>463</v>
      </c>
      <c r="F556" s="10">
        <v>41795</v>
      </c>
      <c r="G556" s="8"/>
      <c r="H556" s="17" t="s">
        <v>128</v>
      </c>
      <c r="I556" s="12">
        <f>-1000-300-10000</f>
        <v>-11300</v>
      </c>
      <c r="J556" s="13" t="s">
        <v>38</v>
      </c>
      <c r="K556" s="13" t="s">
        <v>93</v>
      </c>
      <c r="L556" s="13" t="s">
        <v>94</v>
      </c>
      <c r="M556" s="13" t="s">
        <v>129</v>
      </c>
      <c r="N556" s="14"/>
      <c r="O556" s="14">
        <f t="shared" si="16"/>
        <v>-11300</v>
      </c>
      <c r="P556" s="15">
        <f t="shared" si="17"/>
        <v>41795</v>
      </c>
      <c r="Q556" s="15"/>
      <c r="R556" s="16"/>
      <c r="S556" s="16"/>
    </row>
    <row r="557" spans="1:19" x14ac:dyDescent="0.25">
      <c r="A557" s="8" t="s">
        <v>16</v>
      </c>
      <c r="B557" s="40" t="s">
        <v>17</v>
      </c>
      <c r="C557" s="8" t="s">
        <v>18</v>
      </c>
      <c r="D557" s="8">
        <v>2014</v>
      </c>
      <c r="E557" s="9" t="s">
        <v>463</v>
      </c>
      <c r="F557" s="10">
        <v>41795</v>
      </c>
      <c r="G557" s="8"/>
      <c r="H557" s="17" t="s">
        <v>99</v>
      </c>
      <c r="I557" s="12">
        <v>-4000</v>
      </c>
      <c r="J557" s="13" t="s">
        <v>38</v>
      </c>
      <c r="K557" s="13" t="s">
        <v>93</v>
      </c>
      <c r="L557" s="13" t="s">
        <v>94</v>
      </c>
      <c r="M557" s="13" t="s">
        <v>100</v>
      </c>
      <c r="N557" s="14"/>
      <c r="O557" s="14">
        <f t="shared" si="16"/>
        <v>-4000</v>
      </c>
      <c r="P557" s="15">
        <f t="shared" si="17"/>
        <v>41795</v>
      </c>
      <c r="Q557" s="15"/>
      <c r="R557" s="16"/>
      <c r="S557" s="16"/>
    </row>
    <row r="558" spans="1:19" x14ac:dyDescent="0.25">
      <c r="A558" s="8" t="s">
        <v>16</v>
      </c>
      <c r="B558" s="8" t="s">
        <v>17</v>
      </c>
      <c r="C558" s="8" t="s">
        <v>18</v>
      </c>
      <c r="D558" s="8">
        <v>2014</v>
      </c>
      <c r="E558" s="21" t="s">
        <v>463</v>
      </c>
      <c r="F558" s="10">
        <v>41795</v>
      </c>
      <c r="G558" s="8"/>
      <c r="H558" s="13" t="s">
        <v>103</v>
      </c>
      <c r="I558" s="12">
        <v>-1530</v>
      </c>
      <c r="J558" s="13" t="s">
        <v>38</v>
      </c>
      <c r="K558" s="13" t="s">
        <v>90</v>
      </c>
      <c r="L558" s="13" t="s">
        <v>104</v>
      </c>
      <c r="M558" s="13" t="s">
        <v>105</v>
      </c>
      <c r="N558" s="14"/>
      <c r="O558" s="14">
        <f t="shared" si="16"/>
        <v>-1530</v>
      </c>
      <c r="P558" s="15">
        <f t="shared" si="17"/>
        <v>41795</v>
      </c>
      <c r="Q558" s="15"/>
      <c r="R558" s="35"/>
      <c r="S558" s="27"/>
    </row>
    <row r="559" spans="1:19" x14ac:dyDescent="0.25">
      <c r="A559" s="8" t="s">
        <v>16</v>
      </c>
      <c r="B559" s="8" t="s">
        <v>17</v>
      </c>
      <c r="C559" s="8" t="s">
        <v>18</v>
      </c>
      <c r="D559" s="8">
        <v>2014</v>
      </c>
      <c r="E559" s="9" t="s">
        <v>463</v>
      </c>
      <c r="F559" s="10">
        <v>41795</v>
      </c>
      <c r="G559" s="8"/>
      <c r="H559" s="13" t="s">
        <v>106</v>
      </c>
      <c r="I559" s="12">
        <v>-15000</v>
      </c>
      <c r="J559" s="13" t="s">
        <v>38</v>
      </c>
      <c r="K559" s="13" t="s">
        <v>93</v>
      </c>
      <c r="L559" s="13" t="s">
        <v>107</v>
      </c>
      <c r="M559" s="13" t="s">
        <v>105</v>
      </c>
      <c r="N559" s="14"/>
      <c r="O559" s="14">
        <f t="shared" si="16"/>
        <v>-15000</v>
      </c>
      <c r="P559" s="15">
        <f t="shared" si="17"/>
        <v>41795</v>
      </c>
      <c r="Q559" s="15"/>
      <c r="R559" s="35"/>
      <c r="S559" s="27"/>
    </row>
    <row r="560" spans="1:19" x14ac:dyDescent="0.25">
      <c r="A560" s="8" t="s">
        <v>16</v>
      </c>
      <c r="B560" s="8" t="s">
        <v>17</v>
      </c>
      <c r="C560" s="8" t="s">
        <v>18</v>
      </c>
      <c r="D560" s="8">
        <v>2014</v>
      </c>
      <c r="E560" s="21" t="s">
        <v>463</v>
      </c>
      <c r="F560" s="10">
        <v>41795</v>
      </c>
      <c r="G560" s="23"/>
      <c r="H560" s="11" t="s">
        <v>269</v>
      </c>
      <c r="I560" s="12">
        <v>-700</v>
      </c>
      <c r="J560" s="20" t="s">
        <v>21</v>
      </c>
      <c r="K560" s="20" t="s">
        <v>56</v>
      </c>
      <c r="L560" s="20" t="s">
        <v>57</v>
      </c>
      <c r="M560" s="13" t="s">
        <v>386</v>
      </c>
      <c r="N560" s="14"/>
      <c r="O560" s="14">
        <f t="shared" si="16"/>
        <v>-700</v>
      </c>
      <c r="P560" s="15">
        <f t="shared" si="17"/>
        <v>41795</v>
      </c>
      <c r="Q560" s="15"/>
      <c r="R560" s="16"/>
      <c r="S560" s="16"/>
    </row>
    <row r="561" spans="1:19" x14ac:dyDescent="0.25">
      <c r="A561" s="8" t="s">
        <v>16</v>
      </c>
      <c r="B561" s="8" t="s">
        <v>17</v>
      </c>
      <c r="C561" s="8" t="s">
        <v>18</v>
      </c>
      <c r="D561" s="8">
        <v>2014</v>
      </c>
      <c r="E561" s="9" t="s">
        <v>463</v>
      </c>
      <c r="F561" s="10">
        <v>41795</v>
      </c>
      <c r="G561" s="23"/>
      <c r="H561" s="11" t="s">
        <v>452</v>
      </c>
      <c r="I561" s="12">
        <v>-200</v>
      </c>
      <c r="J561" s="54" t="s">
        <v>21</v>
      </c>
      <c r="K561" s="54" t="s">
        <v>56</v>
      </c>
      <c r="L561" s="54" t="s">
        <v>57</v>
      </c>
      <c r="M561" s="13" t="s">
        <v>386</v>
      </c>
      <c r="N561" s="14"/>
      <c r="O561" s="14">
        <f t="shared" si="16"/>
        <v>-200</v>
      </c>
      <c r="P561" s="15">
        <f t="shared" si="17"/>
        <v>41795</v>
      </c>
      <c r="Q561" s="15"/>
      <c r="R561" s="16"/>
      <c r="S561" s="16"/>
    </row>
    <row r="562" spans="1:19" x14ac:dyDescent="0.25">
      <c r="A562" s="23" t="s">
        <v>16</v>
      </c>
      <c r="B562" s="23" t="s">
        <v>17</v>
      </c>
      <c r="C562" s="23" t="s">
        <v>18</v>
      </c>
      <c r="D562" s="8">
        <v>2014</v>
      </c>
      <c r="E562" s="21" t="s">
        <v>463</v>
      </c>
      <c r="F562" s="10">
        <v>41795</v>
      </c>
      <c r="G562" s="8"/>
      <c r="H562" s="11" t="s">
        <v>341</v>
      </c>
      <c r="I562" s="12">
        <v>-956</v>
      </c>
      <c r="J562" s="13" t="s">
        <v>38</v>
      </c>
      <c r="K562" s="13" t="s">
        <v>90</v>
      </c>
      <c r="L562" s="13" t="s">
        <v>91</v>
      </c>
      <c r="M562" s="13"/>
      <c r="N562" s="31"/>
      <c r="O562" s="14">
        <f t="shared" si="16"/>
        <v>-956</v>
      </c>
      <c r="P562" s="15">
        <f t="shared" si="17"/>
        <v>41795</v>
      </c>
      <c r="Q562" s="15"/>
      <c r="R562" s="16"/>
      <c r="S562" s="16"/>
    </row>
    <row r="563" spans="1:19" x14ac:dyDescent="0.25">
      <c r="A563" s="23" t="s">
        <v>16</v>
      </c>
      <c r="B563" s="23" t="s">
        <v>17</v>
      </c>
      <c r="C563" s="23" t="s">
        <v>18</v>
      </c>
      <c r="D563" s="8">
        <v>2014</v>
      </c>
      <c r="E563" s="9" t="s">
        <v>463</v>
      </c>
      <c r="F563" s="10">
        <v>41795</v>
      </c>
      <c r="G563" s="8"/>
      <c r="H563" s="11" t="s">
        <v>484</v>
      </c>
      <c r="I563" s="12">
        <v>-628</v>
      </c>
      <c r="J563" s="13" t="s">
        <v>38</v>
      </c>
      <c r="K563" s="13" t="s">
        <v>90</v>
      </c>
      <c r="L563" s="13" t="s">
        <v>91</v>
      </c>
      <c r="M563" s="13"/>
      <c r="N563" s="31"/>
      <c r="O563" s="14">
        <f t="shared" si="16"/>
        <v>-628</v>
      </c>
      <c r="P563" s="15">
        <f t="shared" si="17"/>
        <v>41795</v>
      </c>
      <c r="Q563" s="15"/>
      <c r="R563" s="16"/>
      <c r="S563" s="16"/>
    </row>
    <row r="564" spans="1:19" x14ac:dyDescent="0.25">
      <c r="A564" s="23" t="s">
        <v>16</v>
      </c>
      <c r="B564" s="23" t="s">
        <v>17</v>
      </c>
      <c r="C564" s="23" t="s">
        <v>18</v>
      </c>
      <c r="D564" s="8">
        <v>2014</v>
      </c>
      <c r="E564" s="21" t="s">
        <v>463</v>
      </c>
      <c r="F564" s="10">
        <v>41795</v>
      </c>
      <c r="G564" s="8"/>
      <c r="H564" s="11" t="s">
        <v>342</v>
      </c>
      <c r="I564" s="12">
        <v>-400</v>
      </c>
      <c r="J564" s="13" t="s">
        <v>38</v>
      </c>
      <c r="K564" s="13" t="s">
        <v>90</v>
      </c>
      <c r="L564" s="13" t="s">
        <v>91</v>
      </c>
      <c r="M564" s="13"/>
      <c r="N564" s="31"/>
      <c r="O564" s="14">
        <f t="shared" si="16"/>
        <v>-400</v>
      </c>
      <c r="P564" s="15">
        <f t="shared" si="17"/>
        <v>41795</v>
      </c>
      <c r="Q564" s="15"/>
      <c r="R564" s="16"/>
      <c r="S564" s="16"/>
    </row>
    <row r="565" spans="1:19" x14ac:dyDescent="0.25">
      <c r="A565" s="23" t="s">
        <v>16</v>
      </c>
      <c r="B565" s="23" t="s">
        <v>17</v>
      </c>
      <c r="C565" s="23" t="s">
        <v>18</v>
      </c>
      <c r="D565" s="8">
        <v>2014</v>
      </c>
      <c r="E565" s="9" t="s">
        <v>463</v>
      </c>
      <c r="F565" s="10">
        <v>41795</v>
      </c>
      <c r="G565" s="23"/>
      <c r="H565" s="13" t="s">
        <v>485</v>
      </c>
      <c r="I565" s="12">
        <v>-4050</v>
      </c>
      <c r="J565" s="13" t="s">
        <v>38</v>
      </c>
      <c r="K565" s="13" t="s">
        <v>90</v>
      </c>
      <c r="L565" s="13" t="s">
        <v>91</v>
      </c>
      <c r="M565" s="13"/>
      <c r="N565" s="31"/>
      <c r="O565" s="14">
        <f t="shared" si="16"/>
        <v>-4050</v>
      </c>
      <c r="P565" s="15">
        <f t="shared" si="17"/>
        <v>41795</v>
      </c>
      <c r="Q565" s="15"/>
      <c r="R565" s="16"/>
      <c r="S565" s="16"/>
    </row>
    <row r="566" spans="1:19" x14ac:dyDescent="0.25">
      <c r="A566" s="23" t="s">
        <v>16</v>
      </c>
      <c r="B566" s="23" t="s">
        <v>17</v>
      </c>
      <c r="C566" s="23" t="s">
        <v>18</v>
      </c>
      <c r="D566" s="8">
        <v>2014</v>
      </c>
      <c r="E566" s="21" t="s">
        <v>463</v>
      </c>
      <c r="F566" s="10">
        <v>41795</v>
      </c>
      <c r="G566" s="23"/>
      <c r="H566" s="13" t="s">
        <v>486</v>
      </c>
      <c r="I566" s="12">
        <v>-3852</v>
      </c>
      <c r="J566" s="13" t="s">
        <v>38</v>
      </c>
      <c r="K566" s="13" t="s">
        <v>90</v>
      </c>
      <c r="L566" s="13" t="s">
        <v>91</v>
      </c>
      <c r="M566" s="13"/>
      <c r="N566" s="31"/>
      <c r="O566" s="14">
        <f t="shared" si="16"/>
        <v>-3852</v>
      </c>
      <c r="P566" s="15">
        <f t="shared" si="17"/>
        <v>41795</v>
      </c>
      <c r="Q566" s="15"/>
      <c r="R566" s="16"/>
      <c r="S566" s="16"/>
    </row>
    <row r="567" spans="1:19" x14ac:dyDescent="0.25">
      <c r="A567" s="8" t="s">
        <v>16</v>
      </c>
      <c r="B567" s="8" t="s">
        <v>17</v>
      </c>
      <c r="C567" s="8" t="s">
        <v>18</v>
      </c>
      <c r="D567" s="8">
        <v>2014</v>
      </c>
      <c r="E567" s="9" t="s">
        <v>463</v>
      </c>
      <c r="F567" s="10">
        <v>41795</v>
      </c>
      <c r="G567" s="23"/>
      <c r="H567" s="13" t="s">
        <v>363</v>
      </c>
      <c r="I567" s="12">
        <v>-175</v>
      </c>
      <c r="J567" s="13" t="s">
        <v>21</v>
      </c>
      <c r="K567" s="13" t="s">
        <v>22</v>
      </c>
      <c r="L567" s="13" t="s">
        <v>23</v>
      </c>
      <c r="M567" s="13"/>
      <c r="N567" s="31"/>
      <c r="O567" s="14">
        <f t="shared" si="16"/>
        <v>-175</v>
      </c>
      <c r="P567" s="15">
        <f t="shared" si="17"/>
        <v>41795</v>
      </c>
      <c r="Q567" s="15"/>
      <c r="R567" s="16"/>
      <c r="S567" s="16"/>
    </row>
    <row r="568" spans="1:19" x14ac:dyDescent="0.25">
      <c r="A568" s="8" t="s">
        <v>16</v>
      </c>
      <c r="B568" s="8" t="s">
        <v>17</v>
      </c>
      <c r="C568" s="8" t="s">
        <v>18</v>
      </c>
      <c r="D568" s="8">
        <v>2014</v>
      </c>
      <c r="E568" s="21" t="s">
        <v>463</v>
      </c>
      <c r="F568" s="10">
        <v>41795</v>
      </c>
      <c r="G568" s="23"/>
      <c r="H568" s="11" t="s">
        <v>269</v>
      </c>
      <c r="I568" s="12">
        <v>-500</v>
      </c>
      <c r="J568" s="20" t="s">
        <v>21</v>
      </c>
      <c r="K568" s="20" t="s">
        <v>56</v>
      </c>
      <c r="L568" s="20" t="s">
        <v>57</v>
      </c>
      <c r="M568" s="13" t="s">
        <v>386</v>
      </c>
      <c r="N568" s="14"/>
      <c r="O568" s="14">
        <f t="shared" si="16"/>
        <v>-500</v>
      </c>
      <c r="P568" s="15">
        <f t="shared" si="17"/>
        <v>41795</v>
      </c>
      <c r="Q568" s="15"/>
      <c r="R568" s="16"/>
      <c r="S568" s="16"/>
    </row>
    <row r="569" spans="1:19" x14ac:dyDescent="0.25">
      <c r="A569" s="8" t="s">
        <v>16</v>
      </c>
      <c r="B569" s="8" t="s">
        <v>17</v>
      </c>
      <c r="C569" s="8" t="s">
        <v>18</v>
      </c>
      <c r="D569" s="8">
        <v>2014</v>
      </c>
      <c r="E569" s="9" t="s">
        <v>463</v>
      </c>
      <c r="F569" s="10">
        <v>41795</v>
      </c>
      <c r="G569" s="23"/>
      <c r="H569" s="11" t="s">
        <v>487</v>
      </c>
      <c r="I569" s="12">
        <f>-750-285-530</f>
        <v>-1565</v>
      </c>
      <c r="J569" s="54" t="s">
        <v>21</v>
      </c>
      <c r="K569" s="54" t="s">
        <v>56</v>
      </c>
      <c r="L569" s="54" t="s">
        <v>57</v>
      </c>
      <c r="M569" s="13" t="s">
        <v>386</v>
      </c>
      <c r="N569" s="14"/>
      <c r="O569" s="14">
        <f t="shared" si="16"/>
        <v>-1565</v>
      </c>
      <c r="P569" s="15">
        <f t="shared" si="17"/>
        <v>41795</v>
      </c>
      <c r="Q569" s="15"/>
      <c r="R569" s="16"/>
      <c r="S569" s="16"/>
    </row>
    <row r="570" spans="1:19" x14ac:dyDescent="0.25">
      <c r="A570" s="8" t="s">
        <v>16</v>
      </c>
      <c r="B570" s="8" t="s">
        <v>17</v>
      </c>
      <c r="C570" s="36" t="s">
        <v>18</v>
      </c>
      <c r="D570" s="8">
        <v>2014</v>
      </c>
      <c r="E570" s="21" t="s">
        <v>463</v>
      </c>
      <c r="F570" s="10">
        <v>41795</v>
      </c>
      <c r="G570" s="8"/>
      <c r="H570" s="17" t="s">
        <v>443</v>
      </c>
      <c r="I570" s="12">
        <v>-4080.78</v>
      </c>
      <c r="J570" s="13" t="s">
        <v>33</v>
      </c>
      <c r="K570" s="13" t="s">
        <v>224</v>
      </c>
      <c r="L570" s="13" t="s">
        <v>231</v>
      </c>
      <c r="M570" s="13"/>
      <c r="N570" s="14"/>
      <c r="O570" s="14">
        <f t="shared" si="16"/>
        <v>-4080.78</v>
      </c>
      <c r="P570" s="15">
        <f t="shared" si="17"/>
        <v>41795</v>
      </c>
      <c r="Q570" s="15"/>
      <c r="R570" s="16"/>
      <c r="S570" s="16"/>
    </row>
    <row r="571" spans="1:19" x14ac:dyDescent="0.25">
      <c r="A571" s="23" t="s">
        <v>16</v>
      </c>
      <c r="B571" s="23" t="s">
        <v>17</v>
      </c>
      <c r="C571" s="23" t="s">
        <v>18</v>
      </c>
      <c r="D571" s="8">
        <v>2014</v>
      </c>
      <c r="E571" s="9" t="s">
        <v>463</v>
      </c>
      <c r="F571" s="10">
        <v>41795</v>
      </c>
      <c r="G571" s="23"/>
      <c r="H571" s="13" t="s">
        <v>488</v>
      </c>
      <c r="I571" s="12">
        <f>-418.43-197.98-500</f>
        <v>-1116.4099999999999</v>
      </c>
      <c r="J571" s="13" t="s">
        <v>33</v>
      </c>
      <c r="K571" s="13" t="s">
        <v>34</v>
      </c>
      <c r="L571" s="13" t="s">
        <v>35</v>
      </c>
      <c r="M571" s="13" t="s">
        <v>226</v>
      </c>
      <c r="N571" s="14"/>
      <c r="O571" s="14">
        <f t="shared" si="16"/>
        <v>-1116.4099999999999</v>
      </c>
      <c r="P571" s="15">
        <f t="shared" si="17"/>
        <v>41795</v>
      </c>
      <c r="Q571" s="15"/>
      <c r="R571" s="26"/>
      <c r="S571" s="26"/>
    </row>
    <row r="572" spans="1:19" x14ac:dyDescent="0.25">
      <c r="A572" s="8" t="s">
        <v>16</v>
      </c>
      <c r="B572" s="8" t="s">
        <v>17</v>
      </c>
      <c r="C572" s="8" t="s">
        <v>18</v>
      </c>
      <c r="D572" s="8">
        <v>2014</v>
      </c>
      <c r="E572" s="21" t="s">
        <v>463</v>
      </c>
      <c r="F572" s="10">
        <v>41795</v>
      </c>
      <c r="G572" s="23"/>
      <c r="H572" s="17" t="s">
        <v>62</v>
      </c>
      <c r="I572" s="12">
        <f>-80-108-96</f>
        <v>-284</v>
      </c>
      <c r="J572" s="13" t="s">
        <v>21</v>
      </c>
      <c r="K572" s="13" t="s">
        <v>63</v>
      </c>
      <c r="L572" s="13" t="s">
        <v>64</v>
      </c>
      <c r="M572" s="13"/>
      <c r="N572" s="14"/>
      <c r="O572" s="14">
        <f t="shared" si="16"/>
        <v>-284</v>
      </c>
      <c r="P572" s="15">
        <f t="shared" si="17"/>
        <v>41795</v>
      </c>
      <c r="Q572" s="15"/>
      <c r="R572" s="16"/>
      <c r="S572" s="16"/>
    </row>
    <row r="573" spans="1:19" x14ac:dyDescent="0.25">
      <c r="A573" s="23" t="s">
        <v>16</v>
      </c>
      <c r="B573" s="23" t="s">
        <v>17</v>
      </c>
      <c r="C573" s="23" t="s">
        <v>18</v>
      </c>
      <c r="D573" s="8">
        <v>2014</v>
      </c>
      <c r="E573" s="9" t="s">
        <v>463</v>
      </c>
      <c r="F573" s="10">
        <v>41795</v>
      </c>
      <c r="G573" s="23"/>
      <c r="H573" s="13" t="s">
        <v>401</v>
      </c>
      <c r="I573" s="12">
        <f>-300-1000-200</f>
        <v>-1500</v>
      </c>
      <c r="J573" s="13" t="s">
        <v>33</v>
      </c>
      <c r="K573" s="13" t="s">
        <v>34</v>
      </c>
      <c r="L573" s="13" t="s">
        <v>35</v>
      </c>
      <c r="M573" s="13" t="s">
        <v>226</v>
      </c>
      <c r="N573" s="14"/>
      <c r="O573" s="14">
        <f t="shared" si="16"/>
        <v>-1500</v>
      </c>
      <c r="P573" s="15">
        <f t="shared" si="17"/>
        <v>41795</v>
      </c>
      <c r="Q573" s="15"/>
      <c r="R573" s="26"/>
      <c r="S573" s="26"/>
    </row>
    <row r="574" spans="1:19" x14ac:dyDescent="0.25">
      <c r="A574" s="23" t="s">
        <v>16</v>
      </c>
      <c r="B574" s="23" t="s">
        <v>17</v>
      </c>
      <c r="C574" s="23" t="s">
        <v>18</v>
      </c>
      <c r="D574" s="8">
        <v>2014</v>
      </c>
      <c r="E574" s="21" t="s">
        <v>463</v>
      </c>
      <c r="F574" s="10">
        <v>41795</v>
      </c>
      <c r="G574" s="23"/>
      <c r="H574" s="13" t="s">
        <v>122</v>
      </c>
      <c r="I574" s="12">
        <v>-4000</v>
      </c>
      <c r="J574" s="13" t="s">
        <v>33</v>
      </c>
      <c r="K574" s="13" t="s">
        <v>123</v>
      </c>
      <c r="L574" s="13" t="s">
        <v>124</v>
      </c>
      <c r="M574" s="25" t="s">
        <v>125</v>
      </c>
      <c r="N574" s="31"/>
      <c r="O574" s="14">
        <f t="shared" si="16"/>
        <v>-4000</v>
      </c>
      <c r="P574" s="15">
        <f t="shared" si="17"/>
        <v>41795</v>
      </c>
      <c r="Q574" s="15"/>
      <c r="R574" s="16"/>
      <c r="S574" s="16"/>
    </row>
    <row r="575" spans="1:19" x14ac:dyDescent="0.25">
      <c r="A575" s="8" t="s">
        <v>16</v>
      </c>
      <c r="B575" s="8" t="s">
        <v>17</v>
      </c>
      <c r="C575" s="8" t="s">
        <v>18</v>
      </c>
      <c r="D575" s="8">
        <v>2014</v>
      </c>
      <c r="E575" s="9" t="s">
        <v>463</v>
      </c>
      <c r="F575" s="30">
        <v>41796</v>
      </c>
      <c r="G575" s="8"/>
      <c r="H575" s="11" t="s">
        <v>489</v>
      </c>
      <c r="I575" s="12">
        <f>-20-20</f>
        <v>-40</v>
      </c>
      <c r="J575" s="13" t="s">
        <v>21</v>
      </c>
      <c r="K575" s="13" t="s">
        <v>143</v>
      </c>
      <c r="L575" s="13" t="s">
        <v>193</v>
      </c>
      <c r="M575" s="13" t="s">
        <v>194</v>
      </c>
      <c r="N575" s="31"/>
      <c r="O575" s="14">
        <f t="shared" si="16"/>
        <v>-40</v>
      </c>
      <c r="P575" s="15">
        <f t="shared" si="17"/>
        <v>41796</v>
      </c>
      <c r="Q575" s="15"/>
      <c r="R575" s="16"/>
      <c r="S575" s="16"/>
    </row>
    <row r="576" spans="1:19" x14ac:dyDescent="0.25">
      <c r="A576" s="23" t="s">
        <v>16</v>
      </c>
      <c r="B576" s="23" t="s">
        <v>17</v>
      </c>
      <c r="C576" s="23" t="s">
        <v>18</v>
      </c>
      <c r="D576" s="8">
        <v>2014</v>
      </c>
      <c r="E576" s="21" t="s">
        <v>463</v>
      </c>
      <c r="F576" s="22">
        <v>41796</v>
      </c>
      <c r="G576" s="23"/>
      <c r="H576" s="13" t="s">
        <v>252</v>
      </c>
      <c r="I576" s="12">
        <v>-48</v>
      </c>
      <c r="J576" s="13" t="s">
        <v>21</v>
      </c>
      <c r="K576" s="13" t="s">
        <v>22</v>
      </c>
      <c r="L576" s="13" t="s">
        <v>71</v>
      </c>
      <c r="M576" s="13" t="s">
        <v>206</v>
      </c>
      <c r="N576" s="31"/>
      <c r="O576" s="14">
        <f t="shared" si="16"/>
        <v>-48</v>
      </c>
      <c r="P576" s="15">
        <f t="shared" si="17"/>
        <v>41796</v>
      </c>
      <c r="Q576" s="15"/>
      <c r="R576" s="16"/>
      <c r="S576" s="16"/>
    </row>
    <row r="577" spans="1:19" x14ac:dyDescent="0.25">
      <c r="A577" s="8" t="s">
        <v>16</v>
      </c>
      <c r="B577" s="8" t="s">
        <v>17</v>
      </c>
      <c r="C577" s="8" t="s">
        <v>18</v>
      </c>
      <c r="D577" s="8">
        <v>2014</v>
      </c>
      <c r="E577" s="9" t="s">
        <v>463</v>
      </c>
      <c r="F577" s="22">
        <v>41796</v>
      </c>
      <c r="G577" s="8"/>
      <c r="H577" s="13" t="s">
        <v>80</v>
      </c>
      <c r="I577" s="12">
        <v>-50</v>
      </c>
      <c r="J577" s="13" t="s">
        <v>21</v>
      </c>
      <c r="K577" s="13" t="s">
        <v>22</v>
      </c>
      <c r="L577" s="13" t="s">
        <v>23</v>
      </c>
      <c r="M577" s="13" t="s">
        <v>28</v>
      </c>
      <c r="N577" s="14"/>
      <c r="O577" s="14">
        <f t="shared" si="16"/>
        <v>-50</v>
      </c>
      <c r="P577" s="15">
        <f t="shared" si="17"/>
        <v>41796</v>
      </c>
      <c r="Q577" s="15"/>
      <c r="R577" s="16"/>
      <c r="S577" s="16"/>
    </row>
    <row r="578" spans="1:19" x14ac:dyDescent="0.25">
      <c r="A578" s="23" t="s">
        <v>16</v>
      </c>
      <c r="B578" s="23" t="s">
        <v>17</v>
      </c>
      <c r="C578" s="23" t="s">
        <v>18</v>
      </c>
      <c r="D578" s="8">
        <v>2014</v>
      </c>
      <c r="E578" s="21" t="s">
        <v>463</v>
      </c>
      <c r="F578" s="22">
        <v>41796</v>
      </c>
      <c r="G578" s="8"/>
      <c r="H578" s="11" t="s">
        <v>399</v>
      </c>
      <c r="I578" s="12">
        <f>-27-280-23-29-28-21</f>
        <v>-408</v>
      </c>
      <c r="J578" s="13" t="s">
        <v>21</v>
      </c>
      <c r="K578" s="13" t="s">
        <v>56</v>
      </c>
      <c r="L578" s="13" t="s">
        <v>111</v>
      </c>
      <c r="M578" s="13" t="s">
        <v>28</v>
      </c>
      <c r="N578" s="31"/>
      <c r="O578" s="14">
        <f t="shared" si="16"/>
        <v>-408</v>
      </c>
      <c r="P578" s="15">
        <f t="shared" si="17"/>
        <v>41796</v>
      </c>
      <c r="Q578" s="15"/>
      <c r="R578" s="16"/>
      <c r="S578" s="16"/>
    </row>
    <row r="579" spans="1:19" x14ac:dyDescent="0.25">
      <c r="A579" s="8" t="s">
        <v>16</v>
      </c>
      <c r="B579" s="8" t="s">
        <v>17</v>
      </c>
      <c r="C579" s="8" t="s">
        <v>18</v>
      </c>
      <c r="D579" s="8">
        <v>2014</v>
      </c>
      <c r="E579" s="9" t="s">
        <v>463</v>
      </c>
      <c r="F579" s="22">
        <v>41796</v>
      </c>
      <c r="G579" s="23"/>
      <c r="H579" s="11" t="s">
        <v>269</v>
      </c>
      <c r="I579" s="12">
        <v>-1600</v>
      </c>
      <c r="J579" s="20" t="s">
        <v>21</v>
      </c>
      <c r="K579" s="20" t="s">
        <v>56</v>
      </c>
      <c r="L579" s="20" t="s">
        <v>57</v>
      </c>
      <c r="M579" s="13" t="s">
        <v>386</v>
      </c>
      <c r="N579" s="14"/>
      <c r="O579" s="14">
        <f t="shared" ref="O579:O642" si="18">IF(B579="$",I579,I579/N579)</f>
        <v>-1600</v>
      </c>
      <c r="P579" s="15">
        <f t="shared" si="17"/>
        <v>41796</v>
      </c>
      <c r="Q579" s="15"/>
      <c r="R579" s="16"/>
      <c r="S579" s="16"/>
    </row>
    <row r="580" spans="1:19" x14ac:dyDescent="0.25">
      <c r="A580" s="8" t="s">
        <v>16</v>
      </c>
      <c r="B580" s="8" t="s">
        <v>17</v>
      </c>
      <c r="C580" s="8" t="s">
        <v>18</v>
      </c>
      <c r="D580" s="8">
        <v>2014</v>
      </c>
      <c r="E580" s="21" t="s">
        <v>463</v>
      </c>
      <c r="F580" s="22">
        <v>41796</v>
      </c>
      <c r="G580" s="23"/>
      <c r="H580" s="11" t="s">
        <v>487</v>
      </c>
      <c r="I580" s="12">
        <v>-600</v>
      </c>
      <c r="J580" s="54" t="s">
        <v>21</v>
      </c>
      <c r="K580" s="54" t="s">
        <v>56</v>
      </c>
      <c r="L580" s="54" t="s">
        <v>57</v>
      </c>
      <c r="M580" s="13" t="s">
        <v>386</v>
      </c>
      <c r="N580" s="14"/>
      <c r="O580" s="14">
        <f t="shared" si="18"/>
        <v>-600</v>
      </c>
      <c r="P580" s="15">
        <f t="shared" si="17"/>
        <v>41796</v>
      </c>
      <c r="Q580" s="15"/>
      <c r="R580" s="16"/>
      <c r="S580" s="16"/>
    </row>
    <row r="581" spans="1:19" x14ac:dyDescent="0.25">
      <c r="A581" s="23" t="s">
        <v>16</v>
      </c>
      <c r="B581" s="23" t="s">
        <v>17</v>
      </c>
      <c r="C581" s="23" t="s">
        <v>18</v>
      </c>
      <c r="D581" s="8">
        <v>2014</v>
      </c>
      <c r="E581" s="9" t="s">
        <v>463</v>
      </c>
      <c r="F581" s="22">
        <v>41796</v>
      </c>
      <c r="G581" s="8"/>
      <c r="H581" s="13" t="s">
        <v>153</v>
      </c>
      <c r="I581" s="12">
        <v>-500</v>
      </c>
      <c r="J581" s="13" t="s">
        <v>33</v>
      </c>
      <c r="K581" s="13" t="s">
        <v>34</v>
      </c>
      <c r="L581" s="13" t="s">
        <v>76</v>
      </c>
      <c r="M581" s="13"/>
      <c r="N581" s="31"/>
      <c r="O581" s="14">
        <f t="shared" si="18"/>
        <v>-500</v>
      </c>
      <c r="P581" s="15">
        <f t="shared" si="17"/>
        <v>41796</v>
      </c>
      <c r="Q581" s="15"/>
      <c r="R581" s="16"/>
      <c r="S581" s="16"/>
    </row>
    <row r="582" spans="1:19" x14ac:dyDescent="0.25">
      <c r="A582" s="23" t="s">
        <v>16</v>
      </c>
      <c r="B582" s="23" t="s">
        <v>17</v>
      </c>
      <c r="C582" s="8" t="s">
        <v>18</v>
      </c>
      <c r="D582" s="8">
        <v>2014</v>
      </c>
      <c r="E582" s="21" t="s">
        <v>463</v>
      </c>
      <c r="F582" s="22">
        <v>41796</v>
      </c>
      <c r="G582" s="23"/>
      <c r="H582" s="11" t="s">
        <v>490</v>
      </c>
      <c r="I582" s="12">
        <v>-2000</v>
      </c>
      <c r="J582" s="13" t="s">
        <v>21</v>
      </c>
      <c r="K582" s="13" t="s">
        <v>25</v>
      </c>
      <c r="L582" s="13" t="s">
        <v>26</v>
      </c>
      <c r="M582" s="13"/>
      <c r="N582" s="14"/>
      <c r="O582" s="14">
        <f t="shared" si="18"/>
        <v>-2000</v>
      </c>
      <c r="P582" s="15">
        <f t="shared" si="17"/>
        <v>41796</v>
      </c>
      <c r="Q582" s="15"/>
      <c r="R582" s="16"/>
      <c r="S582" s="16"/>
    </row>
    <row r="583" spans="1:19" x14ac:dyDescent="0.25">
      <c r="A583" s="8" t="s">
        <v>16</v>
      </c>
      <c r="B583" s="8" t="s">
        <v>17</v>
      </c>
      <c r="C583" s="8" t="s">
        <v>18</v>
      </c>
      <c r="D583" s="8">
        <v>2014</v>
      </c>
      <c r="E583" s="9" t="s">
        <v>463</v>
      </c>
      <c r="F583" s="22">
        <v>41796</v>
      </c>
      <c r="G583" s="8"/>
      <c r="H583" s="11" t="s">
        <v>491</v>
      </c>
      <c r="I583" s="12">
        <v>-380</v>
      </c>
      <c r="J583" s="13" t="s">
        <v>21</v>
      </c>
      <c r="K583" s="13" t="s">
        <v>22</v>
      </c>
      <c r="L583" s="13" t="s">
        <v>71</v>
      </c>
      <c r="M583" s="13"/>
      <c r="N583" s="14"/>
      <c r="O583" s="14">
        <f t="shared" si="18"/>
        <v>-380</v>
      </c>
      <c r="P583" s="15">
        <f t="shared" si="17"/>
        <v>41796</v>
      </c>
      <c r="Q583" s="15"/>
      <c r="R583" s="48"/>
      <c r="S583" s="26"/>
    </row>
    <row r="584" spans="1:19" x14ac:dyDescent="0.25">
      <c r="A584" s="23" t="s">
        <v>16</v>
      </c>
      <c r="B584" s="23" t="s">
        <v>17</v>
      </c>
      <c r="C584" s="23" t="s">
        <v>18</v>
      </c>
      <c r="D584" s="8">
        <v>2014</v>
      </c>
      <c r="E584" s="21" t="s">
        <v>463</v>
      </c>
      <c r="F584" s="22">
        <v>41796</v>
      </c>
      <c r="G584" s="23"/>
      <c r="H584" s="13" t="s">
        <v>300</v>
      </c>
      <c r="I584" s="12">
        <f>-99-48-32</f>
        <v>-179</v>
      </c>
      <c r="J584" s="13" t="s">
        <v>21</v>
      </c>
      <c r="K584" s="13" t="s">
        <v>22</v>
      </c>
      <c r="L584" s="13" t="s">
        <v>71</v>
      </c>
      <c r="M584" s="13"/>
      <c r="N584" s="14"/>
      <c r="O584" s="14">
        <f t="shared" si="18"/>
        <v>-179</v>
      </c>
      <c r="P584" s="15">
        <f t="shared" ref="P584:P648" si="19">F584</f>
        <v>41796</v>
      </c>
      <c r="Q584" s="15"/>
      <c r="R584" s="16"/>
      <c r="S584" s="16"/>
    </row>
    <row r="585" spans="1:19" x14ac:dyDescent="0.25">
      <c r="A585" s="23" t="s">
        <v>16</v>
      </c>
      <c r="B585" s="23" t="s">
        <v>17</v>
      </c>
      <c r="C585" s="23" t="s">
        <v>18</v>
      </c>
      <c r="D585" s="8">
        <v>2014</v>
      </c>
      <c r="E585" s="9" t="s">
        <v>463</v>
      </c>
      <c r="F585" s="22">
        <v>41796</v>
      </c>
      <c r="G585" s="23"/>
      <c r="H585" s="13" t="s">
        <v>492</v>
      </c>
      <c r="I585" s="12">
        <v>-79</v>
      </c>
      <c r="J585" s="13" t="s">
        <v>21</v>
      </c>
      <c r="K585" s="13" t="s">
        <v>22</v>
      </c>
      <c r="L585" s="13" t="s">
        <v>71</v>
      </c>
      <c r="M585" s="13"/>
      <c r="N585" s="14"/>
      <c r="O585" s="14">
        <f t="shared" si="18"/>
        <v>-79</v>
      </c>
      <c r="P585" s="15">
        <f t="shared" si="19"/>
        <v>41796</v>
      </c>
      <c r="Q585" s="15"/>
      <c r="R585" s="16"/>
      <c r="S585" s="16"/>
    </row>
    <row r="586" spans="1:19" x14ac:dyDescent="0.25">
      <c r="A586" s="23" t="s">
        <v>16</v>
      </c>
      <c r="B586" s="23" t="s">
        <v>17</v>
      </c>
      <c r="C586" s="23" t="s">
        <v>18</v>
      </c>
      <c r="D586" s="8">
        <v>2014</v>
      </c>
      <c r="E586" s="21" t="s">
        <v>463</v>
      </c>
      <c r="F586" s="22">
        <v>41796</v>
      </c>
      <c r="G586" s="8" t="s">
        <v>249</v>
      </c>
      <c r="H586" s="11" t="s">
        <v>378</v>
      </c>
      <c r="I586" s="12">
        <v>-258</v>
      </c>
      <c r="J586" s="13" t="s">
        <v>38</v>
      </c>
      <c r="K586" s="13" t="s">
        <v>155</v>
      </c>
      <c r="L586" s="13" t="s">
        <v>91</v>
      </c>
      <c r="M586" s="13"/>
      <c r="N586" s="31"/>
      <c r="O586" s="14">
        <f t="shared" si="18"/>
        <v>-258</v>
      </c>
      <c r="P586" s="15">
        <f t="shared" si="19"/>
        <v>41796</v>
      </c>
      <c r="Q586" s="15"/>
      <c r="R586" s="16"/>
      <c r="S586" s="26"/>
    </row>
    <row r="587" spans="1:19" x14ac:dyDescent="0.25">
      <c r="A587" s="23" t="s">
        <v>16</v>
      </c>
      <c r="B587" s="23" t="s">
        <v>17</v>
      </c>
      <c r="C587" s="23" t="s">
        <v>18</v>
      </c>
      <c r="D587" s="8">
        <v>2014</v>
      </c>
      <c r="E587" s="9" t="s">
        <v>463</v>
      </c>
      <c r="F587" s="22">
        <v>41796</v>
      </c>
      <c r="G587" s="8" t="s">
        <v>249</v>
      </c>
      <c r="H587" s="11" t="s">
        <v>347</v>
      </c>
      <c r="I587" s="12">
        <v>-94</v>
      </c>
      <c r="J587" s="13" t="s">
        <v>38</v>
      </c>
      <c r="K587" s="13" t="s">
        <v>155</v>
      </c>
      <c r="L587" s="13" t="s">
        <v>91</v>
      </c>
      <c r="M587" s="13"/>
      <c r="N587" s="31"/>
      <c r="O587" s="14">
        <f t="shared" si="18"/>
        <v>-94</v>
      </c>
      <c r="P587" s="15">
        <f t="shared" si="19"/>
        <v>41796</v>
      </c>
      <c r="Q587" s="15"/>
      <c r="R587" s="16"/>
      <c r="S587" s="16"/>
    </row>
    <row r="588" spans="1:19" x14ac:dyDescent="0.25">
      <c r="A588" s="23" t="s">
        <v>16</v>
      </c>
      <c r="B588" s="23" t="s">
        <v>17</v>
      </c>
      <c r="C588" s="23" t="s">
        <v>18</v>
      </c>
      <c r="D588" s="8">
        <v>2014</v>
      </c>
      <c r="E588" s="21" t="s">
        <v>463</v>
      </c>
      <c r="F588" s="22">
        <v>41796</v>
      </c>
      <c r="G588" s="8" t="s">
        <v>249</v>
      </c>
      <c r="H588" s="11" t="s">
        <v>328</v>
      </c>
      <c r="I588" s="12">
        <v>-352</v>
      </c>
      <c r="J588" s="13" t="s">
        <v>38</v>
      </c>
      <c r="K588" s="13" t="s">
        <v>155</v>
      </c>
      <c r="L588" s="13" t="s">
        <v>91</v>
      </c>
      <c r="M588" s="13"/>
      <c r="N588" s="31"/>
      <c r="O588" s="14">
        <f t="shared" si="18"/>
        <v>-352</v>
      </c>
      <c r="P588" s="15">
        <f t="shared" si="19"/>
        <v>41796</v>
      </c>
      <c r="Q588" s="15"/>
      <c r="R588" s="16"/>
      <c r="S588" s="16"/>
    </row>
    <row r="589" spans="1:19" x14ac:dyDescent="0.25">
      <c r="A589" s="23" t="s">
        <v>16</v>
      </c>
      <c r="B589" s="23" t="s">
        <v>17</v>
      </c>
      <c r="C589" s="23" t="s">
        <v>18</v>
      </c>
      <c r="D589" s="8">
        <v>2014</v>
      </c>
      <c r="E589" s="9" t="s">
        <v>463</v>
      </c>
      <c r="F589" s="22">
        <v>41796</v>
      </c>
      <c r="G589" s="8" t="s">
        <v>249</v>
      </c>
      <c r="H589" s="11" t="s">
        <v>379</v>
      </c>
      <c r="I589" s="12">
        <v>-282</v>
      </c>
      <c r="J589" s="13" t="s">
        <v>38</v>
      </c>
      <c r="K589" s="13" t="s">
        <v>155</v>
      </c>
      <c r="L589" s="13" t="s">
        <v>91</v>
      </c>
      <c r="M589" s="13"/>
      <c r="N589" s="31"/>
      <c r="O589" s="14">
        <f t="shared" si="18"/>
        <v>-282</v>
      </c>
      <c r="P589" s="15">
        <f t="shared" si="19"/>
        <v>41796</v>
      </c>
      <c r="Q589" s="15"/>
      <c r="R589" s="26"/>
      <c r="S589" s="26"/>
    </row>
    <row r="590" spans="1:19" x14ac:dyDescent="0.25">
      <c r="A590" s="23" t="s">
        <v>16</v>
      </c>
      <c r="B590" s="23" t="s">
        <v>17</v>
      </c>
      <c r="C590" s="23" t="s">
        <v>18</v>
      </c>
      <c r="D590" s="8">
        <v>2014</v>
      </c>
      <c r="E590" s="21" t="s">
        <v>463</v>
      </c>
      <c r="F590" s="22">
        <v>41796</v>
      </c>
      <c r="G590" s="8" t="s">
        <v>249</v>
      </c>
      <c r="H590" s="11" t="s">
        <v>350</v>
      </c>
      <c r="I590" s="12">
        <v>-352</v>
      </c>
      <c r="J590" s="13" t="s">
        <v>38</v>
      </c>
      <c r="K590" s="13" t="s">
        <v>155</v>
      </c>
      <c r="L590" s="13" t="s">
        <v>91</v>
      </c>
      <c r="M590" s="13"/>
      <c r="N590" s="31"/>
      <c r="O590" s="14">
        <f t="shared" si="18"/>
        <v>-352</v>
      </c>
      <c r="P590" s="15">
        <f t="shared" si="19"/>
        <v>41796</v>
      </c>
      <c r="Q590" s="15"/>
      <c r="R590" s="26"/>
      <c r="S590" s="26"/>
    </row>
    <row r="591" spans="1:19" x14ac:dyDescent="0.25">
      <c r="A591" s="23" t="s">
        <v>16</v>
      </c>
      <c r="B591" s="23" t="s">
        <v>17</v>
      </c>
      <c r="C591" s="23" t="s">
        <v>18</v>
      </c>
      <c r="D591" s="8">
        <v>2014</v>
      </c>
      <c r="E591" s="9" t="s">
        <v>463</v>
      </c>
      <c r="F591" s="22">
        <v>41796</v>
      </c>
      <c r="G591" s="8" t="s">
        <v>249</v>
      </c>
      <c r="H591" s="11" t="s">
        <v>344</v>
      </c>
      <c r="I591" s="12">
        <v>-305</v>
      </c>
      <c r="J591" s="13" t="s">
        <v>38</v>
      </c>
      <c r="K591" s="13" t="s">
        <v>155</v>
      </c>
      <c r="L591" s="13" t="s">
        <v>91</v>
      </c>
      <c r="M591" s="13"/>
      <c r="N591" s="31"/>
      <c r="O591" s="14">
        <f t="shared" si="18"/>
        <v>-305</v>
      </c>
      <c r="P591" s="15">
        <f t="shared" si="19"/>
        <v>41796</v>
      </c>
      <c r="Q591" s="15"/>
      <c r="R591" s="26"/>
      <c r="S591" s="26"/>
    </row>
    <row r="592" spans="1:19" x14ac:dyDescent="0.25">
      <c r="A592" s="23" t="s">
        <v>16</v>
      </c>
      <c r="B592" s="23" t="s">
        <v>17</v>
      </c>
      <c r="C592" s="23" t="s">
        <v>18</v>
      </c>
      <c r="D592" s="8">
        <v>2014</v>
      </c>
      <c r="E592" s="21" t="s">
        <v>463</v>
      </c>
      <c r="F592" s="22">
        <v>41796</v>
      </c>
      <c r="G592" s="8" t="s">
        <v>249</v>
      </c>
      <c r="H592" s="11" t="s">
        <v>419</v>
      </c>
      <c r="I592" s="12">
        <v>-94</v>
      </c>
      <c r="J592" s="13" t="s">
        <v>38</v>
      </c>
      <c r="K592" s="13" t="s">
        <v>155</v>
      </c>
      <c r="L592" s="13" t="s">
        <v>91</v>
      </c>
      <c r="M592" s="13"/>
      <c r="N592" s="31"/>
      <c r="O592" s="14">
        <f t="shared" si="18"/>
        <v>-94</v>
      </c>
      <c r="P592" s="15">
        <f t="shared" si="19"/>
        <v>41796</v>
      </c>
      <c r="Q592" s="15"/>
      <c r="R592" s="26"/>
      <c r="S592" s="26"/>
    </row>
    <row r="593" spans="1:19" x14ac:dyDescent="0.25">
      <c r="A593" s="23" t="s">
        <v>16</v>
      </c>
      <c r="B593" s="23" t="s">
        <v>17</v>
      </c>
      <c r="C593" s="23" t="s">
        <v>18</v>
      </c>
      <c r="D593" s="8">
        <v>2014</v>
      </c>
      <c r="E593" s="9" t="s">
        <v>463</v>
      </c>
      <c r="F593" s="22">
        <v>41796</v>
      </c>
      <c r="G593" s="8" t="s">
        <v>249</v>
      </c>
      <c r="H593" s="11" t="s">
        <v>345</v>
      </c>
      <c r="I593" s="12">
        <v>-147</v>
      </c>
      <c r="J593" s="13" t="s">
        <v>38</v>
      </c>
      <c r="K593" s="13" t="s">
        <v>155</v>
      </c>
      <c r="L593" s="13" t="s">
        <v>91</v>
      </c>
      <c r="M593" s="13"/>
      <c r="N593" s="31"/>
      <c r="O593" s="14">
        <f t="shared" si="18"/>
        <v>-147</v>
      </c>
      <c r="P593" s="15">
        <f t="shared" si="19"/>
        <v>41796</v>
      </c>
      <c r="Q593" s="15"/>
      <c r="R593" s="26"/>
      <c r="S593" s="26"/>
    </row>
    <row r="594" spans="1:19" x14ac:dyDescent="0.25">
      <c r="A594" s="23" t="s">
        <v>16</v>
      </c>
      <c r="B594" s="23" t="s">
        <v>17</v>
      </c>
      <c r="C594" s="23" t="s">
        <v>18</v>
      </c>
      <c r="D594" s="8">
        <v>2014</v>
      </c>
      <c r="E594" s="21" t="s">
        <v>463</v>
      </c>
      <c r="F594" s="22">
        <v>41796</v>
      </c>
      <c r="G594" s="8" t="s">
        <v>249</v>
      </c>
      <c r="H594" s="11" t="s">
        <v>420</v>
      </c>
      <c r="I594" s="12">
        <v>-300</v>
      </c>
      <c r="J594" s="13" t="s">
        <v>38</v>
      </c>
      <c r="K594" s="13" t="s">
        <v>155</v>
      </c>
      <c r="L594" s="13" t="s">
        <v>91</v>
      </c>
      <c r="M594" s="13"/>
      <c r="N594" s="31"/>
      <c r="O594" s="14">
        <f t="shared" si="18"/>
        <v>-300</v>
      </c>
      <c r="P594" s="15">
        <f t="shared" si="19"/>
        <v>41796</v>
      </c>
      <c r="Q594" s="15"/>
      <c r="R594" s="16"/>
      <c r="S594" s="16"/>
    </row>
    <row r="595" spans="1:19" x14ac:dyDescent="0.25">
      <c r="A595" s="23" t="s">
        <v>16</v>
      </c>
      <c r="B595" s="23" t="s">
        <v>17</v>
      </c>
      <c r="C595" s="23" t="s">
        <v>18</v>
      </c>
      <c r="D595" s="8">
        <v>2014</v>
      </c>
      <c r="E595" s="9" t="s">
        <v>463</v>
      </c>
      <c r="F595" s="22">
        <v>41796</v>
      </c>
      <c r="G595" s="8" t="s">
        <v>249</v>
      </c>
      <c r="H595" s="11" t="s">
        <v>349</v>
      </c>
      <c r="I595" s="12">
        <v>-352</v>
      </c>
      <c r="J595" s="13" t="s">
        <v>38</v>
      </c>
      <c r="K595" s="13" t="s">
        <v>155</v>
      </c>
      <c r="L595" s="13" t="s">
        <v>91</v>
      </c>
      <c r="M595" s="13"/>
      <c r="N595" s="31"/>
      <c r="O595" s="14">
        <f t="shared" si="18"/>
        <v>-352</v>
      </c>
      <c r="P595" s="15">
        <f t="shared" si="19"/>
        <v>41796</v>
      </c>
      <c r="Q595" s="15"/>
      <c r="R595" s="26"/>
      <c r="S595" s="26"/>
    </row>
    <row r="596" spans="1:19" x14ac:dyDescent="0.25">
      <c r="A596" s="23" t="s">
        <v>16</v>
      </c>
      <c r="B596" s="23" t="s">
        <v>17</v>
      </c>
      <c r="C596" s="23" t="s">
        <v>18</v>
      </c>
      <c r="D596" s="8">
        <v>2014</v>
      </c>
      <c r="E596" s="21" t="s">
        <v>463</v>
      </c>
      <c r="F596" s="10">
        <v>41797</v>
      </c>
      <c r="G596" s="8"/>
      <c r="H596" s="11" t="s">
        <v>377</v>
      </c>
      <c r="I596" s="12">
        <v>-424.81</v>
      </c>
      <c r="J596" s="13" t="s">
        <v>21</v>
      </c>
      <c r="K596" s="13" t="s">
        <v>56</v>
      </c>
      <c r="L596" s="13" t="s">
        <v>111</v>
      </c>
      <c r="M596" s="13" t="s">
        <v>28</v>
      </c>
      <c r="N596" s="14"/>
      <c r="O596" s="14">
        <f t="shared" si="18"/>
        <v>-424.81</v>
      </c>
      <c r="P596" s="15">
        <f t="shared" si="19"/>
        <v>41797</v>
      </c>
      <c r="Q596" s="15"/>
      <c r="R596" s="16"/>
      <c r="S596" s="16"/>
    </row>
    <row r="597" spans="1:19" x14ac:dyDescent="0.25">
      <c r="A597" s="23" t="s">
        <v>16</v>
      </c>
      <c r="B597" s="23" t="s">
        <v>17</v>
      </c>
      <c r="C597" s="23" t="s">
        <v>18</v>
      </c>
      <c r="D597" s="8">
        <v>2014</v>
      </c>
      <c r="E597" s="9" t="s">
        <v>463</v>
      </c>
      <c r="F597" s="10">
        <v>41797</v>
      </c>
      <c r="G597" s="8"/>
      <c r="H597" s="11" t="s">
        <v>399</v>
      </c>
      <c r="I597" s="12">
        <v>-90</v>
      </c>
      <c r="J597" s="13" t="s">
        <v>21</v>
      </c>
      <c r="K597" s="13" t="s">
        <v>56</v>
      </c>
      <c r="L597" s="13" t="s">
        <v>111</v>
      </c>
      <c r="M597" s="13" t="s">
        <v>28</v>
      </c>
      <c r="N597" s="31"/>
      <c r="O597" s="14">
        <f t="shared" si="18"/>
        <v>-90</v>
      </c>
      <c r="P597" s="15">
        <f t="shared" si="19"/>
        <v>41797</v>
      </c>
      <c r="Q597" s="15"/>
      <c r="R597" s="16"/>
      <c r="S597" s="16"/>
    </row>
    <row r="598" spans="1:19" x14ac:dyDescent="0.25">
      <c r="A598" s="8" t="s">
        <v>16</v>
      </c>
      <c r="B598" s="8" t="s">
        <v>17</v>
      </c>
      <c r="C598" s="8" t="s">
        <v>18</v>
      </c>
      <c r="D598" s="8">
        <v>2014</v>
      </c>
      <c r="E598" s="21" t="s">
        <v>463</v>
      </c>
      <c r="F598" s="10">
        <v>41797</v>
      </c>
      <c r="G598" s="23"/>
      <c r="H598" s="11" t="s">
        <v>487</v>
      </c>
      <c r="I598" s="12">
        <f>-450-380</f>
        <v>-830</v>
      </c>
      <c r="J598" s="54" t="s">
        <v>21</v>
      </c>
      <c r="K598" s="54" t="s">
        <v>56</v>
      </c>
      <c r="L598" s="54" t="s">
        <v>57</v>
      </c>
      <c r="M598" s="13" t="s">
        <v>386</v>
      </c>
      <c r="N598" s="14"/>
      <c r="O598" s="14">
        <f t="shared" si="18"/>
        <v>-830</v>
      </c>
      <c r="P598" s="15">
        <f t="shared" si="19"/>
        <v>41797</v>
      </c>
      <c r="Q598" s="15"/>
      <c r="R598" s="16"/>
      <c r="S598" s="16"/>
    </row>
    <row r="599" spans="1:19" x14ac:dyDescent="0.25">
      <c r="A599" s="23" t="s">
        <v>16</v>
      </c>
      <c r="B599" s="23" t="s">
        <v>17</v>
      </c>
      <c r="C599" s="23" t="s">
        <v>51</v>
      </c>
      <c r="D599" s="8">
        <v>2014</v>
      </c>
      <c r="E599" s="9" t="s">
        <v>463</v>
      </c>
      <c r="F599" s="10">
        <v>41797</v>
      </c>
      <c r="G599" s="8">
        <v>11776</v>
      </c>
      <c r="H599" s="11" t="s">
        <v>493</v>
      </c>
      <c r="I599" s="12">
        <v>300</v>
      </c>
      <c r="J599" s="13" t="s">
        <v>53</v>
      </c>
      <c r="K599" s="13" t="s">
        <v>54</v>
      </c>
      <c r="L599" s="13"/>
      <c r="M599" s="13"/>
      <c r="N599" s="31"/>
      <c r="O599" s="14">
        <f t="shared" si="18"/>
        <v>300</v>
      </c>
      <c r="P599" s="15">
        <f t="shared" si="19"/>
        <v>41797</v>
      </c>
      <c r="Q599" s="56"/>
      <c r="R599" s="16"/>
      <c r="S599" s="16"/>
    </row>
    <row r="600" spans="1:19" x14ac:dyDescent="0.25">
      <c r="A600" s="23" t="s">
        <v>16</v>
      </c>
      <c r="B600" s="23" t="s">
        <v>17</v>
      </c>
      <c r="C600" s="23" t="s">
        <v>51</v>
      </c>
      <c r="D600" s="8">
        <v>2014</v>
      </c>
      <c r="E600" s="21" t="s">
        <v>463</v>
      </c>
      <c r="F600" s="10">
        <v>41797</v>
      </c>
      <c r="G600" s="8">
        <v>11775</v>
      </c>
      <c r="H600" s="11" t="s">
        <v>494</v>
      </c>
      <c r="I600" s="12">
        <v>500</v>
      </c>
      <c r="J600" s="13" t="s">
        <v>53</v>
      </c>
      <c r="K600" s="13" t="s">
        <v>54</v>
      </c>
      <c r="L600" s="13"/>
      <c r="M600" s="13"/>
      <c r="N600" s="31"/>
      <c r="O600" s="14">
        <f t="shared" si="18"/>
        <v>500</v>
      </c>
      <c r="P600" s="15">
        <f t="shared" si="19"/>
        <v>41797</v>
      </c>
      <c r="Q600" s="56"/>
      <c r="R600" s="16"/>
      <c r="S600" s="16"/>
    </row>
    <row r="601" spans="1:19" x14ac:dyDescent="0.25">
      <c r="A601" s="23" t="s">
        <v>16</v>
      </c>
      <c r="B601" s="23" t="s">
        <v>17</v>
      </c>
      <c r="C601" s="23" t="s">
        <v>51</v>
      </c>
      <c r="D601" s="8">
        <v>2014</v>
      </c>
      <c r="E601" s="9" t="s">
        <v>463</v>
      </c>
      <c r="F601" s="10">
        <v>41797</v>
      </c>
      <c r="G601" s="8">
        <v>11770</v>
      </c>
      <c r="H601" s="11" t="s">
        <v>469</v>
      </c>
      <c r="I601" s="12">
        <v>4000</v>
      </c>
      <c r="J601" s="13" t="s">
        <v>53</v>
      </c>
      <c r="K601" s="13" t="s">
        <v>54</v>
      </c>
      <c r="L601" s="13"/>
      <c r="M601" s="13"/>
      <c r="N601" s="31"/>
      <c r="O601" s="14">
        <f t="shared" si="18"/>
        <v>4000</v>
      </c>
      <c r="P601" s="15">
        <f t="shared" si="19"/>
        <v>41797</v>
      </c>
      <c r="Q601" s="56"/>
      <c r="R601" s="16"/>
      <c r="S601" s="16"/>
    </row>
    <row r="602" spans="1:19" x14ac:dyDescent="0.25">
      <c r="A602" s="23" t="s">
        <v>16</v>
      </c>
      <c r="B602" s="23" t="s">
        <v>17</v>
      </c>
      <c r="C602" s="23" t="s">
        <v>51</v>
      </c>
      <c r="D602" s="8">
        <v>2014</v>
      </c>
      <c r="E602" s="21" t="s">
        <v>463</v>
      </c>
      <c r="F602" s="10">
        <v>41799</v>
      </c>
      <c r="G602" s="8">
        <v>11779</v>
      </c>
      <c r="H602" s="11" t="s">
        <v>495</v>
      </c>
      <c r="I602" s="12">
        <v>200</v>
      </c>
      <c r="J602" s="13" t="s">
        <v>53</v>
      </c>
      <c r="K602" s="13" t="s">
        <v>54</v>
      </c>
      <c r="L602" s="13"/>
      <c r="M602" s="13"/>
      <c r="N602" s="31"/>
      <c r="O602" s="14">
        <f t="shared" si="18"/>
        <v>200</v>
      </c>
      <c r="P602" s="15">
        <f t="shared" si="19"/>
        <v>41799</v>
      </c>
      <c r="Q602" s="56"/>
      <c r="R602" s="16"/>
      <c r="S602" s="16"/>
    </row>
    <row r="603" spans="1:19" x14ac:dyDescent="0.25">
      <c r="A603" s="23" t="s">
        <v>16</v>
      </c>
      <c r="B603" s="23" t="s">
        <v>17</v>
      </c>
      <c r="C603" s="23" t="s">
        <v>51</v>
      </c>
      <c r="D603" s="8">
        <v>2014</v>
      </c>
      <c r="E603" s="9" t="s">
        <v>463</v>
      </c>
      <c r="F603" s="10">
        <v>41799</v>
      </c>
      <c r="G603" s="8">
        <v>11678</v>
      </c>
      <c r="H603" s="11" t="s">
        <v>181</v>
      </c>
      <c r="I603" s="12">
        <v>6425</v>
      </c>
      <c r="J603" s="13" t="s">
        <v>53</v>
      </c>
      <c r="K603" s="13" t="s">
        <v>54</v>
      </c>
      <c r="L603" s="13"/>
      <c r="M603" s="13"/>
      <c r="N603" s="31"/>
      <c r="O603" s="14">
        <f t="shared" si="18"/>
        <v>6425</v>
      </c>
      <c r="P603" s="15">
        <f t="shared" si="19"/>
        <v>41799</v>
      </c>
      <c r="Q603" s="56"/>
      <c r="R603" s="16"/>
      <c r="S603" s="16"/>
    </row>
    <row r="604" spans="1:19" x14ac:dyDescent="0.25">
      <c r="A604" s="23" t="s">
        <v>16</v>
      </c>
      <c r="B604" s="23" t="s">
        <v>17</v>
      </c>
      <c r="C604" s="23" t="s">
        <v>51</v>
      </c>
      <c r="D604" s="8">
        <v>2014</v>
      </c>
      <c r="E604" s="21" t="s">
        <v>463</v>
      </c>
      <c r="F604" s="10">
        <v>41799</v>
      </c>
      <c r="G604" s="8">
        <v>11778</v>
      </c>
      <c r="H604" s="11" t="s">
        <v>496</v>
      </c>
      <c r="I604" s="12">
        <v>10000</v>
      </c>
      <c r="J604" s="13" t="s">
        <v>53</v>
      </c>
      <c r="K604" s="13" t="s">
        <v>54</v>
      </c>
      <c r="L604" s="13"/>
      <c r="M604" s="13"/>
      <c r="N604" s="31"/>
      <c r="O604" s="14">
        <f t="shared" si="18"/>
        <v>10000</v>
      </c>
      <c r="P604" s="15">
        <f t="shared" si="19"/>
        <v>41799</v>
      </c>
      <c r="Q604" s="56"/>
      <c r="R604" s="16"/>
      <c r="S604" s="16"/>
    </row>
    <row r="605" spans="1:19" x14ac:dyDescent="0.25">
      <c r="A605" s="23" t="s">
        <v>16</v>
      </c>
      <c r="B605" s="23" t="s">
        <v>17</v>
      </c>
      <c r="C605" s="23" t="s">
        <v>51</v>
      </c>
      <c r="D605" s="8">
        <v>2014</v>
      </c>
      <c r="E605" s="9" t="s">
        <v>463</v>
      </c>
      <c r="F605" s="10">
        <v>41799</v>
      </c>
      <c r="G605" s="8">
        <v>11776</v>
      </c>
      <c r="H605" s="11" t="s">
        <v>493</v>
      </c>
      <c r="I605" s="12">
        <v>31000</v>
      </c>
      <c r="J605" s="13" t="s">
        <v>53</v>
      </c>
      <c r="K605" s="13" t="s">
        <v>54</v>
      </c>
      <c r="L605" s="13"/>
      <c r="M605" s="13"/>
      <c r="N605" s="31"/>
      <c r="O605" s="14">
        <f t="shared" si="18"/>
        <v>31000</v>
      </c>
      <c r="P605" s="15">
        <f t="shared" si="19"/>
        <v>41799</v>
      </c>
      <c r="Q605" s="56"/>
      <c r="R605" s="16"/>
      <c r="S605" s="16"/>
    </row>
    <row r="606" spans="1:19" x14ac:dyDescent="0.25">
      <c r="A606" s="23" t="s">
        <v>16</v>
      </c>
      <c r="B606" s="23" t="s">
        <v>17</v>
      </c>
      <c r="C606" s="23" t="s">
        <v>51</v>
      </c>
      <c r="D606" s="8">
        <v>2014</v>
      </c>
      <c r="E606" s="9" t="s">
        <v>463</v>
      </c>
      <c r="F606" s="10">
        <v>41799</v>
      </c>
      <c r="G606" s="8">
        <v>11777</v>
      </c>
      <c r="H606" s="11" t="s">
        <v>497</v>
      </c>
      <c r="I606" s="12">
        <v>600</v>
      </c>
      <c r="J606" s="13" t="s">
        <v>53</v>
      </c>
      <c r="K606" s="13" t="s">
        <v>54</v>
      </c>
      <c r="L606" s="13"/>
      <c r="M606" s="13"/>
      <c r="N606" s="31"/>
      <c r="O606" s="14">
        <f t="shared" si="18"/>
        <v>600</v>
      </c>
      <c r="P606" s="15">
        <f t="shared" si="19"/>
        <v>41799</v>
      </c>
      <c r="Q606" s="56"/>
      <c r="R606" s="16"/>
      <c r="S606" s="16"/>
    </row>
    <row r="607" spans="1:19" x14ac:dyDescent="0.25">
      <c r="A607" s="8" t="s">
        <v>16</v>
      </c>
      <c r="B607" s="40" t="s">
        <v>17</v>
      </c>
      <c r="C607" s="41" t="s">
        <v>18</v>
      </c>
      <c r="D607" s="8">
        <v>2014</v>
      </c>
      <c r="E607" s="21" t="s">
        <v>463</v>
      </c>
      <c r="F607" s="10">
        <v>41800</v>
      </c>
      <c r="G607" s="42" t="s">
        <v>36</v>
      </c>
      <c r="H607" s="38" t="s">
        <v>151</v>
      </c>
      <c r="I607" s="43">
        <v>-20000</v>
      </c>
      <c r="J607" s="19" t="s">
        <v>38</v>
      </c>
      <c r="K607" s="19" t="s">
        <v>39</v>
      </c>
      <c r="L607" s="39" t="s">
        <v>40</v>
      </c>
      <c r="M607" s="44"/>
      <c r="N607" s="45"/>
      <c r="O607" s="14">
        <f t="shared" si="18"/>
        <v>-20000</v>
      </c>
      <c r="P607" s="15">
        <f t="shared" si="19"/>
        <v>41800</v>
      </c>
      <c r="Q607" s="15"/>
      <c r="R607" s="16"/>
      <c r="S607" s="16"/>
    </row>
    <row r="608" spans="1:19" x14ac:dyDescent="0.25">
      <c r="A608" s="23" t="s">
        <v>16</v>
      </c>
      <c r="B608" s="23" t="s">
        <v>17</v>
      </c>
      <c r="C608" s="23" t="s">
        <v>18</v>
      </c>
      <c r="D608" s="8">
        <v>2014</v>
      </c>
      <c r="E608" s="9" t="s">
        <v>463</v>
      </c>
      <c r="F608" s="10">
        <v>41800</v>
      </c>
      <c r="G608" s="8" t="s">
        <v>249</v>
      </c>
      <c r="H608" s="11" t="s">
        <v>340</v>
      </c>
      <c r="I608" s="12">
        <f>-800-1200</f>
        <v>-2000</v>
      </c>
      <c r="J608" s="13" t="s">
        <v>21</v>
      </c>
      <c r="K608" s="13" t="s">
        <v>56</v>
      </c>
      <c r="L608" s="13" t="s">
        <v>57</v>
      </c>
      <c r="M608" s="13"/>
      <c r="N608" s="14"/>
      <c r="O608" s="14">
        <f t="shared" si="18"/>
        <v>-2000</v>
      </c>
      <c r="P608" s="15">
        <f t="shared" si="19"/>
        <v>41800</v>
      </c>
      <c r="Q608" s="15"/>
      <c r="R608" s="16"/>
      <c r="S608" s="16"/>
    </row>
    <row r="609" spans="1:19" x14ac:dyDescent="0.25">
      <c r="A609" s="8" t="s">
        <v>16</v>
      </c>
      <c r="B609" s="8" t="s">
        <v>17</v>
      </c>
      <c r="C609" s="8" t="s">
        <v>18</v>
      </c>
      <c r="D609" s="8">
        <v>2014</v>
      </c>
      <c r="E609" s="21" t="s">
        <v>463</v>
      </c>
      <c r="F609" s="10">
        <v>41800</v>
      </c>
      <c r="G609" s="23"/>
      <c r="H609" s="11" t="s">
        <v>487</v>
      </c>
      <c r="I609" s="12">
        <f>-300-750</f>
        <v>-1050</v>
      </c>
      <c r="J609" s="54" t="s">
        <v>21</v>
      </c>
      <c r="K609" s="54" t="s">
        <v>56</v>
      </c>
      <c r="L609" s="54" t="s">
        <v>57</v>
      </c>
      <c r="M609" s="13" t="s">
        <v>386</v>
      </c>
      <c r="N609" s="14"/>
      <c r="O609" s="14">
        <f t="shared" si="18"/>
        <v>-1050</v>
      </c>
      <c r="P609" s="15">
        <f t="shared" si="19"/>
        <v>41800</v>
      </c>
      <c r="Q609" s="15"/>
      <c r="R609" s="16"/>
      <c r="S609" s="16"/>
    </row>
    <row r="610" spans="1:19" x14ac:dyDescent="0.25">
      <c r="A610" s="23" t="s">
        <v>16</v>
      </c>
      <c r="B610" s="23" t="s">
        <v>17</v>
      </c>
      <c r="C610" s="23" t="s">
        <v>18</v>
      </c>
      <c r="D610" s="8">
        <v>2014</v>
      </c>
      <c r="E610" s="9" t="s">
        <v>463</v>
      </c>
      <c r="F610" s="10">
        <v>41800</v>
      </c>
      <c r="G610" s="8"/>
      <c r="H610" s="11" t="s">
        <v>498</v>
      </c>
      <c r="I610" s="12">
        <v>-70</v>
      </c>
      <c r="J610" s="13" t="s">
        <v>21</v>
      </c>
      <c r="K610" s="13" t="s">
        <v>56</v>
      </c>
      <c r="L610" s="13" t="s">
        <v>111</v>
      </c>
      <c r="M610" s="13" t="s">
        <v>28</v>
      </c>
      <c r="N610" s="14"/>
      <c r="O610" s="14">
        <f t="shared" si="18"/>
        <v>-70</v>
      </c>
      <c r="P610" s="15">
        <f t="shared" si="19"/>
        <v>41800</v>
      </c>
      <c r="Q610" s="15"/>
      <c r="R610" s="16"/>
      <c r="S610" s="16"/>
    </row>
    <row r="611" spans="1:19" x14ac:dyDescent="0.25">
      <c r="A611" s="23" t="s">
        <v>16</v>
      </c>
      <c r="B611" s="23" t="s">
        <v>17</v>
      </c>
      <c r="C611" s="23" t="s">
        <v>18</v>
      </c>
      <c r="D611" s="8">
        <v>2014</v>
      </c>
      <c r="E611" s="21" t="s">
        <v>463</v>
      </c>
      <c r="F611" s="10">
        <v>41800</v>
      </c>
      <c r="G611" s="23"/>
      <c r="H611" s="13" t="s">
        <v>300</v>
      </c>
      <c r="I611" s="12">
        <f>-30-170</f>
        <v>-200</v>
      </c>
      <c r="J611" s="13" t="s">
        <v>21</v>
      </c>
      <c r="K611" s="13" t="s">
        <v>22</v>
      </c>
      <c r="L611" s="13" t="s">
        <v>71</v>
      </c>
      <c r="M611" s="13"/>
      <c r="N611" s="14"/>
      <c r="O611" s="14">
        <f t="shared" si="18"/>
        <v>-200</v>
      </c>
      <c r="P611" s="15">
        <f t="shared" si="19"/>
        <v>41800</v>
      </c>
      <c r="Q611" s="15"/>
      <c r="R611" s="16"/>
      <c r="S611" s="16"/>
    </row>
    <row r="612" spans="1:19" x14ac:dyDescent="0.25">
      <c r="A612" s="8" t="s">
        <v>16</v>
      </c>
      <c r="B612" s="8" t="s">
        <v>17</v>
      </c>
      <c r="C612" s="8" t="s">
        <v>18</v>
      </c>
      <c r="D612" s="8">
        <v>2014</v>
      </c>
      <c r="E612" s="9" t="s">
        <v>463</v>
      </c>
      <c r="F612" s="10">
        <v>41800</v>
      </c>
      <c r="G612" s="23"/>
      <c r="H612" s="13" t="s">
        <v>363</v>
      </c>
      <c r="I612" s="12">
        <v>-200</v>
      </c>
      <c r="J612" s="13" t="s">
        <v>21</v>
      </c>
      <c r="K612" s="13" t="s">
        <v>22</v>
      </c>
      <c r="L612" s="13" t="s">
        <v>23</v>
      </c>
      <c r="M612" s="13"/>
      <c r="N612" s="31"/>
      <c r="O612" s="14">
        <f t="shared" si="18"/>
        <v>-200</v>
      </c>
      <c r="P612" s="15">
        <f t="shared" si="19"/>
        <v>41800</v>
      </c>
      <c r="Q612" s="15"/>
      <c r="R612" s="16"/>
      <c r="S612" s="16"/>
    </row>
    <row r="613" spans="1:19" x14ac:dyDescent="0.25">
      <c r="A613" s="8" t="s">
        <v>16</v>
      </c>
      <c r="B613" s="8" t="s">
        <v>17</v>
      </c>
      <c r="C613" s="8" t="s">
        <v>18</v>
      </c>
      <c r="D613" s="8">
        <v>2014</v>
      </c>
      <c r="E613" s="21" t="s">
        <v>463</v>
      </c>
      <c r="F613" s="10">
        <v>41800</v>
      </c>
      <c r="G613" s="23"/>
      <c r="H613" s="17" t="s">
        <v>62</v>
      </c>
      <c r="I613" s="12">
        <f>-90-75-55-60-20-20</f>
        <v>-320</v>
      </c>
      <c r="J613" s="13" t="s">
        <v>21</v>
      </c>
      <c r="K613" s="13" t="s">
        <v>63</v>
      </c>
      <c r="L613" s="13" t="s">
        <v>64</v>
      </c>
      <c r="M613" s="13"/>
      <c r="N613" s="14"/>
      <c r="O613" s="14">
        <f t="shared" si="18"/>
        <v>-320</v>
      </c>
      <c r="P613" s="15">
        <f t="shared" si="19"/>
        <v>41800</v>
      </c>
      <c r="Q613" s="15"/>
      <c r="R613" s="16"/>
      <c r="S613" s="16"/>
    </row>
    <row r="614" spans="1:19" x14ac:dyDescent="0.25">
      <c r="A614" s="23" t="s">
        <v>16</v>
      </c>
      <c r="B614" s="23" t="s">
        <v>17</v>
      </c>
      <c r="C614" s="8" t="s">
        <v>18</v>
      </c>
      <c r="D614" s="8">
        <v>2014</v>
      </c>
      <c r="E614" s="9" t="s">
        <v>463</v>
      </c>
      <c r="F614" s="10">
        <v>41800</v>
      </c>
      <c r="G614" s="8"/>
      <c r="H614" s="11" t="s">
        <v>499</v>
      </c>
      <c r="I614" s="12">
        <v>-1149</v>
      </c>
      <c r="J614" s="13" t="s">
        <v>21</v>
      </c>
      <c r="K614" s="13" t="s">
        <v>22</v>
      </c>
      <c r="L614" s="13" t="s">
        <v>121</v>
      </c>
      <c r="M614" s="13"/>
      <c r="N614" s="31"/>
      <c r="O614" s="14">
        <f t="shared" si="18"/>
        <v>-1149</v>
      </c>
      <c r="P614" s="15">
        <f t="shared" si="19"/>
        <v>41800</v>
      </c>
      <c r="Q614" s="15"/>
      <c r="R614" s="16"/>
      <c r="S614" s="16"/>
    </row>
    <row r="615" spans="1:19" x14ac:dyDescent="0.25">
      <c r="A615" s="23" t="s">
        <v>16</v>
      </c>
      <c r="B615" s="23" t="s">
        <v>17</v>
      </c>
      <c r="C615" s="23" t="s">
        <v>18</v>
      </c>
      <c r="D615" s="8">
        <v>2014</v>
      </c>
      <c r="E615" s="21" t="s">
        <v>463</v>
      </c>
      <c r="F615" s="10">
        <v>41800</v>
      </c>
      <c r="G615" s="8"/>
      <c r="H615" s="11" t="s">
        <v>399</v>
      </c>
      <c r="I615" s="12">
        <f>-40-64-100-50</f>
        <v>-254</v>
      </c>
      <c r="J615" s="13" t="s">
        <v>21</v>
      </c>
      <c r="K615" s="13" t="s">
        <v>56</v>
      </c>
      <c r="L615" s="13" t="s">
        <v>111</v>
      </c>
      <c r="M615" s="13" t="s">
        <v>28</v>
      </c>
      <c r="N615" s="31"/>
      <c r="O615" s="14">
        <f t="shared" si="18"/>
        <v>-254</v>
      </c>
      <c r="P615" s="15">
        <f t="shared" si="19"/>
        <v>41800</v>
      </c>
      <c r="Q615" s="15"/>
      <c r="R615" s="16"/>
      <c r="S615" s="16"/>
    </row>
    <row r="616" spans="1:19" x14ac:dyDescent="0.25">
      <c r="A616" s="8" t="s">
        <v>16</v>
      </c>
      <c r="B616" s="8" t="s">
        <v>17</v>
      </c>
      <c r="C616" s="8" t="s">
        <v>18</v>
      </c>
      <c r="D616" s="8">
        <v>2014</v>
      </c>
      <c r="E616" s="9" t="s">
        <v>463</v>
      </c>
      <c r="F616" s="10">
        <v>41800</v>
      </c>
      <c r="G616" s="8"/>
      <c r="H616" s="13" t="s">
        <v>500</v>
      </c>
      <c r="I616" s="12">
        <v>-4000</v>
      </c>
      <c r="J616" s="13" t="s">
        <v>169</v>
      </c>
      <c r="K616" s="13" t="s">
        <v>474</v>
      </c>
      <c r="L616" s="13" t="s">
        <v>475</v>
      </c>
      <c r="M616" s="13"/>
      <c r="N616" s="14"/>
      <c r="O616" s="14">
        <f t="shared" si="18"/>
        <v>-4000</v>
      </c>
      <c r="P616" s="15">
        <f t="shared" si="19"/>
        <v>41800</v>
      </c>
      <c r="Q616" s="15"/>
      <c r="R616" s="35"/>
      <c r="S616" s="16"/>
    </row>
    <row r="617" spans="1:19" x14ac:dyDescent="0.25">
      <c r="A617" s="8" t="s">
        <v>16</v>
      </c>
      <c r="B617" s="8" t="s">
        <v>17</v>
      </c>
      <c r="C617" s="36" t="s">
        <v>18</v>
      </c>
      <c r="D617" s="8">
        <v>2014</v>
      </c>
      <c r="E617" s="21" t="s">
        <v>463</v>
      </c>
      <c r="F617" s="10">
        <v>41800</v>
      </c>
      <c r="G617" s="8"/>
      <c r="H617" s="17" t="s">
        <v>501</v>
      </c>
      <c r="I617" s="12">
        <v>-330</v>
      </c>
      <c r="J617" s="13" t="s">
        <v>21</v>
      </c>
      <c r="K617" s="13" t="s">
        <v>143</v>
      </c>
      <c r="L617" s="13" t="s">
        <v>382</v>
      </c>
      <c r="M617" s="13" t="s">
        <v>145</v>
      </c>
      <c r="N617" s="14"/>
      <c r="O617" s="14">
        <f t="shared" si="18"/>
        <v>-330</v>
      </c>
      <c r="P617" s="15">
        <f t="shared" si="19"/>
        <v>41800</v>
      </c>
      <c r="Q617" s="15"/>
      <c r="R617" s="16"/>
      <c r="S617" s="16"/>
    </row>
    <row r="618" spans="1:19" x14ac:dyDescent="0.25">
      <c r="A618" s="8" t="s">
        <v>16</v>
      </c>
      <c r="B618" s="8" t="s">
        <v>17</v>
      </c>
      <c r="C618" s="36" t="s">
        <v>18</v>
      </c>
      <c r="D618" s="8">
        <v>2014</v>
      </c>
      <c r="E618" s="9" t="s">
        <v>463</v>
      </c>
      <c r="F618" s="10">
        <v>41800</v>
      </c>
      <c r="G618" s="8"/>
      <c r="H618" s="17" t="s">
        <v>142</v>
      </c>
      <c r="I618" s="12">
        <v>-57.95</v>
      </c>
      <c r="J618" s="13" t="s">
        <v>21</v>
      </c>
      <c r="K618" s="13" t="s">
        <v>143</v>
      </c>
      <c r="L618" s="13" t="s">
        <v>144</v>
      </c>
      <c r="M618" s="13" t="s">
        <v>28</v>
      </c>
      <c r="N618" s="14"/>
      <c r="O618" s="14">
        <f t="shared" si="18"/>
        <v>-57.95</v>
      </c>
      <c r="P618" s="15">
        <f t="shared" si="19"/>
        <v>41800</v>
      </c>
      <c r="Q618" s="15"/>
      <c r="R618" s="16"/>
      <c r="S618" s="16"/>
    </row>
    <row r="619" spans="1:19" x14ac:dyDescent="0.25">
      <c r="A619" s="23" t="s">
        <v>16</v>
      </c>
      <c r="B619" s="23" t="s">
        <v>17</v>
      </c>
      <c r="C619" s="23" t="s">
        <v>51</v>
      </c>
      <c r="D619" s="8">
        <v>2014</v>
      </c>
      <c r="E619" s="21" t="s">
        <v>463</v>
      </c>
      <c r="F619" s="10">
        <v>41800</v>
      </c>
      <c r="G619" s="8">
        <v>11780</v>
      </c>
      <c r="H619" s="11" t="s">
        <v>502</v>
      </c>
      <c r="I619" s="12">
        <v>2100</v>
      </c>
      <c r="J619" s="13" t="s">
        <v>53</v>
      </c>
      <c r="K619" s="13" t="s">
        <v>54</v>
      </c>
      <c r="L619" s="13"/>
      <c r="M619" s="13"/>
      <c r="N619" s="31"/>
      <c r="O619" s="14">
        <f t="shared" si="18"/>
        <v>2100</v>
      </c>
      <c r="P619" s="15">
        <f t="shared" si="19"/>
        <v>41800</v>
      </c>
      <c r="Q619" s="56"/>
      <c r="R619" s="16"/>
      <c r="S619" s="16"/>
    </row>
    <row r="620" spans="1:19" x14ac:dyDescent="0.25">
      <c r="A620" s="23" t="s">
        <v>16</v>
      </c>
      <c r="B620" s="23" t="s">
        <v>17</v>
      </c>
      <c r="C620" s="23" t="s">
        <v>51</v>
      </c>
      <c r="D620" s="8">
        <v>2014</v>
      </c>
      <c r="E620" s="9" t="s">
        <v>463</v>
      </c>
      <c r="F620" s="10">
        <v>41800</v>
      </c>
      <c r="G620" s="8">
        <v>11714</v>
      </c>
      <c r="H620" s="11" t="s">
        <v>503</v>
      </c>
      <c r="I620" s="12">
        <v>1000</v>
      </c>
      <c r="J620" s="13" t="s">
        <v>53</v>
      </c>
      <c r="K620" s="13" t="s">
        <v>54</v>
      </c>
      <c r="L620" s="13"/>
      <c r="M620" s="13"/>
      <c r="N620" s="31"/>
      <c r="O620" s="14">
        <f t="shared" si="18"/>
        <v>1000</v>
      </c>
      <c r="P620" s="15">
        <f t="shared" si="19"/>
        <v>41800</v>
      </c>
      <c r="Q620" s="56"/>
      <c r="R620" s="16"/>
      <c r="S620" s="16"/>
    </row>
    <row r="621" spans="1:19" x14ac:dyDescent="0.25">
      <c r="A621" s="8" t="s">
        <v>16</v>
      </c>
      <c r="B621" s="8" t="s">
        <v>17</v>
      </c>
      <c r="C621" s="36" t="s">
        <v>18</v>
      </c>
      <c r="D621" s="8">
        <v>2014</v>
      </c>
      <c r="E621" s="21" t="s">
        <v>463</v>
      </c>
      <c r="F621" s="10">
        <v>41801</v>
      </c>
      <c r="G621" s="8"/>
      <c r="H621" s="17" t="s">
        <v>146</v>
      </c>
      <c r="I621" s="12">
        <f>-193.41-780.39</f>
        <v>-973.8</v>
      </c>
      <c r="J621" s="13" t="s">
        <v>21</v>
      </c>
      <c r="K621" s="13" t="s">
        <v>143</v>
      </c>
      <c r="L621" s="13" t="s">
        <v>147</v>
      </c>
      <c r="M621" s="13" t="s">
        <v>28</v>
      </c>
      <c r="N621" s="14"/>
      <c r="O621" s="14">
        <f t="shared" si="18"/>
        <v>-973.8</v>
      </c>
      <c r="P621" s="15">
        <f t="shared" si="19"/>
        <v>41801</v>
      </c>
      <c r="Q621" s="15"/>
      <c r="R621" s="35"/>
      <c r="S621" s="16"/>
    </row>
    <row r="622" spans="1:19" x14ac:dyDescent="0.25">
      <c r="A622" s="23" t="s">
        <v>16</v>
      </c>
      <c r="B622" s="23" t="s">
        <v>17</v>
      </c>
      <c r="C622" s="23" t="s">
        <v>18</v>
      </c>
      <c r="D622" s="8">
        <v>2014</v>
      </c>
      <c r="E622" s="9" t="s">
        <v>463</v>
      </c>
      <c r="F622" s="10">
        <v>41801</v>
      </c>
      <c r="G622" s="23"/>
      <c r="H622" s="13" t="s">
        <v>400</v>
      </c>
      <c r="I622" s="12">
        <v>-2018.48</v>
      </c>
      <c r="J622" s="13" t="s">
        <v>21</v>
      </c>
      <c r="K622" s="13" t="s">
        <v>143</v>
      </c>
      <c r="L622" s="13" t="s">
        <v>205</v>
      </c>
      <c r="M622" s="13" t="s">
        <v>145</v>
      </c>
      <c r="N622" s="31"/>
      <c r="O622" s="14">
        <f t="shared" si="18"/>
        <v>-2018.48</v>
      </c>
      <c r="P622" s="15">
        <f t="shared" si="19"/>
        <v>41801</v>
      </c>
      <c r="Q622" s="15"/>
      <c r="R622" s="26"/>
      <c r="S622" s="26"/>
    </row>
    <row r="623" spans="1:19" x14ac:dyDescent="0.25">
      <c r="A623" s="23" t="s">
        <v>16</v>
      </c>
      <c r="B623" s="23" t="s">
        <v>17</v>
      </c>
      <c r="C623" s="23" t="s">
        <v>51</v>
      </c>
      <c r="D623" s="8">
        <v>2014</v>
      </c>
      <c r="E623" s="21" t="s">
        <v>463</v>
      </c>
      <c r="F623" s="10">
        <v>41801</v>
      </c>
      <c r="G623" s="8">
        <v>11748</v>
      </c>
      <c r="H623" s="11" t="s">
        <v>456</v>
      </c>
      <c r="I623" s="12">
        <v>8200</v>
      </c>
      <c r="J623" s="13" t="s">
        <v>53</v>
      </c>
      <c r="K623" s="13" t="s">
        <v>54</v>
      </c>
      <c r="L623" s="13"/>
      <c r="M623" s="13"/>
      <c r="N623" s="31"/>
      <c r="O623" s="14">
        <f t="shared" si="18"/>
        <v>8200</v>
      </c>
      <c r="P623" s="15">
        <f t="shared" si="19"/>
        <v>41801</v>
      </c>
      <c r="Q623" s="56"/>
      <c r="R623" s="16"/>
      <c r="S623" s="16"/>
    </row>
    <row r="624" spans="1:19" x14ac:dyDescent="0.25">
      <c r="A624" s="23" t="s">
        <v>16</v>
      </c>
      <c r="B624" s="23" t="s">
        <v>17</v>
      </c>
      <c r="C624" s="23" t="s">
        <v>51</v>
      </c>
      <c r="D624" s="8">
        <v>2014</v>
      </c>
      <c r="E624" s="9" t="s">
        <v>463</v>
      </c>
      <c r="F624" s="10">
        <v>41801</v>
      </c>
      <c r="G624" s="8">
        <v>11494</v>
      </c>
      <c r="H624" s="11" t="s">
        <v>504</v>
      </c>
      <c r="I624" s="12">
        <v>31500</v>
      </c>
      <c r="J624" s="13" t="s">
        <v>53</v>
      </c>
      <c r="K624" s="13" t="s">
        <v>54</v>
      </c>
      <c r="L624" s="13"/>
      <c r="M624" s="13"/>
      <c r="N624" s="31"/>
      <c r="O624" s="14">
        <f t="shared" si="18"/>
        <v>31500</v>
      </c>
      <c r="P624" s="15">
        <f t="shared" si="19"/>
        <v>41801</v>
      </c>
      <c r="Q624" s="56"/>
      <c r="R624" s="16"/>
      <c r="S624" s="16"/>
    </row>
    <row r="625" spans="1:19" x14ac:dyDescent="0.25">
      <c r="A625" s="23" t="s">
        <v>16</v>
      </c>
      <c r="B625" s="23" t="s">
        <v>17</v>
      </c>
      <c r="C625" s="23" t="s">
        <v>51</v>
      </c>
      <c r="D625" s="8">
        <v>2014</v>
      </c>
      <c r="E625" s="21" t="s">
        <v>463</v>
      </c>
      <c r="F625" s="10">
        <v>41802</v>
      </c>
      <c r="G625" s="8">
        <v>11716</v>
      </c>
      <c r="H625" s="11" t="s">
        <v>351</v>
      </c>
      <c r="I625" s="12">
        <v>3200</v>
      </c>
      <c r="J625" s="13" t="s">
        <v>53</v>
      </c>
      <c r="K625" s="13" t="s">
        <v>54</v>
      </c>
      <c r="L625" s="13"/>
      <c r="M625" s="13"/>
      <c r="N625" s="31"/>
      <c r="O625" s="14">
        <f t="shared" si="18"/>
        <v>3200</v>
      </c>
      <c r="P625" s="15">
        <f t="shared" si="19"/>
        <v>41802</v>
      </c>
      <c r="Q625" s="56"/>
      <c r="R625" s="16"/>
      <c r="S625" s="16"/>
    </row>
    <row r="626" spans="1:19" x14ac:dyDescent="0.25">
      <c r="A626" s="23" t="s">
        <v>16</v>
      </c>
      <c r="B626" s="23" t="s">
        <v>17</v>
      </c>
      <c r="C626" s="23" t="s">
        <v>51</v>
      </c>
      <c r="D626" s="8">
        <v>2014</v>
      </c>
      <c r="E626" s="9" t="s">
        <v>463</v>
      </c>
      <c r="F626" s="10">
        <v>41802</v>
      </c>
      <c r="G626" s="8">
        <v>11782</v>
      </c>
      <c r="H626" s="11" t="s">
        <v>505</v>
      </c>
      <c r="I626" s="12">
        <v>10000</v>
      </c>
      <c r="J626" s="13" t="s">
        <v>53</v>
      </c>
      <c r="K626" s="13" t="s">
        <v>54</v>
      </c>
      <c r="L626" s="13"/>
      <c r="M626" s="13"/>
      <c r="N626" s="31"/>
      <c r="O626" s="14">
        <f t="shared" si="18"/>
        <v>10000</v>
      </c>
      <c r="P626" s="15">
        <f t="shared" si="19"/>
        <v>41802</v>
      </c>
      <c r="Q626" s="56"/>
      <c r="R626" s="16"/>
      <c r="S626" s="16"/>
    </row>
    <row r="627" spans="1:19" x14ac:dyDescent="0.25">
      <c r="A627" s="23" t="s">
        <v>16</v>
      </c>
      <c r="B627" s="23" t="s">
        <v>17</v>
      </c>
      <c r="C627" s="23" t="s">
        <v>51</v>
      </c>
      <c r="D627" s="8">
        <v>2014</v>
      </c>
      <c r="E627" s="21" t="s">
        <v>463</v>
      </c>
      <c r="F627" s="10">
        <v>41802</v>
      </c>
      <c r="G627" s="8">
        <v>11702</v>
      </c>
      <c r="H627" s="11" t="s">
        <v>294</v>
      </c>
      <c r="I627" s="12">
        <v>11500</v>
      </c>
      <c r="J627" s="13" t="s">
        <v>53</v>
      </c>
      <c r="K627" s="13" t="s">
        <v>54</v>
      </c>
      <c r="L627" s="13"/>
      <c r="M627" s="13"/>
      <c r="N627" s="31"/>
      <c r="O627" s="14">
        <f t="shared" si="18"/>
        <v>11500</v>
      </c>
      <c r="P627" s="15">
        <f t="shared" si="19"/>
        <v>41802</v>
      </c>
      <c r="Q627" s="56"/>
      <c r="R627" s="16"/>
      <c r="S627" s="16"/>
    </row>
    <row r="628" spans="1:19" x14ac:dyDescent="0.25">
      <c r="A628" s="8" t="s">
        <v>16</v>
      </c>
      <c r="B628" s="8" t="s">
        <v>17</v>
      </c>
      <c r="C628" s="36" t="s">
        <v>18</v>
      </c>
      <c r="D628" s="8">
        <v>2014</v>
      </c>
      <c r="E628" s="9" t="s">
        <v>463</v>
      </c>
      <c r="F628" s="10">
        <v>41802</v>
      </c>
      <c r="G628" s="8"/>
      <c r="H628" s="13" t="s">
        <v>506</v>
      </c>
      <c r="I628" s="12">
        <v>-1357</v>
      </c>
      <c r="J628" s="13" t="s">
        <v>21</v>
      </c>
      <c r="K628" s="13" t="s">
        <v>63</v>
      </c>
      <c r="L628" s="13" t="s">
        <v>83</v>
      </c>
      <c r="M628" s="13"/>
      <c r="N628" s="14"/>
      <c r="O628" s="14">
        <f t="shared" si="18"/>
        <v>-1357</v>
      </c>
      <c r="P628" s="15">
        <f t="shared" si="19"/>
        <v>41802</v>
      </c>
      <c r="Q628" s="15"/>
      <c r="R628" s="16"/>
      <c r="S628" s="16"/>
    </row>
    <row r="629" spans="1:19" x14ac:dyDescent="0.25">
      <c r="A629" s="8" t="s">
        <v>16</v>
      </c>
      <c r="B629" s="8" t="s">
        <v>17</v>
      </c>
      <c r="C629" s="8" t="s">
        <v>18</v>
      </c>
      <c r="D629" s="8">
        <v>2014</v>
      </c>
      <c r="E629" s="21" t="s">
        <v>463</v>
      </c>
      <c r="F629" s="10">
        <v>41802</v>
      </c>
      <c r="G629" s="23"/>
      <c r="H629" s="11" t="s">
        <v>269</v>
      </c>
      <c r="I629" s="12">
        <v>-700</v>
      </c>
      <c r="J629" s="20" t="s">
        <v>21</v>
      </c>
      <c r="K629" s="20" t="s">
        <v>56</v>
      </c>
      <c r="L629" s="20" t="s">
        <v>57</v>
      </c>
      <c r="M629" s="13" t="s">
        <v>386</v>
      </c>
      <c r="N629" s="14"/>
      <c r="O629" s="14">
        <f t="shared" si="18"/>
        <v>-700</v>
      </c>
      <c r="P629" s="15">
        <f t="shared" si="19"/>
        <v>41802</v>
      </c>
      <c r="Q629" s="15"/>
      <c r="R629" s="16"/>
      <c r="S629" s="16"/>
    </row>
    <row r="630" spans="1:19" x14ac:dyDescent="0.25">
      <c r="A630" s="23" t="s">
        <v>16</v>
      </c>
      <c r="B630" s="23" t="s">
        <v>17</v>
      </c>
      <c r="C630" s="23" t="s">
        <v>18</v>
      </c>
      <c r="D630" s="8">
        <v>2014</v>
      </c>
      <c r="E630" s="9" t="s">
        <v>463</v>
      </c>
      <c r="F630" s="10">
        <v>41802</v>
      </c>
      <c r="G630" s="8" t="s">
        <v>249</v>
      </c>
      <c r="H630" s="11" t="s">
        <v>340</v>
      </c>
      <c r="I630" s="12">
        <v>-960</v>
      </c>
      <c r="J630" s="13" t="s">
        <v>21</v>
      </c>
      <c r="K630" s="13" t="s">
        <v>56</v>
      </c>
      <c r="L630" s="13" t="s">
        <v>57</v>
      </c>
      <c r="M630" s="13"/>
      <c r="N630" s="14"/>
      <c r="O630" s="14">
        <f t="shared" si="18"/>
        <v>-960</v>
      </c>
      <c r="P630" s="15">
        <f t="shared" si="19"/>
        <v>41802</v>
      </c>
      <c r="Q630" s="15"/>
      <c r="R630" s="16"/>
      <c r="S630" s="16"/>
    </row>
    <row r="631" spans="1:19" x14ac:dyDescent="0.25">
      <c r="A631" s="23" t="s">
        <v>16</v>
      </c>
      <c r="B631" s="23" t="s">
        <v>17</v>
      </c>
      <c r="C631" s="23" t="s">
        <v>18</v>
      </c>
      <c r="D631" s="8">
        <v>2014</v>
      </c>
      <c r="E631" s="21" t="s">
        <v>463</v>
      </c>
      <c r="F631" s="10">
        <v>41802</v>
      </c>
      <c r="G631" s="8"/>
      <c r="H631" s="11" t="s">
        <v>399</v>
      </c>
      <c r="I631" s="12">
        <f>-25-27-170-50</f>
        <v>-272</v>
      </c>
      <c r="J631" s="13" t="s">
        <v>21</v>
      </c>
      <c r="K631" s="13" t="s">
        <v>56</v>
      </c>
      <c r="L631" s="13" t="s">
        <v>111</v>
      </c>
      <c r="M631" s="13" t="s">
        <v>28</v>
      </c>
      <c r="N631" s="31"/>
      <c r="O631" s="14">
        <f t="shared" si="18"/>
        <v>-272</v>
      </c>
      <c r="P631" s="15">
        <f t="shared" si="19"/>
        <v>41802</v>
      </c>
      <c r="Q631" s="15"/>
      <c r="R631" s="16"/>
      <c r="S631" s="16"/>
    </row>
    <row r="632" spans="1:19" x14ac:dyDescent="0.25">
      <c r="A632" s="23" t="s">
        <v>16</v>
      </c>
      <c r="B632" s="23" t="s">
        <v>17</v>
      </c>
      <c r="C632" s="23" t="s">
        <v>18</v>
      </c>
      <c r="D632" s="8">
        <v>2014</v>
      </c>
      <c r="E632" s="9" t="s">
        <v>463</v>
      </c>
      <c r="F632" s="10">
        <v>41802</v>
      </c>
      <c r="G632" s="23"/>
      <c r="H632" s="13" t="s">
        <v>488</v>
      </c>
      <c r="I632" s="12">
        <f>-161.97-117.25-93.21</f>
        <v>-372.43</v>
      </c>
      <c r="J632" s="13" t="s">
        <v>33</v>
      </c>
      <c r="K632" s="13" t="s">
        <v>34</v>
      </c>
      <c r="L632" s="13" t="s">
        <v>35</v>
      </c>
      <c r="M632" s="13" t="s">
        <v>226</v>
      </c>
      <c r="N632" s="14"/>
      <c r="O632" s="14">
        <f t="shared" si="18"/>
        <v>-372.43</v>
      </c>
      <c r="P632" s="15">
        <f t="shared" si="19"/>
        <v>41802</v>
      </c>
      <c r="Q632" s="15"/>
      <c r="R632" s="26"/>
      <c r="S632" s="26"/>
    </row>
    <row r="633" spans="1:19" x14ac:dyDescent="0.25">
      <c r="A633" s="23" t="s">
        <v>16</v>
      </c>
      <c r="B633" s="23" t="s">
        <v>17</v>
      </c>
      <c r="C633" s="23" t="s">
        <v>18</v>
      </c>
      <c r="D633" s="8">
        <v>2014</v>
      </c>
      <c r="E633" s="21" t="s">
        <v>463</v>
      </c>
      <c r="F633" s="10">
        <v>41802</v>
      </c>
      <c r="G633" s="23"/>
      <c r="H633" s="13" t="s">
        <v>507</v>
      </c>
      <c r="I633" s="12">
        <v>-300</v>
      </c>
      <c r="J633" s="13" t="s">
        <v>33</v>
      </c>
      <c r="K633" s="13" t="s">
        <v>34</v>
      </c>
      <c r="L633" s="13" t="s">
        <v>35</v>
      </c>
      <c r="M633" s="13" t="s">
        <v>226</v>
      </c>
      <c r="N633" s="14"/>
      <c r="O633" s="14">
        <f t="shared" si="18"/>
        <v>-300</v>
      </c>
      <c r="P633" s="15">
        <f t="shared" si="19"/>
        <v>41802</v>
      </c>
      <c r="Q633" s="15"/>
      <c r="R633" s="26"/>
      <c r="S633" s="26"/>
    </row>
    <row r="634" spans="1:19" x14ac:dyDescent="0.25">
      <c r="A634" s="8" t="s">
        <v>16</v>
      </c>
      <c r="B634" s="8" t="s">
        <v>17</v>
      </c>
      <c r="C634" s="36" t="s">
        <v>46</v>
      </c>
      <c r="D634" s="8">
        <v>2014</v>
      </c>
      <c r="E634" s="9" t="s">
        <v>463</v>
      </c>
      <c r="F634" s="30">
        <v>41803</v>
      </c>
      <c r="G634" s="8"/>
      <c r="H634" s="17" t="s">
        <v>410</v>
      </c>
      <c r="I634" s="12">
        <f>-450*11.65</f>
        <v>-5242.5</v>
      </c>
      <c r="J634" s="13" t="s">
        <v>48</v>
      </c>
      <c r="K634" s="13" t="s">
        <v>49</v>
      </c>
      <c r="L634" s="13" t="s">
        <v>50</v>
      </c>
      <c r="M634" s="13"/>
      <c r="N634" s="14"/>
      <c r="O634" s="14">
        <f t="shared" si="18"/>
        <v>-5242.5</v>
      </c>
      <c r="P634" s="15">
        <f t="shared" si="19"/>
        <v>41803</v>
      </c>
      <c r="Q634" s="15"/>
      <c r="R634" s="16"/>
      <c r="S634" s="16"/>
    </row>
    <row r="635" spans="1:19" x14ac:dyDescent="0.25">
      <c r="A635" s="23" t="s">
        <v>16</v>
      </c>
      <c r="B635" s="23" t="s">
        <v>17</v>
      </c>
      <c r="C635" s="23" t="s">
        <v>18</v>
      </c>
      <c r="D635" s="8">
        <v>2014</v>
      </c>
      <c r="E635" s="21" t="s">
        <v>463</v>
      </c>
      <c r="F635" s="22">
        <v>41803</v>
      </c>
      <c r="G635" s="8"/>
      <c r="H635" s="13" t="s">
        <v>195</v>
      </c>
      <c r="I635" s="12">
        <v>-1000</v>
      </c>
      <c r="J635" s="13" t="s">
        <v>21</v>
      </c>
      <c r="K635" s="13" t="s">
        <v>143</v>
      </c>
      <c r="L635" s="13" t="s">
        <v>196</v>
      </c>
      <c r="M635" s="13" t="s">
        <v>197</v>
      </c>
      <c r="N635" s="31"/>
      <c r="O635" s="14">
        <f t="shared" si="18"/>
        <v>-1000</v>
      </c>
      <c r="P635" s="15">
        <f t="shared" si="19"/>
        <v>41803</v>
      </c>
      <c r="Q635" s="15"/>
      <c r="R635" s="26"/>
      <c r="S635" s="26"/>
    </row>
    <row r="636" spans="1:19" x14ac:dyDescent="0.25">
      <c r="A636" s="23" t="s">
        <v>16</v>
      </c>
      <c r="B636" s="23" t="s">
        <v>17</v>
      </c>
      <c r="C636" s="23" t="s">
        <v>18</v>
      </c>
      <c r="D636" s="8">
        <v>2014</v>
      </c>
      <c r="E636" s="9" t="s">
        <v>463</v>
      </c>
      <c r="F636" s="22">
        <v>41803</v>
      </c>
      <c r="G636" s="8"/>
      <c r="H636" s="11" t="s">
        <v>374</v>
      </c>
      <c r="I636" s="12">
        <v>-550</v>
      </c>
      <c r="J636" s="19" t="s">
        <v>21</v>
      </c>
      <c r="K636" s="37" t="s">
        <v>143</v>
      </c>
      <c r="L636" s="19" t="s">
        <v>375</v>
      </c>
      <c r="M636" s="25"/>
      <c r="N636" s="25"/>
      <c r="O636" s="14">
        <f t="shared" si="18"/>
        <v>-550</v>
      </c>
      <c r="P636" s="15">
        <f t="shared" si="19"/>
        <v>41803</v>
      </c>
      <c r="Q636" s="50">
        <v>41744</v>
      </c>
      <c r="R636" s="16"/>
      <c r="S636" s="16"/>
    </row>
    <row r="637" spans="1:19" x14ac:dyDescent="0.25">
      <c r="A637" s="8" t="s">
        <v>16</v>
      </c>
      <c r="B637" s="8" t="s">
        <v>17</v>
      </c>
      <c r="C637" s="36" t="s">
        <v>46</v>
      </c>
      <c r="D637" s="8">
        <v>2014</v>
      </c>
      <c r="E637" s="21" t="s">
        <v>463</v>
      </c>
      <c r="F637" s="22">
        <v>41803</v>
      </c>
      <c r="G637" s="8"/>
      <c r="H637" s="17" t="s">
        <v>508</v>
      </c>
      <c r="I637" s="12">
        <v>-5000</v>
      </c>
      <c r="J637" s="13" t="s">
        <v>48</v>
      </c>
      <c r="K637" s="13" t="s">
        <v>49</v>
      </c>
      <c r="L637" s="13" t="s">
        <v>50</v>
      </c>
      <c r="M637" s="13"/>
      <c r="N637" s="14"/>
      <c r="O637" s="14">
        <f t="shared" si="18"/>
        <v>-5000</v>
      </c>
      <c r="P637" s="15">
        <f t="shared" si="19"/>
        <v>41803</v>
      </c>
      <c r="Q637" s="15"/>
      <c r="R637" s="16"/>
      <c r="S637" s="16"/>
    </row>
    <row r="638" spans="1:19" x14ac:dyDescent="0.25">
      <c r="A638" s="8" t="s">
        <v>16</v>
      </c>
      <c r="B638" s="8" t="s">
        <v>17</v>
      </c>
      <c r="C638" s="36" t="s">
        <v>46</v>
      </c>
      <c r="D638" s="8">
        <v>2014</v>
      </c>
      <c r="E638" s="9" t="s">
        <v>463</v>
      </c>
      <c r="F638" s="22">
        <v>41803</v>
      </c>
      <c r="G638" s="8"/>
      <c r="H638" s="17" t="s">
        <v>509</v>
      </c>
      <c r="I638" s="12">
        <v>-25000</v>
      </c>
      <c r="J638" s="13" t="s">
        <v>48</v>
      </c>
      <c r="K638" s="13" t="s">
        <v>49</v>
      </c>
      <c r="L638" s="13" t="s">
        <v>50</v>
      </c>
      <c r="M638" s="13"/>
      <c r="N638" s="14"/>
      <c r="O638" s="14">
        <f t="shared" si="18"/>
        <v>-25000</v>
      </c>
      <c r="P638" s="15">
        <f t="shared" si="19"/>
        <v>41803</v>
      </c>
      <c r="Q638" s="15"/>
      <c r="R638" s="16"/>
      <c r="S638" s="16"/>
    </row>
    <row r="639" spans="1:19" x14ac:dyDescent="0.25">
      <c r="A639" s="8" t="s">
        <v>16</v>
      </c>
      <c r="B639" s="8" t="s">
        <v>17</v>
      </c>
      <c r="C639" s="8" t="s">
        <v>18</v>
      </c>
      <c r="D639" s="8">
        <v>2014</v>
      </c>
      <c r="E639" s="21" t="s">
        <v>463</v>
      </c>
      <c r="F639" s="22">
        <v>41803</v>
      </c>
      <c r="G639" s="23"/>
      <c r="H639" s="17" t="s">
        <v>62</v>
      </c>
      <c r="I639" s="12">
        <f>-15-79-30-88-300</f>
        <v>-512</v>
      </c>
      <c r="J639" s="13" t="s">
        <v>21</v>
      </c>
      <c r="K639" s="13" t="s">
        <v>63</v>
      </c>
      <c r="L639" s="13" t="s">
        <v>64</v>
      </c>
      <c r="M639" s="13"/>
      <c r="N639" s="14"/>
      <c r="O639" s="14">
        <f t="shared" si="18"/>
        <v>-512</v>
      </c>
      <c r="P639" s="15">
        <f t="shared" si="19"/>
        <v>41803</v>
      </c>
      <c r="Q639" s="15"/>
      <c r="R639" s="16"/>
      <c r="S639" s="16"/>
    </row>
    <row r="640" spans="1:19" x14ac:dyDescent="0.25">
      <c r="A640" s="23" t="s">
        <v>16</v>
      </c>
      <c r="B640" s="23" t="s">
        <v>17</v>
      </c>
      <c r="C640" s="23" t="s">
        <v>18</v>
      </c>
      <c r="D640" s="8">
        <v>2014</v>
      </c>
      <c r="E640" s="9" t="s">
        <v>463</v>
      </c>
      <c r="F640" s="22">
        <v>41803</v>
      </c>
      <c r="G640" s="23"/>
      <c r="H640" s="13" t="s">
        <v>252</v>
      </c>
      <c r="I640" s="12">
        <v>-48</v>
      </c>
      <c r="J640" s="13" t="s">
        <v>21</v>
      </c>
      <c r="K640" s="13" t="s">
        <v>22</v>
      </c>
      <c r="L640" s="13" t="s">
        <v>71</v>
      </c>
      <c r="M640" s="13" t="s">
        <v>206</v>
      </c>
      <c r="N640" s="31"/>
      <c r="O640" s="14">
        <f t="shared" si="18"/>
        <v>-48</v>
      </c>
      <c r="P640" s="15">
        <f t="shared" si="19"/>
        <v>41803</v>
      </c>
      <c r="Q640" s="15"/>
      <c r="R640" s="16"/>
      <c r="S640" s="16"/>
    </row>
    <row r="641" spans="1:19" x14ac:dyDescent="0.25">
      <c r="A641" s="8" t="s">
        <v>16</v>
      </c>
      <c r="B641" s="8" t="s">
        <v>17</v>
      </c>
      <c r="C641" s="8" t="s">
        <v>18</v>
      </c>
      <c r="D641" s="8">
        <v>2014</v>
      </c>
      <c r="E641" s="21" t="s">
        <v>463</v>
      </c>
      <c r="F641" s="22">
        <v>41803</v>
      </c>
      <c r="G641" s="8"/>
      <c r="H641" s="13" t="s">
        <v>80</v>
      </c>
      <c r="I641" s="12">
        <v>-50</v>
      </c>
      <c r="J641" s="13" t="s">
        <v>21</v>
      </c>
      <c r="K641" s="13" t="s">
        <v>22</v>
      </c>
      <c r="L641" s="13" t="s">
        <v>23</v>
      </c>
      <c r="M641" s="13" t="s">
        <v>28</v>
      </c>
      <c r="N641" s="14"/>
      <c r="O641" s="14">
        <f t="shared" si="18"/>
        <v>-50</v>
      </c>
      <c r="P641" s="15">
        <f t="shared" si="19"/>
        <v>41803</v>
      </c>
      <c r="Q641" s="15"/>
      <c r="R641" s="16"/>
      <c r="S641" s="16"/>
    </row>
    <row r="642" spans="1:19" x14ac:dyDescent="0.25">
      <c r="A642" s="23" t="s">
        <v>16</v>
      </c>
      <c r="B642" s="23" t="s">
        <v>17</v>
      </c>
      <c r="C642" s="23" t="s">
        <v>18</v>
      </c>
      <c r="D642" s="8">
        <v>2014</v>
      </c>
      <c r="E642" s="9" t="s">
        <v>463</v>
      </c>
      <c r="F642" s="22">
        <v>41803</v>
      </c>
      <c r="G642" s="23"/>
      <c r="H642" s="13" t="s">
        <v>300</v>
      </c>
      <c r="I642" s="12">
        <f>-49-20-33</f>
        <v>-102</v>
      </c>
      <c r="J642" s="13" t="s">
        <v>21</v>
      </c>
      <c r="K642" s="13" t="s">
        <v>22</v>
      </c>
      <c r="L642" s="13" t="s">
        <v>71</v>
      </c>
      <c r="M642" s="13"/>
      <c r="N642" s="14"/>
      <c r="O642" s="14">
        <f t="shared" si="18"/>
        <v>-102</v>
      </c>
      <c r="P642" s="15">
        <f t="shared" si="19"/>
        <v>41803</v>
      </c>
      <c r="Q642" s="15"/>
      <c r="R642" s="16"/>
      <c r="S642" s="16"/>
    </row>
    <row r="643" spans="1:19" x14ac:dyDescent="0.25">
      <c r="A643" s="8" t="s">
        <v>16</v>
      </c>
      <c r="B643" s="8" t="s">
        <v>17</v>
      </c>
      <c r="C643" s="8" t="s">
        <v>18</v>
      </c>
      <c r="D643" s="8">
        <v>2014</v>
      </c>
      <c r="E643" s="21" t="s">
        <v>463</v>
      </c>
      <c r="F643" s="22">
        <v>41803</v>
      </c>
      <c r="G643" s="23"/>
      <c r="H643" s="11" t="s">
        <v>510</v>
      </c>
      <c r="I643" s="12">
        <v>-200</v>
      </c>
      <c r="J643" s="54" t="s">
        <v>21</v>
      </c>
      <c r="K643" s="54" t="s">
        <v>56</v>
      </c>
      <c r="L643" s="54" t="s">
        <v>57</v>
      </c>
      <c r="M643" s="13" t="s">
        <v>386</v>
      </c>
      <c r="N643" s="14"/>
      <c r="O643" s="14">
        <f t="shared" ref="O643:O706" si="20">IF(B643="$",I643,I643/N643)</f>
        <v>-200</v>
      </c>
      <c r="P643" s="15">
        <f t="shared" si="19"/>
        <v>41803</v>
      </c>
      <c r="Q643" s="15"/>
      <c r="R643" s="16"/>
      <c r="S643" s="16"/>
    </row>
    <row r="644" spans="1:19" x14ac:dyDescent="0.25">
      <c r="A644" s="23" t="s">
        <v>16</v>
      </c>
      <c r="B644" s="23" t="s">
        <v>17</v>
      </c>
      <c r="C644" s="8" t="s">
        <v>18</v>
      </c>
      <c r="D644" s="8">
        <v>2014</v>
      </c>
      <c r="E644" s="9" t="s">
        <v>463</v>
      </c>
      <c r="F644" s="22">
        <v>41803</v>
      </c>
      <c r="G644" s="8"/>
      <c r="H644" s="11" t="s">
        <v>458</v>
      </c>
      <c r="I644" s="12">
        <v>-42</v>
      </c>
      <c r="J644" s="13" t="s">
        <v>21</v>
      </c>
      <c r="K644" s="13" t="s">
        <v>22</v>
      </c>
      <c r="L644" s="13" t="s">
        <v>121</v>
      </c>
      <c r="M644" s="13"/>
      <c r="N644" s="31"/>
      <c r="O644" s="14">
        <f t="shared" si="20"/>
        <v>-42</v>
      </c>
      <c r="P644" s="15">
        <f t="shared" si="19"/>
        <v>41803</v>
      </c>
      <c r="Q644" s="15"/>
      <c r="R644" s="16"/>
      <c r="S644" s="16"/>
    </row>
    <row r="645" spans="1:19" x14ac:dyDescent="0.25">
      <c r="A645" s="8" t="s">
        <v>16</v>
      </c>
      <c r="B645" s="8" t="s">
        <v>17</v>
      </c>
      <c r="C645" s="36" t="s">
        <v>18</v>
      </c>
      <c r="D645" s="8">
        <v>2014</v>
      </c>
      <c r="E645" s="21" t="s">
        <v>463</v>
      </c>
      <c r="F645" s="22">
        <v>41803</v>
      </c>
      <c r="G645" s="8"/>
      <c r="H645" s="17" t="s">
        <v>443</v>
      </c>
      <c r="I645" s="12">
        <v>-3726.08</v>
      </c>
      <c r="J645" s="13" t="s">
        <v>33</v>
      </c>
      <c r="K645" s="13" t="s">
        <v>224</v>
      </c>
      <c r="L645" s="13" t="s">
        <v>231</v>
      </c>
      <c r="M645" s="13"/>
      <c r="N645" s="14"/>
      <c r="O645" s="14">
        <f t="shared" si="20"/>
        <v>-3726.08</v>
      </c>
      <c r="P645" s="15">
        <f t="shared" si="19"/>
        <v>41803</v>
      </c>
      <c r="Q645" s="15"/>
      <c r="R645" s="16"/>
      <c r="S645" s="16"/>
    </row>
    <row r="646" spans="1:19" x14ac:dyDescent="0.25">
      <c r="A646" s="23" t="s">
        <v>16</v>
      </c>
      <c r="B646" s="23" t="s">
        <v>17</v>
      </c>
      <c r="C646" s="23" t="s">
        <v>18</v>
      </c>
      <c r="D646" s="8">
        <v>2014</v>
      </c>
      <c r="E646" s="9" t="s">
        <v>463</v>
      </c>
      <c r="F646" s="22">
        <v>41803</v>
      </c>
      <c r="G646" s="8"/>
      <c r="H646" s="11" t="s">
        <v>399</v>
      </c>
      <c r="I646" s="12">
        <f>-10-20-100-70</f>
        <v>-200</v>
      </c>
      <c r="J646" s="13" t="s">
        <v>21</v>
      </c>
      <c r="K646" s="13" t="s">
        <v>56</v>
      </c>
      <c r="L646" s="13" t="s">
        <v>111</v>
      </c>
      <c r="M646" s="13" t="s">
        <v>28</v>
      </c>
      <c r="N646" s="31"/>
      <c r="O646" s="14">
        <f t="shared" si="20"/>
        <v>-200</v>
      </c>
      <c r="P646" s="15">
        <f t="shared" si="19"/>
        <v>41803</v>
      </c>
      <c r="Q646" s="15"/>
      <c r="R646" s="16"/>
      <c r="S646" s="16"/>
    </row>
    <row r="647" spans="1:19" x14ac:dyDescent="0.25">
      <c r="A647" s="8" t="s">
        <v>16</v>
      </c>
      <c r="B647" s="8" t="s">
        <v>17</v>
      </c>
      <c r="C647" s="8" t="s">
        <v>18</v>
      </c>
      <c r="D647" s="8">
        <v>2014</v>
      </c>
      <c r="E647" s="21" t="s">
        <v>463</v>
      </c>
      <c r="F647" s="22">
        <v>41803</v>
      </c>
      <c r="G647" s="23"/>
      <c r="H647" s="13" t="s">
        <v>363</v>
      </c>
      <c r="I647" s="12">
        <v>-200</v>
      </c>
      <c r="J647" s="13" t="s">
        <v>21</v>
      </c>
      <c r="K647" s="13" t="s">
        <v>22</v>
      </c>
      <c r="L647" s="13" t="s">
        <v>23</v>
      </c>
      <c r="M647" s="13"/>
      <c r="N647" s="31"/>
      <c r="O647" s="14">
        <f t="shared" si="20"/>
        <v>-200</v>
      </c>
      <c r="P647" s="15">
        <f t="shared" si="19"/>
        <v>41803</v>
      </c>
      <c r="Q647" s="15"/>
      <c r="R647" s="16"/>
      <c r="S647" s="16"/>
    </row>
    <row r="648" spans="1:19" x14ac:dyDescent="0.25">
      <c r="A648" s="23" t="s">
        <v>16</v>
      </c>
      <c r="B648" s="23" t="s">
        <v>17</v>
      </c>
      <c r="C648" s="23" t="s">
        <v>18</v>
      </c>
      <c r="D648" s="8">
        <v>2014</v>
      </c>
      <c r="E648" s="9" t="s">
        <v>463</v>
      </c>
      <c r="F648" s="22">
        <v>41803</v>
      </c>
      <c r="G648" s="23" t="s">
        <v>249</v>
      </c>
      <c r="H648" s="13" t="s">
        <v>122</v>
      </c>
      <c r="I648" s="12">
        <v>-3000</v>
      </c>
      <c r="J648" s="13" t="s">
        <v>33</v>
      </c>
      <c r="K648" s="13" t="s">
        <v>123</v>
      </c>
      <c r="L648" s="13" t="s">
        <v>124</v>
      </c>
      <c r="M648" s="25" t="s">
        <v>125</v>
      </c>
      <c r="N648" s="31"/>
      <c r="O648" s="14">
        <f t="shared" si="20"/>
        <v>-3000</v>
      </c>
      <c r="P648" s="15">
        <f t="shared" si="19"/>
        <v>41803</v>
      </c>
      <c r="Q648" s="15"/>
      <c r="R648" s="16"/>
      <c r="S648" s="16"/>
    </row>
    <row r="649" spans="1:19" x14ac:dyDescent="0.25">
      <c r="A649" s="23" t="s">
        <v>16</v>
      </c>
      <c r="B649" s="23" t="s">
        <v>17</v>
      </c>
      <c r="C649" s="23" t="s">
        <v>18</v>
      </c>
      <c r="D649" s="8">
        <v>2014</v>
      </c>
      <c r="E649" s="21" t="s">
        <v>463</v>
      </c>
      <c r="F649" s="22">
        <v>41803</v>
      </c>
      <c r="G649" s="8" t="s">
        <v>249</v>
      </c>
      <c r="H649" s="11" t="s">
        <v>378</v>
      </c>
      <c r="I649" s="12">
        <v>-352</v>
      </c>
      <c r="J649" s="13" t="s">
        <v>38</v>
      </c>
      <c r="K649" s="13" t="s">
        <v>155</v>
      </c>
      <c r="L649" s="13" t="s">
        <v>91</v>
      </c>
      <c r="M649" s="13"/>
      <c r="N649" s="31"/>
      <c r="O649" s="14">
        <f t="shared" si="20"/>
        <v>-352</v>
      </c>
      <c r="P649" s="15">
        <f t="shared" ref="P649:P712" si="21">F649</f>
        <v>41803</v>
      </c>
      <c r="Q649" s="15"/>
      <c r="R649" s="16"/>
      <c r="S649" s="26"/>
    </row>
    <row r="650" spans="1:19" x14ac:dyDescent="0.25">
      <c r="A650" s="23" t="s">
        <v>16</v>
      </c>
      <c r="B650" s="23" t="s">
        <v>17</v>
      </c>
      <c r="C650" s="23" t="s">
        <v>18</v>
      </c>
      <c r="D650" s="8">
        <v>2014</v>
      </c>
      <c r="E650" s="9" t="s">
        <v>463</v>
      </c>
      <c r="F650" s="22">
        <v>41803</v>
      </c>
      <c r="G650" s="8" t="s">
        <v>249</v>
      </c>
      <c r="H650" s="11" t="s">
        <v>347</v>
      </c>
      <c r="I650" s="12">
        <v>-70</v>
      </c>
      <c r="J650" s="13" t="s">
        <v>38</v>
      </c>
      <c r="K650" s="13" t="s">
        <v>155</v>
      </c>
      <c r="L650" s="13" t="s">
        <v>91</v>
      </c>
      <c r="M650" s="13"/>
      <c r="N650" s="31"/>
      <c r="O650" s="14">
        <f t="shared" si="20"/>
        <v>-70</v>
      </c>
      <c r="P650" s="15">
        <f t="shared" si="21"/>
        <v>41803</v>
      </c>
      <c r="Q650" s="15"/>
      <c r="R650" s="16"/>
      <c r="S650" s="16"/>
    </row>
    <row r="651" spans="1:19" x14ac:dyDescent="0.25">
      <c r="A651" s="23" t="s">
        <v>16</v>
      </c>
      <c r="B651" s="23" t="s">
        <v>17</v>
      </c>
      <c r="C651" s="23" t="s">
        <v>18</v>
      </c>
      <c r="D651" s="8">
        <v>2014</v>
      </c>
      <c r="E651" s="21" t="s">
        <v>463</v>
      </c>
      <c r="F651" s="22">
        <v>41803</v>
      </c>
      <c r="G651" s="8" t="s">
        <v>249</v>
      </c>
      <c r="H651" s="11" t="s">
        <v>328</v>
      </c>
      <c r="I651" s="12">
        <v>-258</v>
      </c>
      <c r="J651" s="13" t="s">
        <v>38</v>
      </c>
      <c r="K651" s="13" t="s">
        <v>155</v>
      </c>
      <c r="L651" s="13" t="s">
        <v>91</v>
      </c>
      <c r="M651" s="13"/>
      <c r="N651" s="31"/>
      <c r="O651" s="14">
        <f t="shared" si="20"/>
        <v>-258</v>
      </c>
      <c r="P651" s="15">
        <f t="shared" si="21"/>
        <v>41803</v>
      </c>
      <c r="Q651" s="15"/>
      <c r="R651" s="16"/>
      <c r="S651" s="16"/>
    </row>
    <row r="652" spans="1:19" x14ac:dyDescent="0.25">
      <c r="A652" s="23" t="s">
        <v>16</v>
      </c>
      <c r="B652" s="23" t="s">
        <v>17</v>
      </c>
      <c r="C652" s="23" t="s">
        <v>18</v>
      </c>
      <c r="D652" s="8">
        <v>2014</v>
      </c>
      <c r="E652" s="9" t="s">
        <v>463</v>
      </c>
      <c r="F652" s="22">
        <v>41803</v>
      </c>
      <c r="G652" s="8" t="s">
        <v>249</v>
      </c>
      <c r="H652" s="11" t="s">
        <v>379</v>
      </c>
      <c r="I652" s="12">
        <v>-235</v>
      </c>
      <c r="J652" s="13" t="s">
        <v>38</v>
      </c>
      <c r="K652" s="13" t="s">
        <v>155</v>
      </c>
      <c r="L652" s="13" t="s">
        <v>91</v>
      </c>
      <c r="M652" s="13"/>
      <c r="N652" s="31"/>
      <c r="O652" s="14">
        <f t="shared" si="20"/>
        <v>-235</v>
      </c>
      <c r="P652" s="15">
        <f t="shared" si="21"/>
        <v>41803</v>
      </c>
      <c r="Q652" s="15"/>
      <c r="R652" s="26"/>
      <c r="S652" s="26"/>
    </row>
    <row r="653" spans="1:19" x14ac:dyDescent="0.25">
      <c r="A653" s="23" t="s">
        <v>16</v>
      </c>
      <c r="B653" s="23" t="s">
        <v>17</v>
      </c>
      <c r="C653" s="23" t="s">
        <v>18</v>
      </c>
      <c r="D653" s="8">
        <v>2014</v>
      </c>
      <c r="E653" s="21" t="s">
        <v>463</v>
      </c>
      <c r="F653" s="22">
        <v>41803</v>
      </c>
      <c r="G653" s="8" t="s">
        <v>249</v>
      </c>
      <c r="H653" s="11" t="s">
        <v>350</v>
      </c>
      <c r="I653" s="12">
        <v>-423</v>
      </c>
      <c r="J653" s="13" t="s">
        <v>38</v>
      </c>
      <c r="K653" s="13" t="s">
        <v>155</v>
      </c>
      <c r="L653" s="13" t="s">
        <v>91</v>
      </c>
      <c r="M653" s="13"/>
      <c r="N653" s="31"/>
      <c r="O653" s="14">
        <f t="shared" si="20"/>
        <v>-423</v>
      </c>
      <c r="P653" s="15">
        <f t="shared" si="21"/>
        <v>41803</v>
      </c>
      <c r="Q653" s="15"/>
      <c r="R653" s="26"/>
      <c r="S653" s="26"/>
    </row>
    <row r="654" spans="1:19" x14ac:dyDescent="0.25">
      <c r="A654" s="23" t="s">
        <v>16</v>
      </c>
      <c r="B654" s="23" t="s">
        <v>17</v>
      </c>
      <c r="C654" s="23" t="s">
        <v>18</v>
      </c>
      <c r="D654" s="8">
        <v>2014</v>
      </c>
      <c r="E654" s="9" t="s">
        <v>463</v>
      </c>
      <c r="F654" s="22">
        <v>41803</v>
      </c>
      <c r="G654" s="8" t="s">
        <v>249</v>
      </c>
      <c r="H654" s="11" t="s">
        <v>511</v>
      </c>
      <c r="I654" s="12">
        <v>-72</v>
      </c>
      <c r="J654" s="13" t="s">
        <v>38</v>
      </c>
      <c r="K654" s="13" t="s">
        <v>155</v>
      </c>
      <c r="L654" s="13" t="s">
        <v>91</v>
      </c>
      <c r="M654" s="13"/>
      <c r="N654" s="31"/>
      <c r="O654" s="14">
        <f t="shared" si="20"/>
        <v>-72</v>
      </c>
      <c r="P654" s="15">
        <f t="shared" si="21"/>
        <v>41803</v>
      </c>
      <c r="Q654" s="15"/>
      <c r="R654" s="26"/>
      <c r="S654" s="26"/>
    </row>
    <row r="655" spans="1:19" x14ac:dyDescent="0.25">
      <c r="A655" s="23" t="s">
        <v>16</v>
      </c>
      <c r="B655" s="23" t="s">
        <v>17</v>
      </c>
      <c r="C655" s="23" t="s">
        <v>18</v>
      </c>
      <c r="D655" s="8">
        <v>2014</v>
      </c>
      <c r="E655" s="21" t="s">
        <v>463</v>
      </c>
      <c r="F655" s="22">
        <v>41803</v>
      </c>
      <c r="G655" s="8" t="s">
        <v>249</v>
      </c>
      <c r="H655" s="11" t="s">
        <v>346</v>
      </c>
      <c r="I655" s="12">
        <v>-70</v>
      </c>
      <c r="J655" s="13" t="s">
        <v>38</v>
      </c>
      <c r="K655" s="13" t="s">
        <v>155</v>
      </c>
      <c r="L655" s="13" t="s">
        <v>91</v>
      </c>
      <c r="M655" s="13"/>
      <c r="N655" s="31"/>
      <c r="O655" s="14">
        <f t="shared" si="20"/>
        <v>-70</v>
      </c>
      <c r="P655" s="15">
        <f t="shared" si="21"/>
        <v>41803</v>
      </c>
      <c r="Q655" s="15"/>
      <c r="R655" s="26"/>
      <c r="S655" s="26"/>
    </row>
    <row r="656" spans="1:19" x14ac:dyDescent="0.25">
      <c r="A656" s="23" t="s">
        <v>16</v>
      </c>
      <c r="B656" s="23" t="s">
        <v>17</v>
      </c>
      <c r="C656" s="23" t="s">
        <v>18</v>
      </c>
      <c r="D656" s="8">
        <v>2014</v>
      </c>
      <c r="E656" s="9" t="s">
        <v>463</v>
      </c>
      <c r="F656" s="22">
        <v>41803</v>
      </c>
      <c r="G656" s="8" t="s">
        <v>249</v>
      </c>
      <c r="H656" s="11" t="s">
        <v>419</v>
      </c>
      <c r="I656" s="12">
        <v>-70</v>
      </c>
      <c r="J656" s="13" t="s">
        <v>38</v>
      </c>
      <c r="K656" s="13" t="s">
        <v>155</v>
      </c>
      <c r="L656" s="13" t="s">
        <v>91</v>
      </c>
      <c r="M656" s="13"/>
      <c r="N656" s="31"/>
      <c r="O656" s="14">
        <f t="shared" si="20"/>
        <v>-70</v>
      </c>
      <c r="P656" s="15">
        <f t="shared" si="21"/>
        <v>41803</v>
      </c>
      <c r="Q656" s="15"/>
      <c r="R656" s="26"/>
      <c r="S656" s="26"/>
    </row>
    <row r="657" spans="1:19" x14ac:dyDescent="0.25">
      <c r="A657" s="23" t="s">
        <v>16</v>
      </c>
      <c r="B657" s="23" t="s">
        <v>17</v>
      </c>
      <c r="C657" s="23" t="s">
        <v>18</v>
      </c>
      <c r="D657" s="8">
        <v>2014</v>
      </c>
      <c r="E657" s="21" t="s">
        <v>463</v>
      </c>
      <c r="F657" s="22">
        <v>41803</v>
      </c>
      <c r="G657" s="8" t="s">
        <v>249</v>
      </c>
      <c r="H657" s="11" t="s">
        <v>345</v>
      </c>
      <c r="I657" s="12">
        <v>-171</v>
      </c>
      <c r="J657" s="13" t="s">
        <v>38</v>
      </c>
      <c r="K657" s="13" t="s">
        <v>155</v>
      </c>
      <c r="L657" s="13" t="s">
        <v>91</v>
      </c>
      <c r="M657" s="13"/>
      <c r="N657" s="31"/>
      <c r="O657" s="14">
        <f t="shared" si="20"/>
        <v>-171</v>
      </c>
      <c r="P657" s="15">
        <f t="shared" si="21"/>
        <v>41803</v>
      </c>
      <c r="Q657" s="15"/>
      <c r="R657" s="26"/>
      <c r="S657" s="26"/>
    </row>
    <row r="658" spans="1:19" x14ac:dyDescent="0.25">
      <c r="A658" s="23" t="s">
        <v>16</v>
      </c>
      <c r="B658" s="23" t="s">
        <v>17</v>
      </c>
      <c r="C658" s="23" t="s">
        <v>18</v>
      </c>
      <c r="D658" s="8">
        <v>2014</v>
      </c>
      <c r="E658" s="9" t="s">
        <v>463</v>
      </c>
      <c r="F658" s="22">
        <v>41803</v>
      </c>
      <c r="G658" s="8" t="s">
        <v>249</v>
      </c>
      <c r="H658" s="11" t="s">
        <v>420</v>
      </c>
      <c r="I658" s="12">
        <v>-352</v>
      </c>
      <c r="J658" s="13" t="s">
        <v>38</v>
      </c>
      <c r="K658" s="13" t="s">
        <v>155</v>
      </c>
      <c r="L658" s="13" t="s">
        <v>91</v>
      </c>
      <c r="M658" s="13"/>
      <c r="N658" s="31"/>
      <c r="O658" s="14">
        <f t="shared" si="20"/>
        <v>-352</v>
      </c>
      <c r="P658" s="15">
        <f t="shared" si="21"/>
        <v>41803</v>
      </c>
      <c r="Q658" s="15"/>
      <c r="R658" s="16"/>
      <c r="S658" s="16"/>
    </row>
    <row r="659" spans="1:19" x14ac:dyDescent="0.25">
      <c r="A659" s="23" t="s">
        <v>16</v>
      </c>
      <c r="B659" s="23" t="s">
        <v>17</v>
      </c>
      <c r="C659" s="23" t="s">
        <v>18</v>
      </c>
      <c r="D659" s="8">
        <v>2014</v>
      </c>
      <c r="E659" s="21" t="s">
        <v>463</v>
      </c>
      <c r="F659" s="22">
        <v>41803</v>
      </c>
      <c r="G659" s="8" t="s">
        <v>249</v>
      </c>
      <c r="H659" s="11" t="s">
        <v>349</v>
      </c>
      <c r="I659" s="12">
        <v>-117</v>
      </c>
      <c r="J659" s="13" t="s">
        <v>38</v>
      </c>
      <c r="K659" s="13" t="s">
        <v>155</v>
      </c>
      <c r="L659" s="13" t="s">
        <v>91</v>
      </c>
      <c r="M659" s="13"/>
      <c r="N659" s="31"/>
      <c r="O659" s="14">
        <f t="shared" si="20"/>
        <v>-117</v>
      </c>
      <c r="P659" s="15">
        <f t="shared" si="21"/>
        <v>41803</v>
      </c>
      <c r="Q659" s="15"/>
      <c r="R659" s="26"/>
      <c r="S659" s="26"/>
    </row>
    <row r="660" spans="1:19" x14ac:dyDescent="0.25">
      <c r="A660" s="23" t="s">
        <v>16</v>
      </c>
      <c r="B660" s="23" t="s">
        <v>17</v>
      </c>
      <c r="C660" s="23" t="s">
        <v>18</v>
      </c>
      <c r="D660" s="8">
        <v>2014</v>
      </c>
      <c r="E660" s="9" t="s">
        <v>463</v>
      </c>
      <c r="F660" s="22">
        <v>41803</v>
      </c>
      <c r="G660" s="23" t="s">
        <v>249</v>
      </c>
      <c r="H660" s="13" t="s">
        <v>270</v>
      </c>
      <c r="I660" s="12">
        <v>-1500</v>
      </c>
      <c r="J660" s="13" t="s">
        <v>38</v>
      </c>
      <c r="K660" s="13" t="s">
        <v>90</v>
      </c>
      <c r="L660" s="13" t="s">
        <v>91</v>
      </c>
      <c r="M660" s="13"/>
      <c r="N660" s="31"/>
      <c r="O660" s="14">
        <f t="shared" si="20"/>
        <v>-1500</v>
      </c>
      <c r="P660" s="15">
        <f t="shared" si="21"/>
        <v>41803</v>
      </c>
      <c r="Q660" s="15"/>
      <c r="R660" s="26"/>
      <c r="S660" s="26"/>
    </row>
    <row r="661" spans="1:19" x14ac:dyDescent="0.25">
      <c r="A661" s="23" t="s">
        <v>16</v>
      </c>
      <c r="B661" s="23" t="s">
        <v>17</v>
      </c>
      <c r="C661" s="23" t="s">
        <v>18</v>
      </c>
      <c r="D661" s="8">
        <v>2014</v>
      </c>
      <c r="E661" s="21" t="s">
        <v>463</v>
      </c>
      <c r="F661" s="22">
        <v>41803</v>
      </c>
      <c r="G661" s="23" t="s">
        <v>249</v>
      </c>
      <c r="H661" s="13" t="s">
        <v>512</v>
      </c>
      <c r="I661" s="12">
        <v>-1000</v>
      </c>
      <c r="J661" s="13" t="s">
        <v>38</v>
      </c>
      <c r="K661" s="13" t="s">
        <v>90</v>
      </c>
      <c r="L661" s="13" t="s">
        <v>91</v>
      </c>
      <c r="M661" s="13"/>
      <c r="N661" s="31"/>
      <c r="O661" s="14">
        <f t="shared" si="20"/>
        <v>-1000</v>
      </c>
      <c r="P661" s="15">
        <f t="shared" si="21"/>
        <v>41803</v>
      </c>
      <c r="Q661" s="15"/>
      <c r="R661" s="26"/>
      <c r="S661" s="26"/>
    </row>
    <row r="662" spans="1:19" x14ac:dyDescent="0.25">
      <c r="A662" s="23" t="s">
        <v>16</v>
      </c>
      <c r="B662" s="23" t="s">
        <v>17</v>
      </c>
      <c r="C662" s="23" t="s">
        <v>18</v>
      </c>
      <c r="D662" s="8">
        <v>2014</v>
      </c>
      <c r="E662" s="9" t="s">
        <v>463</v>
      </c>
      <c r="F662" s="22">
        <v>41803</v>
      </c>
      <c r="G662" s="23" t="s">
        <v>249</v>
      </c>
      <c r="H662" s="13" t="s">
        <v>513</v>
      </c>
      <c r="I662" s="12">
        <v>-200</v>
      </c>
      <c r="J662" s="13" t="s">
        <v>38</v>
      </c>
      <c r="K662" s="13" t="s">
        <v>90</v>
      </c>
      <c r="L662" s="13" t="s">
        <v>91</v>
      </c>
      <c r="M662" s="13"/>
      <c r="N662" s="31"/>
      <c r="O662" s="14">
        <f t="shared" si="20"/>
        <v>-200</v>
      </c>
      <c r="P662" s="15">
        <f t="shared" si="21"/>
        <v>41803</v>
      </c>
      <c r="Q662" s="15"/>
      <c r="R662" s="26"/>
      <c r="S662" s="26"/>
    </row>
    <row r="663" spans="1:19" x14ac:dyDescent="0.25">
      <c r="A663" s="23" t="s">
        <v>16</v>
      </c>
      <c r="B663" s="23" t="s">
        <v>17</v>
      </c>
      <c r="C663" s="23" t="s">
        <v>18</v>
      </c>
      <c r="D663" s="8">
        <v>2014</v>
      </c>
      <c r="E663" s="21" t="s">
        <v>463</v>
      </c>
      <c r="F663" s="22">
        <v>41803</v>
      </c>
      <c r="G663" s="23" t="s">
        <v>249</v>
      </c>
      <c r="H663" s="13" t="s">
        <v>514</v>
      </c>
      <c r="I663" s="12">
        <v>-500</v>
      </c>
      <c r="J663" s="13" t="s">
        <v>38</v>
      </c>
      <c r="K663" s="13" t="s">
        <v>90</v>
      </c>
      <c r="L663" s="13" t="s">
        <v>91</v>
      </c>
      <c r="M663" s="13"/>
      <c r="N663" s="31"/>
      <c r="O663" s="14">
        <f t="shared" si="20"/>
        <v>-500</v>
      </c>
      <c r="P663" s="15">
        <f t="shared" si="21"/>
        <v>41803</v>
      </c>
      <c r="Q663" s="15"/>
      <c r="R663" s="26"/>
      <c r="S663" s="26"/>
    </row>
    <row r="664" spans="1:19" x14ac:dyDescent="0.25">
      <c r="A664" s="23" t="s">
        <v>16</v>
      </c>
      <c r="B664" s="23" t="s">
        <v>17</v>
      </c>
      <c r="C664" s="23" t="s">
        <v>18</v>
      </c>
      <c r="D664" s="8">
        <v>2014</v>
      </c>
      <c r="E664" s="9" t="s">
        <v>463</v>
      </c>
      <c r="F664" s="22">
        <v>41803</v>
      </c>
      <c r="G664" s="23" t="s">
        <v>249</v>
      </c>
      <c r="H664" s="13" t="s">
        <v>515</v>
      </c>
      <c r="I664" s="12">
        <v>-300</v>
      </c>
      <c r="J664" s="13" t="s">
        <v>38</v>
      </c>
      <c r="K664" s="13" t="s">
        <v>90</v>
      </c>
      <c r="L664" s="13" t="s">
        <v>91</v>
      </c>
      <c r="M664" s="13"/>
      <c r="N664" s="31"/>
      <c r="O664" s="14">
        <f t="shared" si="20"/>
        <v>-300</v>
      </c>
      <c r="P664" s="15">
        <f t="shared" si="21"/>
        <v>41803</v>
      </c>
      <c r="Q664" s="15"/>
      <c r="R664" s="26"/>
      <c r="S664" s="26"/>
    </row>
    <row r="665" spans="1:19" x14ac:dyDescent="0.25">
      <c r="A665" s="23" t="s">
        <v>16</v>
      </c>
      <c r="B665" s="23" t="s">
        <v>17</v>
      </c>
      <c r="C665" s="23" t="s">
        <v>18</v>
      </c>
      <c r="D665" s="8">
        <v>2014</v>
      </c>
      <c r="E665" s="21" t="s">
        <v>463</v>
      </c>
      <c r="F665" s="22">
        <v>41803</v>
      </c>
      <c r="G665" s="23" t="s">
        <v>249</v>
      </c>
      <c r="H665" s="13" t="s">
        <v>516</v>
      </c>
      <c r="I665" s="12">
        <v>-300</v>
      </c>
      <c r="J665" s="13" t="s">
        <v>38</v>
      </c>
      <c r="K665" s="13" t="s">
        <v>90</v>
      </c>
      <c r="L665" s="13" t="s">
        <v>91</v>
      </c>
      <c r="M665" s="13"/>
      <c r="N665" s="31"/>
      <c r="O665" s="14">
        <f t="shared" si="20"/>
        <v>-300</v>
      </c>
      <c r="P665" s="15">
        <f t="shared" si="21"/>
        <v>41803</v>
      </c>
      <c r="Q665" s="15"/>
      <c r="R665" s="26"/>
      <c r="S665" s="26"/>
    </row>
    <row r="666" spans="1:19" x14ac:dyDescent="0.25">
      <c r="A666" s="23" t="s">
        <v>16</v>
      </c>
      <c r="B666" s="23" t="s">
        <v>17</v>
      </c>
      <c r="C666" s="23" t="s">
        <v>51</v>
      </c>
      <c r="D666" s="8">
        <v>2014</v>
      </c>
      <c r="E666" s="9" t="s">
        <v>463</v>
      </c>
      <c r="F666" s="10">
        <v>41803</v>
      </c>
      <c r="G666" s="8">
        <v>11697</v>
      </c>
      <c r="H666" s="11" t="s">
        <v>284</v>
      </c>
      <c r="I666" s="12">
        <v>1000</v>
      </c>
      <c r="J666" s="13" t="s">
        <v>53</v>
      </c>
      <c r="K666" s="13" t="s">
        <v>54</v>
      </c>
      <c r="L666" s="13"/>
      <c r="M666" s="13"/>
      <c r="N666" s="31"/>
      <c r="O666" s="14">
        <f t="shared" si="20"/>
        <v>1000</v>
      </c>
      <c r="P666" s="15">
        <f t="shared" si="21"/>
        <v>41803</v>
      </c>
      <c r="Q666" s="15"/>
      <c r="R666" s="16"/>
      <c r="S666" s="16"/>
    </row>
    <row r="667" spans="1:19" x14ac:dyDescent="0.25">
      <c r="A667" s="8" t="s">
        <v>16</v>
      </c>
      <c r="B667" s="8" t="s">
        <v>17</v>
      </c>
      <c r="C667" s="8" t="s">
        <v>18</v>
      </c>
      <c r="D667" s="8">
        <v>2014</v>
      </c>
      <c r="E667" s="21" t="s">
        <v>463</v>
      </c>
      <c r="F667" s="10">
        <v>41804</v>
      </c>
      <c r="G667" s="23"/>
      <c r="H667" s="11" t="s">
        <v>487</v>
      </c>
      <c r="I667" s="12">
        <f>-250-900-850</f>
        <v>-2000</v>
      </c>
      <c r="J667" s="54" t="s">
        <v>21</v>
      </c>
      <c r="K667" s="54" t="s">
        <v>56</v>
      </c>
      <c r="L667" s="54" t="s">
        <v>57</v>
      </c>
      <c r="M667" s="13" t="s">
        <v>386</v>
      </c>
      <c r="N667" s="14"/>
      <c r="O667" s="14">
        <f t="shared" si="20"/>
        <v>-2000</v>
      </c>
      <c r="P667" s="15">
        <f t="shared" si="21"/>
        <v>41804</v>
      </c>
      <c r="Q667" s="15"/>
      <c r="R667" s="16"/>
      <c r="S667" s="16"/>
    </row>
    <row r="668" spans="1:19" x14ac:dyDescent="0.25">
      <c r="A668" s="23" t="s">
        <v>16</v>
      </c>
      <c r="B668" s="23" t="s">
        <v>17</v>
      </c>
      <c r="C668" s="23" t="s">
        <v>51</v>
      </c>
      <c r="D668" s="8">
        <v>2014</v>
      </c>
      <c r="E668" s="9" t="s">
        <v>463</v>
      </c>
      <c r="F668" s="10">
        <v>41804</v>
      </c>
      <c r="G668" s="8">
        <v>11783</v>
      </c>
      <c r="H668" s="11" t="s">
        <v>517</v>
      </c>
      <c r="I668" s="12">
        <v>11000</v>
      </c>
      <c r="J668" s="13" t="s">
        <v>53</v>
      </c>
      <c r="K668" s="13" t="s">
        <v>54</v>
      </c>
      <c r="L668" s="13"/>
      <c r="M668" s="13"/>
      <c r="N668" s="31"/>
      <c r="O668" s="14">
        <f t="shared" si="20"/>
        <v>11000</v>
      </c>
      <c r="P668" s="15">
        <f t="shared" si="21"/>
        <v>41804</v>
      </c>
      <c r="Q668" s="15"/>
      <c r="R668" s="16"/>
      <c r="S668" s="16"/>
    </row>
    <row r="669" spans="1:19" x14ac:dyDescent="0.25">
      <c r="A669" s="23" t="s">
        <v>16</v>
      </c>
      <c r="B669" s="23" t="s">
        <v>17</v>
      </c>
      <c r="C669" s="23" t="s">
        <v>51</v>
      </c>
      <c r="D669" s="8">
        <v>2014</v>
      </c>
      <c r="E669" s="21" t="s">
        <v>463</v>
      </c>
      <c r="F669" s="10">
        <v>41804</v>
      </c>
      <c r="G669" s="8">
        <v>11730</v>
      </c>
      <c r="H669" s="11" t="s">
        <v>394</v>
      </c>
      <c r="I669" s="12">
        <v>1600</v>
      </c>
      <c r="J669" s="13" t="s">
        <v>53</v>
      </c>
      <c r="K669" s="13" t="s">
        <v>54</v>
      </c>
      <c r="L669" s="13"/>
      <c r="M669" s="13"/>
      <c r="N669" s="31"/>
      <c r="O669" s="14">
        <f t="shared" si="20"/>
        <v>1600</v>
      </c>
      <c r="P669" s="15">
        <f t="shared" si="21"/>
        <v>41804</v>
      </c>
      <c r="Q669" s="15"/>
      <c r="R669" s="16"/>
      <c r="S669" s="16"/>
    </row>
    <row r="670" spans="1:19" x14ac:dyDescent="0.25">
      <c r="A670" s="8" t="s">
        <v>16</v>
      </c>
      <c r="B670" s="8" t="s">
        <v>17</v>
      </c>
      <c r="C670" s="8" t="s">
        <v>18</v>
      </c>
      <c r="D670" s="8">
        <v>2014</v>
      </c>
      <c r="E670" s="9" t="s">
        <v>463</v>
      </c>
      <c r="F670" s="10">
        <v>41804</v>
      </c>
      <c r="G670" s="23"/>
      <c r="H670" s="13" t="s">
        <v>363</v>
      </c>
      <c r="I670" s="12">
        <v>-180</v>
      </c>
      <c r="J670" s="13" t="s">
        <v>21</v>
      </c>
      <c r="K670" s="13" t="s">
        <v>22</v>
      </c>
      <c r="L670" s="13" t="s">
        <v>23</v>
      </c>
      <c r="M670" s="13"/>
      <c r="N670" s="31"/>
      <c r="O670" s="14">
        <f t="shared" si="20"/>
        <v>-180</v>
      </c>
      <c r="P670" s="15">
        <f t="shared" si="21"/>
        <v>41804</v>
      </c>
      <c r="Q670" s="15"/>
      <c r="R670" s="16"/>
      <c r="S670" s="16"/>
    </row>
    <row r="671" spans="1:19" x14ac:dyDescent="0.25">
      <c r="A671" s="23" t="s">
        <v>16</v>
      </c>
      <c r="B671" s="23" t="s">
        <v>17</v>
      </c>
      <c r="C671" s="23" t="s">
        <v>51</v>
      </c>
      <c r="D671" s="8">
        <v>2014</v>
      </c>
      <c r="E671" s="21" t="s">
        <v>463</v>
      </c>
      <c r="F671" s="10">
        <v>41804</v>
      </c>
      <c r="G671" s="8">
        <v>11734</v>
      </c>
      <c r="H671" s="11" t="s">
        <v>391</v>
      </c>
      <c r="I671" s="12">
        <v>4000</v>
      </c>
      <c r="J671" s="13" t="s">
        <v>53</v>
      </c>
      <c r="K671" s="13" t="s">
        <v>54</v>
      </c>
      <c r="L671" s="13"/>
      <c r="M671" s="13"/>
      <c r="N671" s="31"/>
      <c r="O671" s="14">
        <f t="shared" si="20"/>
        <v>4000</v>
      </c>
      <c r="P671" s="15">
        <f t="shared" si="21"/>
        <v>41804</v>
      </c>
      <c r="Q671" s="15"/>
      <c r="R671" s="16"/>
      <c r="S671" s="16"/>
    </row>
    <row r="672" spans="1:19" x14ac:dyDescent="0.25">
      <c r="A672" s="23" t="s">
        <v>16</v>
      </c>
      <c r="B672" s="23" t="s">
        <v>17</v>
      </c>
      <c r="C672" s="23" t="s">
        <v>51</v>
      </c>
      <c r="D672" s="8">
        <v>2014</v>
      </c>
      <c r="E672" s="9" t="s">
        <v>463</v>
      </c>
      <c r="F672" s="10">
        <v>41804</v>
      </c>
      <c r="G672" s="8">
        <v>11657</v>
      </c>
      <c r="H672" s="11" t="s">
        <v>296</v>
      </c>
      <c r="I672" s="12">
        <v>9800</v>
      </c>
      <c r="J672" s="13" t="s">
        <v>53</v>
      </c>
      <c r="K672" s="13" t="s">
        <v>54</v>
      </c>
      <c r="L672" s="13"/>
      <c r="M672" s="13"/>
      <c r="N672" s="31"/>
      <c r="O672" s="14">
        <f t="shared" si="20"/>
        <v>9800</v>
      </c>
      <c r="P672" s="15">
        <f t="shared" si="21"/>
        <v>41804</v>
      </c>
      <c r="Q672" s="15"/>
      <c r="R672" s="16"/>
      <c r="S672" s="16"/>
    </row>
    <row r="673" spans="1:19" x14ac:dyDescent="0.25">
      <c r="A673" s="8" t="s">
        <v>16</v>
      </c>
      <c r="B673" s="8" t="s">
        <v>17</v>
      </c>
      <c r="C673" s="8" t="s">
        <v>18</v>
      </c>
      <c r="D673" s="8">
        <v>2014</v>
      </c>
      <c r="E673" s="21" t="s">
        <v>463</v>
      </c>
      <c r="F673" s="10">
        <v>41804</v>
      </c>
      <c r="G673" s="23"/>
      <c r="H673" s="11" t="s">
        <v>269</v>
      </c>
      <c r="I673" s="12">
        <f>-680-8-6-80-8-6</f>
        <v>-788</v>
      </c>
      <c r="J673" s="20" t="s">
        <v>21</v>
      </c>
      <c r="K673" s="20" t="s">
        <v>56</v>
      </c>
      <c r="L673" s="20" t="s">
        <v>57</v>
      </c>
      <c r="M673" s="13" t="s">
        <v>386</v>
      </c>
      <c r="N673" s="14"/>
      <c r="O673" s="14">
        <f t="shared" si="20"/>
        <v>-788</v>
      </c>
      <c r="P673" s="15">
        <f t="shared" si="21"/>
        <v>41804</v>
      </c>
      <c r="Q673" s="15"/>
      <c r="R673" s="16"/>
      <c r="S673" s="16"/>
    </row>
    <row r="674" spans="1:19" x14ac:dyDescent="0.25">
      <c r="A674" s="8" t="s">
        <v>16</v>
      </c>
      <c r="B674" s="8" t="s">
        <v>17</v>
      </c>
      <c r="C674" s="36" t="s">
        <v>18</v>
      </c>
      <c r="D674" s="8">
        <v>2014</v>
      </c>
      <c r="E674" s="9" t="s">
        <v>463</v>
      </c>
      <c r="F674" s="10">
        <v>41806</v>
      </c>
      <c r="G674" s="8"/>
      <c r="H674" s="11" t="s">
        <v>29</v>
      </c>
      <c r="I674" s="12">
        <v>-9000</v>
      </c>
      <c r="J674" s="13" t="s">
        <v>21</v>
      </c>
      <c r="K674" s="13" t="s">
        <v>30</v>
      </c>
      <c r="L674" s="13" t="s">
        <v>31</v>
      </c>
      <c r="M674" s="13" t="s">
        <v>28</v>
      </c>
      <c r="N674" s="14"/>
      <c r="O674" s="14">
        <f t="shared" si="20"/>
        <v>-9000</v>
      </c>
      <c r="P674" s="15">
        <f t="shared" si="21"/>
        <v>41806</v>
      </c>
      <c r="Q674" s="15"/>
      <c r="R674" s="16"/>
      <c r="S674" s="16"/>
    </row>
    <row r="675" spans="1:19" x14ac:dyDescent="0.25">
      <c r="A675" s="23" t="s">
        <v>16</v>
      </c>
      <c r="B675" s="23" t="s">
        <v>17</v>
      </c>
      <c r="C675" s="23" t="s">
        <v>51</v>
      </c>
      <c r="D675" s="8">
        <v>2014</v>
      </c>
      <c r="E675" s="21" t="s">
        <v>463</v>
      </c>
      <c r="F675" s="10">
        <v>41806</v>
      </c>
      <c r="G675" s="8">
        <v>11707</v>
      </c>
      <c r="H675" s="11" t="s">
        <v>518</v>
      </c>
      <c r="I675" s="12">
        <v>5560</v>
      </c>
      <c r="J675" s="13" t="s">
        <v>53</v>
      </c>
      <c r="K675" s="13" t="s">
        <v>54</v>
      </c>
      <c r="L675" s="13"/>
      <c r="M675" s="13"/>
      <c r="N675" s="31"/>
      <c r="O675" s="14">
        <f t="shared" si="20"/>
        <v>5560</v>
      </c>
      <c r="P675" s="15">
        <f t="shared" si="21"/>
        <v>41806</v>
      </c>
      <c r="Q675" s="15"/>
      <c r="R675" s="16"/>
      <c r="S675" s="16"/>
    </row>
    <row r="676" spans="1:19" x14ac:dyDescent="0.25">
      <c r="A676" s="8" t="s">
        <v>16</v>
      </c>
      <c r="B676" s="8" t="s">
        <v>17</v>
      </c>
      <c r="C676" s="8" t="s">
        <v>18</v>
      </c>
      <c r="D676" s="8">
        <v>2014</v>
      </c>
      <c r="E676" s="9" t="s">
        <v>463</v>
      </c>
      <c r="F676" s="10">
        <v>41806</v>
      </c>
      <c r="G676" s="23"/>
      <c r="H676" s="17" t="s">
        <v>62</v>
      </c>
      <c r="I676" s="12">
        <f>-35-45-32-36</f>
        <v>-148</v>
      </c>
      <c r="J676" s="13" t="s">
        <v>21</v>
      </c>
      <c r="K676" s="13" t="s">
        <v>63</v>
      </c>
      <c r="L676" s="13" t="s">
        <v>64</v>
      </c>
      <c r="M676" s="13"/>
      <c r="N676" s="14"/>
      <c r="O676" s="14">
        <f t="shared" si="20"/>
        <v>-148</v>
      </c>
      <c r="P676" s="15">
        <f t="shared" si="21"/>
        <v>41806</v>
      </c>
      <c r="Q676" s="15"/>
      <c r="R676" s="16"/>
      <c r="S676" s="16"/>
    </row>
    <row r="677" spans="1:19" x14ac:dyDescent="0.25">
      <c r="A677" s="23" t="s">
        <v>16</v>
      </c>
      <c r="B677" s="23" t="s">
        <v>17</v>
      </c>
      <c r="C677" s="23" t="s">
        <v>18</v>
      </c>
      <c r="D677" s="8">
        <v>2014</v>
      </c>
      <c r="E677" s="21" t="s">
        <v>463</v>
      </c>
      <c r="F677" s="10">
        <v>41806</v>
      </c>
      <c r="G677" s="8"/>
      <c r="H677" s="11" t="s">
        <v>399</v>
      </c>
      <c r="I677" s="12">
        <f>-46-100-80-100</f>
        <v>-326</v>
      </c>
      <c r="J677" s="13" t="s">
        <v>21</v>
      </c>
      <c r="K677" s="13" t="s">
        <v>56</v>
      </c>
      <c r="L677" s="13" t="s">
        <v>111</v>
      </c>
      <c r="M677" s="13" t="s">
        <v>28</v>
      </c>
      <c r="N677" s="31"/>
      <c r="O677" s="14">
        <f t="shared" si="20"/>
        <v>-326</v>
      </c>
      <c r="P677" s="15">
        <f t="shared" si="21"/>
        <v>41806</v>
      </c>
      <c r="Q677" s="15"/>
      <c r="R677" s="16"/>
      <c r="S677" s="16"/>
    </row>
    <row r="678" spans="1:19" x14ac:dyDescent="0.25">
      <c r="A678" s="8" t="s">
        <v>16</v>
      </c>
      <c r="B678" s="8" t="s">
        <v>17</v>
      </c>
      <c r="C678" s="8" t="s">
        <v>18</v>
      </c>
      <c r="D678" s="8">
        <v>2014</v>
      </c>
      <c r="E678" s="9" t="s">
        <v>463</v>
      </c>
      <c r="F678" s="10">
        <v>41806</v>
      </c>
      <c r="G678" s="8"/>
      <c r="H678" s="17" t="s">
        <v>519</v>
      </c>
      <c r="I678" s="12">
        <v>-373.21</v>
      </c>
      <c r="J678" s="13" t="s">
        <v>21</v>
      </c>
      <c r="K678" s="13" t="s">
        <v>63</v>
      </c>
      <c r="L678" s="13" t="s">
        <v>64</v>
      </c>
      <c r="M678" s="13"/>
      <c r="N678" s="14"/>
      <c r="O678" s="14">
        <f t="shared" si="20"/>
        <v>-373.21</v>
      </c>
      <c r="P678" s="15">
        <f t="shared" si="21"/>
        <v>41806</v>
      </c>
      <c r="Q678" s="15"/>
      <c r="R678" s="16"/>
      <c r="S678" s="16"/>
    </row>
    <row r="679" spans="1:19" x14ac:dyDescent="0.25">
      <c r="A679" s="23" t="s">
        <v>16</v>
      </c>
      <c r="B679" s="23" t="s">
        <v>17</v>
      </c>
      <c r="C679" s="23" t="s">
        <v>51</v>
      </c>
      <c r="D679" s="8">
        <v>2014</v>
      </c>
      <c r="E679" s="21" t="s">
        <v>463</v>
      </c>
      <c r="F679" s="10">
        <v>41807</v>
      </c>
      <c r="G679" s="8">
        <v>11684</v>
      </c>
      <c r="H679" s="11" t="s">
        <v>520</v>
      </c>
      <c r="I679" s="12">
        <v>430</v>
      </c>
      <c r="J679" s="13" t="s">
        <v>53</v>
      </c>
      <c r="K679" s="13" t="s">
        <v>54</v>
      </c>
      <c r="L679" s="13"/>
      <c r="M679" s="13"/>
      <c r="N679" s="31"/>
      <c r="O679" s="14">
        <f t="shared" si="20"/>
        <v>430</v>
      </c>
      <c r="P679" s="15">
        <f t="shared" si="21"/>
        <v>41807</v>
      </c>
      <c r="Q679" s="15"/>
      <c r="R679" s="16"/>
      <c r="S679" s="16"/>
    </row>
    <row r="680" spans="1:19" x14ac:dyDescent="0.25">
      <c r="A680" s="8" t="s">
        <v>16</v>
      </c>
      <c r="B680" s="8" t="s">
        <v>17</v>
      </c>
      <c r="C680" s="8" t="s">
        <v>18</v>
      </c>
      <c r="D680" s="8">
        <v>2014</v>
      </c>
      <c r="E680" s="9" t="s">
        <v>463</v>
      </c>
      <c r="F680" s="10">
        <v>41807</v>
      </c>
      <c r="G680" s="23"/>
      <c r="H680" s="13" t="s">
        <v>363</v>
      </c>
      <c r="I680" s="12">
        <v>-200</v>
      </c>
      <c r="J680" s="13" t="s">
        <v>21</v>
      </c>
      <c r="K680" s="13" t="s">
        <v>22</v>
      </c>
      <c r="L680" s="13" t="s">
        <v>23</v>
      </c>
      <c r="M680" s="13"/>
      <c r="N680" s="31"/>
      <c r="O680" s="14">
        <f t="shared" si="20"/>
        <v>-200</v>
      </c>
      <c r="P680" s="15">
        <f t="shared" si="21"/>
        <v>41807</v>
      </c>
      <c r="Q680" s="15"/>
      <c r="R680" s="16"/>
      <c r="S680" s="16"/>
    </row>
    <row r="681" spans="1:19" x14ac:dyDescent="0.25">
      <c r="A681" s="23" t="s">
        <v>16</v>
      </c>
      <c r="B681" s="23" t="s">
        <v>17</v>
      </c>
      <c r="C681" s="23" t="s">
        <v>18</v>
      </c>
      <c r="D681" s="8">
        <v>2014</v>
      </c>
      <c r="E681" s="21" t="s">
        <v>463</v>
      </c>
      <c r="F681" s="10">
        <v>41807</v>
      </c>
      <c r="G681" s="23" t="s">
        <v>249</v>
      </c>
      <c r="H681" s="13" t="s">
        <v>270</v>
      </c>
      <c r="I681" s="12">
        <v>-447</v>
      </c>
      <c r="J681" s="13" t="s">
        <v>38</v>
      </c>
      <c r="K681" s="13" t="s">
        <v>90</v>
      </c>
      <c r="L681" s="13" t="s">
        <v>91</v>
      </c>
      <c r="M681" s="13"/>
      <c r="N681" s="31"/>
      <c r="O681" s="14">
        <f t="shared" si="20"/>
        <v>-447</v>
      </c>
      <c r="P681" s="15">
        <f t="shared" si="21"/>
        <v>41807</v>
      </c>
      <c r="Q681" s="15"/>
      <c r="R681" s="26"/>
      <c r="S681" s="26"/>
    </row>
    <row r="682" spans="1:19" x14ac:dyDescent="0.25">
      <c r="A682" s="23" t="s">
        <v>16</v>
      </c>
      <c r="B682" s="23" t="s">
        <v>17</v>
      </c>
      <c r="C682" s="23" t="s">
        <v>18</v>
      </c>
      <c r="D682" s="8">
        <v>2014</v>
      </c>
      <c r="E682" s="9" t="s">
        <v>463</v>
      </c>
      <c r="F682" s="10">
        <v>41807</v>
      </c>
      <c r="G682" s="23" t="s">
        <v>249</v>
      </c>
      <c r="H682" s="13" t="s">
        <v>270</v>
      </c>
      <c r="I682" s="12">
        <v>-400</v>
      </c>
      <c r="J682" s="13" t="s">
        <v>38</v>
      </c>
      <c r="K682" s="13" t="s">
        <v>90</v>
      </c>
      <c r="L682" s="13" t="s">
        <v>91</v>
      </c>
      <c r="M682" s="13"/>
      <c r="N682" s="31"/>
      <c r="O682" s="14">
        <f t="shared" si="20"/>
        <v>-400</v>
      </c>
      <c r="P682" s="15">
        <f t="shared" si="21"/>
        <v>41807</v>
      </c>
      <c r="Q682" s="15"/>
      <c r="R682" s="26"/>
      <c r="S682" s="26"/>
    </row>
    <row r="683" spans="1:19" x14ac:dyDescent="0.25">
      <c r="A683" s="23" t="s">
        <v>16</v>
      </c>
      <c r="B683" s="23" t="s">
        <v>17</v>
      </c>
      <c r="C683" s="23" t="s">
        <v>18</v>
      </c>
      <c r="D683" s="8">
        <v>2014</v>
      </c>
      <c r="E683" s="21" t="s">
        <v>463</v>
      </c>
      <c r="F683" s="10">
        <v>41807</v>
      </c>
      <c r="G683" s="8"/>
      <c r="H683" s="11" t="s">
        <v>377</v>
      </c>
      <c r="I683" s="12">
        <v>-460</v>
      </c>
      <c r="J683" s="13" t="s">
        <v>21</v>
      </c>
      <c r="K683" s="13" t="s">
        <v>56</v>
      </c>
      <c r="L683" s="13" t="s">
        <v>111</v>
      </c>
      <c r="M683" s="13" t="s">
        <v>28</v>
      </c>
      <c r="N683" s="14"/>
      <c r="O683" s="14">
        <f t="shared" si="20"/>
        <v>-460</v>
      </c>
      <c r="P683" s="15">
        <f t="shared" si="21"/>
        <v>41807</v>
      </c>
      <c r="Q683" s="15"/>
      <c r="R683" s="16"/>
      <c r="S683" s="16"/>
    </row>
    <row r="684" spans="1:19" x14ac:dyDescent="0.25">
      <c r="A684" s="8" t="s">
        <v>16</v>
      </c>
      <c r="B684" s="8" t="s">
        <v>17</v>
      </c>
      <c r="C684" s="8" t="s">
        <v>18</v>
      </c>
      <c r="D684" s="8">
        <v>2014</v>
      </c>
      <c r="E684" s="9" t="s">
        <v>463</v>
      </c>
      <c r="F684" s="10">
        <v>41807</v>
      </c>
      <c r="G684" s="23"/>
      <c r="H684" s="11" t="s">
        <v>521</v>
      </c>
      <c r="I684" s="12">
        <v>-450</v>
      </c>
      <c r="J684" s="54" t="s">
        <v>21</v>
      </c>
      <c r="K684" s="54" t="s">
        <v>56</v>
      </c>
      <c r="L684" s="54" t="s">
        <v>57</v>
      </c>
      <c r="M684" s="13" t="s">
        <v>386</v>
      </c>
      <c r="N684" s="14"/>
      <c r="O684" s="14">
        <f t="shared" si="20"/>
        <v>-450</v>
      </c>
      <c r="P684" s="15">
        <f t="shared" si="21"/>
        <v>41807</v>
      </c>
      <c r="Q684" s="15"/>
      <c r="R684" s="16"/>
      <c r="S684" s="16"/>
    </row>
    <row r="685" spans="1:19" x14ac:dyDescent="0.25">
      <c r="A685" s="8" t="s">
        <v>16</v>
      </c>
      <c r="B685" s="8" t="s">
        <v>17</v>
      </c>
      <c r="C685" s="8" t="s">
        <v>18</v>
      </c>
      <c r="D685" s="8">
        <v>2014</v>
      </c>
      <c r="E685" s="21" t="s">
        <v>463</v>
      </c>
      <c r="F685" s="10">
        <v>41807</v>
      </c>
      <c r="G685" s="23"/>
      <c r="H685" s="11" t="s">
        <v>510</v>
      </c>
      <c r="I685" s="12">
        <v>-102</v>
      </c>
      <c r="J685" s="54" t="s">
        <v>21</v>
      </c>
      <c r="K685" s="54" t="s">
        <v>56</v>
      </c>
      <c r="L685" s="54" t="s">
        <v>57</v>
      </c>
      <c r="M685" s="13" t="s">
        <v>386</v>
      </c>
      <c r="N685" s="14"/>
      <c r="O685" s="14">
        <f t="shared" si="20"/>
        <v>-102</v>
      </c>
      <c r="P685" s="15">
        <f t="shared" si="21"/>
        <v>41807</v>
      </c>
      <c r="Q685" s="15"/>
      <c r="R685" s="16"/>
      <c r="S685" s="16"/>
    </row>
    <row r="686" spans="1:19" x14ac:dyDescent="0.25">
      <c r="A686" s="8" t="s">
        <v>16</v>
      </c>
      <c r="B686" s="8" t="s">
        <v>17</v>
      </c>
      <c r="C686" s="8" t="s">
        <v>18</v>
      </c>
      <c r="D686" s="8">
        <v>2014</v>
      </c>
      <c r="E686" s="9" t="s">
        <v>463</v>
      </c>
      <c r="F686" s="10">
        <v>41807</v>
      </c>
      <c r="G686" s="23"/>
      <c r="H686" s="11" t="s">
        <v>269</v>
      </c>
      <c r="I686" s="12">
        <f>-350-300</f>
        <v>-650</v>
      </c>
      <c r="J686" s="20" t="s">
        <v>21</v>
      </c>
      <c r="K686" s="20" t="s">
        <v>56</v>
      </c>
      <c r="L686" s="20" t="s">
        <v>57</v>
      </c>
      <c r="M686" s="13" t="s">
        <v>386</v>
      </c>
      <c r="N686" s="14"/>
      <c r="O686" s="14">
        <f t="shared" si="20"/>
        <v>-650</v>
      </c>
      <c r="P686" s="15">
        <f t="shared" si="21"/>
        <v>41807</v>
      </c>
      <c r="Q686" s="15"/>
      <c r="R686" s="16"/>
      <c r="S686" s="16"/>
    </row>
    <row r="687" spans="1:19" x14ac:dyDescent="0.25">
      <c r="A687" s="8" t="s">
        <v>16</v>
      </c>
      <c r="B687" s="8" t="s">
        <v>17</v>
      </c>
      <c r="C687" s="8" t="s">
        <v>18</v>
      </c>
      <c r="D687" s="8">
        <v>2014</v>
      </c>
      <c r="E687" s="21" t="s">
        <v>463</v>
      </c>
      <c r="F687" s="10">
        <v>41807</v>
      </c>
      <c r="G687" s="23"/>
      <c r="H687" s="11" t="s">
        <v>487</v>
      </c>
      <c r="I687" s="12">
        <v>-800</v>
      </c>
      <c r="J687" s="54" t="s">
        <v>21</v>
      </c>
      <c r="K687" s="54" t="s">
        <v>56</v>
      </c>
      <c r="L687" s="54" t="s">
        <v>57</v>
      </c>
      <c r="M687" s="13" t="s">
        <v>386</v>
      </c>
      <c r="N687" s="14"/>
      <c r="O687" s="14">
        <f t="shared" si="20"/>
        <v>-800</v>
      </c>
      <c r="P687" s="15">
        <f t="shared" si="21"/>
        <v>41807</v>
      </c>
      <c r="Q687" s="15"/>
      <c r="R687" s="16"/>
      <c r="S687" s="16"/>
    </row>
    <row r="688" spans="1:19" x14ac:dyDescent="0.25">
      <c r="A688" s="8" t="s">
        <v>16</v>
      </c>
      <c r="B688" s="8" t="s">
        <v>17</v>
      </c>
      <c r="C688" s="8" t="s">
        <v>18</v>
      </c>
      <c r="D688" s="8">
        <v>2014</v>
      </c>
      <c r="E688" s="9" t="s">
        <v>463</v>
      </c>
      <c r="F688" s="10">
        <v>41807</v>
      </c>
      <c r="G688" s="23"/>
      <c r="H688" s="11" t="s">
        <v>487</v>
      </c>
      <c r="I688" s="12">
        <f>-450-900</f>
        <v>-1350</v>
      </c>
      <c r="J688" s="54" t="s">
        <v>21</v>
      </c>
      <c r="K688" s="54" t="s">
        <v>56</v>
      </c>
      <c r="L688" s="54" t="s">
        <v>57</v>
      </c>
      <c r="M688" s="13" t="s">
        <v>386</v>
      </c>
      <c r="N688" s="14"/>
      <c r="O688" s="14">
        <f t="shared" si="20"/>
        <v>-1350</v>
      </c>
      <c r="P688" s="15">
        <f t="shared" si="21"/>
        <v>41807</v>
      </c>
      <c r="Q688" s="15"/>
      <c r="R688" s="16"/>
      <c r="S688" s="16"/>
    </row>
    <row r="689" spans="1:19" x14ac:dyDescent="0.25">
      <c r="A689" s="23" t="s">
        <v>16</v>
      </c>
      <c r="B689" s="23" t="s">
        <v>17</v>
      </c>
      <c r="C689" s="23" t="s">
        <v>51</v>
      </c>
      <c r="D689" s="8">
        <v>2014</v>
      </c>
      <c r="E689" s="21" t="s">
        <v>463</v>
      </c>
      <c r="F689" s="10">
        <v>41808</v>
      </c>
      <c r="G689" s="8">
        <v>11785</v>
      </c>
      <c r="H689" s="11" t="s">
        <v>522</v>
      </c>
      <c r="I689" s="12">
        <v>2000</v>
      </c>
      <c r="J689" s="13" t="s">
        <v>53</v>
      </c>
      <c r="K689" s="13" t="s">
        <v>54</v>
      </c>
      <c r="L689" s="13"/>
      <c r="M689" s="13"/>
      <c r="N689" s="31"/>
      <c r="O689" s="14">
        <f t="shared" si="20"/>
        <v>2000</v>
      </c>
      <c r="P689" s="15">
        <f t="shared" si="21"/>
        <v>41808</v>
      </c>
      <c r="Q689" s="56"/>
      <c r="R689" s="16"/>
      <c r="S689" s="16"/>
    </row>
    <row r="690" spans="1:19" x14ac:dyDescent="0.25">
      <c r="A690" s="23" t="s">
        <v>16</v>
      </c>
      <c r="B690" s="23" t="s">
        <v>17</v>
      </c>
      <c r="C690" s="23" t="s">
        <v>18</v>
      </c>
      <c r="D690" s="8">
        <v>2014</v>
      </c>
      <c r="E690" s="9" t="s">
        <v>463</v>
      </c>
      <c r="F690" s="10">
        <v>41808</v>
      </c>
      <c r="G690" s="23" t="s">
        <v>249</v>
      </c>
      <c r="H690" s="13" t="s">
        <v>122</v>
      </c>
      <c r="I690" s="12">
        <v>-4000</v>
      </c>
      <c r="J690" s="13" t="s">
        <v>33</v>
      </c>
      <c r="K690" s="13" t="s">
        <v>123</v>
      </c>
      <c r="L690" s="13" t="s">
        <v>124</v>
      </c>
      <c r="M690" s="25" t="s">
        <v>125</v>
      </c>
      <c r="N690" s="31"/>
      <c r="O690" s="14">
        <f t="shared" si="20"/>
        <v>-4000</v>
      </c>
      <c r="P690" s="15">
        <f t="shared" si="21"/>
        <v>41808</v>
      </c>
      <c r="Q690" s="15"/>
      <c r="R690" s="16"/>
      <c r="S690" s="16"/>
    </row>
    <row r="691" spans="1:19" x14ac:dyDescent="0.25">
      <c r="A691" s="23" t="s">
        <v>16</v>
      </c>
      <c r="B691" s="23" t="s">
        <v>17</v>
      </c>
      <c r="C691" s="23" t="s">
        <v>18</v>
      </c>
      <c r="D691" s="8">
        <v>2014</v>
      </c>
      <c r="E691" s="21" t="s">
        <v>463</v>
      </c>
      <c r="F691" s="10">
        <v>41808</v>
      </c>
      <c r="G691" s="8" t="s">
        <v>249</v>
      </c>
      <c r="H691" s="11" t="s">
        <v>340</v>
      </c>
      <c r="I691" s="12">
        <f>-600-12-12</f>
        <v>-624</v>
      </c>
      <c r="J691" s="13" t="s">
        <v>21</v>
      </c>
      <c r="K691" s="13" t="s">
        <v>56</v>
      </c>
      <c r="L691" s="13" t="s">
        <v>57</v>
      </c>
      <c r="M691" s="13"/>
      <c r="N691" s="14"/>
      <c r="O691" s="14">
        <f t="shared" si="20"/>
        <v>-624</v>
      </c>
      <c r="P691" s="15">
        <f t="shared" si="21"/>
        <v>41808</v>
      </c>
      <c r="Q691" s="15"/>
      <c r="R691" s="16"/>
      <c r="S691" s="16"/>
    </row>
    <row r="692" spans="1:19" x14ac:dyDescent="0.25">
      <c r="A692" s="23" t="s">
        <v>16</v>
      </c>
      <c r="B692" s="23" t="s">
        <v>17</v>
      </c>
      <c r="C692" s="23" t="s">
        <v>51</v>
      </c>
      <c r="D692" s="8">
        <v>2014</v>
      </c>
      <c r="E692" s="9" t="s">
        <v>463</v>
      </c>
      <c r="F692" s="30">
        <v>41809</v>
      </c>
      <c r="G692" s="8">
        <v>11785</v>
      </c>
      <c r="H692" s="11" t="s">
        <v>522</v>
      </c>
      <c r="I692" s="12">
        <v>23000</v>
      </c>
      <c r="J692" s="13" t="s">
        <v>53</v>
      </c>
      <c r="K692" s="13" t="s">
        <v>54</v>
      </c>
      <c r="L692" s="13"/>
      <c r="M692" s="13"/>
      <c r="N692" s="31"/>
      <c r="O692" s="14">
        <f t="shared" si="20"/>
        <v>23000</v>
      </c>
      <c r="P692" s="15">
        <f t="shared" si="21"/>
        <v>41809</v>
      </c>
      <c r="Q692" s="56"/>
      <c r="R692" s="16"/>
      <c r="S692" s="16"/>
    </row>
    <row r="693" spans="1:19" x14ac:dyDescent="0.25">
      <c r="A693" s="23" t="s">
        <v>16</v>
      </c>
      <c r="B693" s="23" t="s">
        <v>17</v>
      </c>
      <c r="C693" s="23" t="s">
        <v>51</v>
      </c>
      <c r="D693" s="8">
        <v>2014</v>
      </c>
      <c r="E693" s="21" t="s">
        <v>463</v>
      </c>
      <c r="F693" s="10">
        <v>41809</v>
      </c>
      <c r="G693" s="8">
        <v>11786</v>
      </c>
      <c r="H693" s="11" t="s">
        <v>523</v>
      </c>
      <c r="I693" s="12">
        <v>500</v>
      </c>
      <c r="J693" s="13" t="s">
        <v>53</v>
      </c>
      <c r="K693" s="13" t="s">
        <v>54</v>
      </c>
      <c r="L693" s="13"/>
      <c r="M693" s="13"/>
      <c r="N693" s="31"/>
      <c r="O693" s="14">
        <f t="shared" si="20"/>
        <v>500</v>
      </c>
      <c r="P693" s="15">
        <f t="shared" si="21"/>
        <v>41809</v>
      </c>
      <c r="Q693" s="56"/>
      <c r="R693" s="16"/>
      <c r="S693" s="16"/>
    </row>
    <row r="694" spans="1:19" x14ac:dyDescent="0.25">
      <c r="A694" s="23" t="s">
        <v>16</v>
      </c>
      <c r="B694" s="23" t="s">
        <v>17</v>
      </c>
      <c r="C694" s="23" t="s">
        <v>51</v>
      </c>
      <c r="D694" s="8">
        <v>2014</v>
      </c>
      <c r="E694" s="9" t="s">
        <v>463</v>
      </c>
      <c r="F694" s="10">
        <v>41809</v>
      </c>
      <c r="G694" s="8">
        <v>11787</v>
      </c>
      <c r="H694" s="11" t="s">
        <v>524</v>
      </c>
      <c r="I694" s="12">
        <v>2000</v>
      </c>
      <c r="J694" s="13" t="s">
        <v>53</v>
      </c>
      <c r="K694" s="13" t="s">
        <v>54</v>
      </c>
      <c r="L694" s="13"/>
      <c r="M694" s="13"/>
      <c r="N694" s="31"/>
      <c r="O694" s="14">
        <f t="shared" si="20"/>
        <v>2000</v>
      </c>
      <c r="P694" s="15">
        <f t="shared" si="21"/>
        <v>41809</v>
      </c>
      <c r="Q694" s="56"/>
      <c r="R694" s="16"/>
      <c r="S694" s="16"/>
    </row>
    <row r="695" spans="1:19" x14ac:dyDescent="0.25">
      <c r="A695" s="23" t="s">
        <v>16</v>
      </c>
      <c r="B695" s="23" t="s">
        <v>17</v>
      </c>
      <c r="C695" s="23" t="s">
        <v>51</v>
      </c>
      <c r="D695" s="8">
        <v>2014</v>
      </c>
      <c r="E695" s="21" t="s">
        <v>463</v>
      </c>
      <c r="F695" s="10">
        <v>41809</v>
      </c>
      <c r="G695" s="8">
        <v>11727</v>
      </c>
      <c r="H695" s="11" t="s">
        <v>525</v>
      </c>
      <c r="I695" s="12">
        <v>2260</v>
      </c>
      <c r="J695" s="13" t="s">
        <v>53</v>
      </c>
      <c r="K695" s="13" t="s">
        <v>54</v>
      </c>
      <c r="L695" s="13"/>
      <c r="M695" s="13"/>
      <c r="N695" s="31"/>
      <c r="O695" s="14">
        <f t="shared" si="20"/>
        <v>2260</v>
      </c>
      <c r="P695" s="15">
        <f t="shared" si="21"/>
        <v>41809</v>
      </c>
      <c r="Q695" s="56"/>
      <c r="R695" s="16"/>
      <c r="S695" s="16"/>
    </row>
    <row r="696" spans="1:19" x14ac:dyDescent="0.25">
      <c r="A696" s="23" t="s">
        <v>16</v>
      </c>
      <c r="B696" s="23" t="s">
        <v>17</v>
      </c>
      <c r="C696" s="23" t="s">
        <v>18</v>
      </c>
      <c r="D696" s="8">
        <v>2014</v>
      </c>
      <c r="E696" s="9" t="s">
        <v>463</v>
      </c>
      <c r="F696" s="10">
        <v>41809</v>
      </c>
      <c r="G696" s="23"/>
      <c r="H696" s="13" t="s">
        <v>252</v>
      </c>
      <c r="I696" s="12">
        <v>-48</v>
      </c>
      <c r="J696" s="13" t="s">
        <v>21</v>
      </c>
      <c r="K696" s="13" t="s">
        <v>22</v>
      </c>
      <c r="L696" s="13" t="s">
        <v>71</v>
      </c>
      <c r="M696" s="13" t="s">
        <v>206</v>
      </c>
      <c r="N696" s="31"/>
      <c r="O696" s="14">
        <f t="shared" si="20"/>
        <v>-48</v>
      </c>
      <c r="P696" s="15">
        <f t="shared" si="21"/>
        <v>41809</v>
      </c>
      <c r="Q696" s="15"/>
      <c r="R696" s="16"/>
      <c r="S696" s="16"/>
    </row>
    <row r="697" spans="1:19" x14ac:dyDescent="0.25">
      <c r="A697" s="8" t="s">
        <v>16</v>
      </c>
      <c r="B697" s="8" t="s">
        <v>17</v>
      </c>
      <c r="C697" s="8" t="s">
        <v>18</v>
      </c>
      <c r="D697" s="8">
        <v>2014</v>
      </c>
      <c r="E697" s="21" t="s">
        <v>463</v>
      </c>
      <c r="F697" s="10">
        <v>41809</v>
      </c>
      <c r="G697" s="8"/>
      <c r="H697" s="13" t="s">
        <v>80</v>
      </c>
      <c r="I697" s="12">
        <v>-50</v>
      </c>
      <c r="J697" s="13" t="s">
        <v>21</v>
      </c>
      <c r="K697" s="13" t="s">
        <v>22</v>
      </c>
      <c r="L697" s="13" t="s">
        <v>23</v>
      </c>
      <c r="M697" s="13" t="s">
        <v>28</v>
      </c>
      <c r="N697" s="14"/>
      <c r="O697" s="14">
        <f t="shared" si="20"/>
        <v>-50</v>
      </c>
      <c r="P697" s="15">
        <f t="shared" si="21"/>
        <v>41809</v>
      </c>
      <c r="Q697" s="15"/>
      <c r="R697" s="16"/>
      <c r="S697" s="16"/>
    </row>
    <row r="698" spans="1:19" x14ac:dyDescent="0.25">
      <c r="A698" s="8" t="s">
        <v>16</v>
      </c>
      <c r="B698" s="8" t="s">
        <v>17</v>
      </c>
      <c r="C698" s="36" t="s">
        <v>18</v>
      </c>
      <c r="D698" s="8">
        <v>2014</v>
      </c>
      <c r="E698" s="9" t="s">
        <v>463</v>
      </c>
      <c r="F698" s="10">
        <v>41809</v>
      </c>
      <c r="G698" s="8"/>
      <c r="H698" s="17" t="s">
        <v>526</v>
      </c>
      <c r="I698" s="12">
        <v>-50.8</v>
      </c>
      <c r="J698" s="13" t="s">
        <v>21</v>
      </c>
      <c r="K698" s="13" t="s">
        <v>143</v>
      </c>
      <c r="L698" s="13" t="s">
        <v>144</v>
      </c>
      <c r="M698" s="13" t="s">
        <v>28</v>
      </c>
      <c r="N698" s="14"/>
      <c r="O698" s="14">
        <f t="shared" si="20"/>
        <v>-50.8</v>
      </c>
      <c r="P698" s="15">
        <f t="shared" si="21"/>
        <v>41809</v>
      </c>
      <c r="Q698" s="15"/>
      <c r="R698" s="16"/>
      <c r="S698" s="16"/>
    </row>
    <row r="699" spans="1:19" x14ac:dyDescent="0.25">
      <c r="A699" s="8" t="s">
        <v>16</v>
      </c>
      <c r="B699" s="8" t="s">
        <v>17</v>
      </c>
      <c r="C699" s="8" t="s">
        <v>18</v>
      </c>
      <c r="D699" s="8">
        <v>2014</v>
      </c>
      <c r="E699" s="21" t="s">
        <v>463</v>
      </c>
      <c r="F699" s="10">
        <v>41809</v>
      </c>
      <c r="G699" s="8"/>
      <c r="H699" s="11" t="s">
        <v>527</v>
      </c>
      <c r="I699" s="12">
        <f>-709.66-202.76</f>
        <v>-912.42</v>
      </c>
      <c r="J699" s="13" t="s">
        <v>21</v>
      </c>
      <c r="K699" s="13" t="s">
        <v>371</v>
      </c>
      <c r="L699" s="13" t="s">
        <v>528</v>
      </c>
      <c r="M699" s="13" t="s">
        <v>529</v>
      </c>
      <c r="N699" s="14"/>
      <c r="O699" s="14">
        <f t="shared" si="20"/>
        <v>-912.42</v>
      </c>
      <c r="P699" s="15">
        <f t="shared" si="21"/>
        <v>41809</v>
      </c>
      <c r="Q699" s="15"/>
      <c r="R699" s="16"/>
      <c r="S699" s="16"/>
    </row>
    <row r="700" spans="1:19" x14ac:dyDescent="0.25">
      <c r="A700" s="8" t="s">
        <v>16</v>
      </c>
      <c r="B700" s="8" t="s">
        <v>17</v>
      </c>
      <c r="C700" s="8" t="s">
        <v>18</v>
      </c>
      <c r="D700" s="8">
        <v>2014</v>
      </c>
      <c r="E700" s="9" t="s">
        <v>463</v>
      </c>
      <c r="F700" s="10">
        <v>41809</v>
      </c>
      <c r="G700" s="23"/>
      <c r="H700" s="17" t="s">
        <v>62</v>
      </c>
      <c r="I700" s="12">
        <f>-20-60-78.52</f>
        <v>-158.51999999999998</v>
      </c>
      <c r="J700" s="13" t="s">
        <v>21</v>
      </c>
      <c r="K700" s="13" t="s">
        <v>63</v>
      </c>
      <c r="L700" s="13" t="s">
        <v>64</v>
      </c>
      <c r="M700" s="13"/>
      <c r="N700" s="14"/>
      <c r="O700" s="14">
        <f t="shared" si="20"/>
        <v>-158.51999999999998</v>
      </c>
      <c r="P700" s="15">
        <f t="shared" si="21"/>
        <v>41809</v>
      </c>
      <c r="Q700" s="15"/>
      <c r="R700" s="16"/>
      <c r="S700" s="16"/>
    </row>
    <row r="701" spans="1:19" x14ac:dyDescent="0.25">
      <c r="A701" s="8" t="s">
        <v>16</v>
      </c>
      <c r="B701" s="8" t="s">
        <v>17</v>
      </c>
      <c r="C701" s="8" t="s">
        <v>18</v>
      </c>
      <c r="D701" s="8">
        <v>2014</v>
      </c>
      <c r="E701" s="21" t="s">
        <v>463</v>
      </c>
      <c r="F701" s="10">
        <v>41809</v>
      </c>
      <c r="G701" s="8"/>
      <c r="H701" s="11" t="s">
        <v>530</v>
      </c>
      <c r="I701" s="12">
        <v>-2200</v>
      </c>
      <c r="J701" s="13" t="s">
        <v>21</v>
      </c>
      <c r="K701" s="13" t="s">
        <v>143</v>
      </c>
      <c r="L701" s="13" t="s">
        <v>193</v>
      </c>
      <c r="M701" s="13" t="s">
        <v>194</v>
      </c>
      <c r="N701" s="31"/>
      <c r="O701" s="14">
        <f t="shared" si="20"/>
        <v>-2200</v>
      </c>
      <c r="P701" s="15">
        <f t="shared" si="21"/>
        <v>41809</v>
      </c>
      <c r="Q701" s="15"/>
      <c r="R701" s="16"/>
      <c r="S701" s="16"/>
    </row>
    <row r="702" spans="1:19" x14ac:dyDescent="0.25">
      <c r="A702" s="8" t="s">
        <v>16</v>
      </c>
      <c r="B702" s="8" t="s">
        <v>17</v>
      </c>
      <c r="C702" s="8" t="s">
        <v>18</v>
      </c>
      <c r="D702" s="8">
        <v>2014</v>
      </c>
      <c r="E702" s="9" t="s">
        <v>463</v>
      </c>
      <c r="F702" s="10">
        <v>41809</v>
      </c>
      <c r="G702" s="8"/>
      <c r="H702" s="11" t="s">
        <v>531</v>
      </c>
      <c r="I702" s="12">
        <v>-20</v>
      </c>
      <c r="J702" s="13" t="s">
        <v>21</v>
      </c>
      <c r="K702" s="13" t="s">
        <v>143</v>
      </c>
      <c r="L702" s="13" t="s">
        <v>193</v>
      </c>
      <c r="M702" s="13" t="s">
        <v>194</v>
      </c>
      <c r="N702" s="31"/>
      <c r="O702" s="14">
        <f t="shared" si="20"/>
        <v>-20</v>
      </c>
      <c r="P702" s="15">
        <f t="shared" si="21"/>
        <v>41809</v>
      </c>
      <c r="Q702" s="15"/>
      <c r="R702" s="16"/>
      <c r="S702" s="16"/>
    </row>
    <row r="703" spans="1:19" x14ac:dyDescent="0.25">
      <c r="A703" s="8" t="s">
        <v>16</v>
      </c>
      <c r="B703" s="8" t="s">
        <v>17</v>
      </c>
      <c r="C703" s="36" t="s">
        <v>18</v>
      </c>
      <c r="D703" s="8">
        <v>2014</v>
      </c>
      <c r="E703" s="21" t="s">
        <v>463</v>
      </c>
      <c r="F703" s="10">
        <v>41809</v>
      </c>
      <c r="G703" s="8"/>
      <c r="H703" s="17" t="s">
        <v>532</v>
      </c>
      <c r="I703" s="12">
        <v>-402</v>
      </c>
      <c r="J703" s="13" t="s">
        <v>21</v>
      </c>
      <c r="K703" s="13" t="s">
        <v>63</v>
      </c>
      <c r="L703" s="13" t="s">
        <v>64</v>
      </c>
      <c r="M703" s="13"/>
      <c r="N703" s="14"/>
      <c r="O703" s="14">
        <f t="shared" si="20"/>
        <v>-402</v>
      </c>
      <c r="P703" s="15">
        <f t="shared" si="21"/>
        <v>41809</v>
      </c>
      <c r="Q703" s="15"/>
      <c r="R703" s="16"/>
      <c r="S703" s="16"/>
    </row>
    <row r="704" spans="1:19" x14ac:dyDescent="0.25">
      <c r="A704" s="23" t="s">
        <v>16</v>
      </c>
      <c r="B704" s="23" t="s">
        <v>17</v>
      </c>
      <c r="C704" s="23" t="s">
        <v>18</v>
      </c>
      <c r="D704" s="8">
        <v>2014</v>
      </c>
      <c r="E704" s="9" t="s">
        <v>463</v>
      </c>
      <c r="F704" s="10">
        <v>41809</v>
      </c>
      <c r="G704" s="23"/>
      <c r="H704" s="13" t="s">
        <v>492</v>
      </c>
      <c r="I704" s="12">
        <f>-128-70-43</f>
        <v>-241</v>
      </c>
      <c r="J704" s="13" t="s">
        <v>21</v>
      </c>
      <c r="K704" s="13" t="s">
        <v>22</v>
      </c>
      <c r="L704" s="13" t="s">
        <v>71</v>
      </c>
      <c r="M704" s="13"/>
      <c r="N704" s="14"/>
      <c r="O704" s="14">
        <f t="shared" si="20"/>
        <v>-241</v>
      </c>
      <c r="P704" s="15">
        <f t="shared" si="21"/>
        <v>41809</v>
      </c>
      <c r="Q704" s="15"/>
      <c r="R704" s="16"/>
      <c r="S704" s="16"/>
    </row>
    <row r="705" spans="1:19" x14ac:dyDescent="0.25">
      <c r="A705" s="8" t="s">
        <v>16</v>
      </c>
      <c r="B705" s="8" t="s">
        <v>17</v>
      </c>
      <c r="C705" s="8" t="s">
        <v>18</v>
      </c>
      <c r="D705" s="8">
        <v>2014</v>
      </c>
      <c r="E705" s="21" t="s">
        <v>463</v>
      </c>
      <c r="F705" s="10">
        <v>41809</v>
      </c>
      <c r="G705" s="23"/>
      <c r="H705" s="11" t="s">
        <v>487</v>
      </c>
      <c r="I705" s="12">
        <v>-700</v>
      </c>
      <c r="J705" s="54" t="s">
        <v>21</v>
      </c>
      <c r="K705" s="54" t="s">
        <v>56</v>
      </c>
      <c r="L705" s="54" t="s">
        <v>57</v>
      </c>
      <c r="M705" s="13" t="s">
        <v>386</v>
      </c>
      <c r="N705" s="14"/>
      <c r="O705" s="14">
        <f t="shared" si="20"/>
        <v>-700</v>
      </c>
      <c r="P705" s="15">
        <f t="shared" si="21"/>
        <v>41809</v>
      </c>
      <c r="Q705" s="15"/>
      <c r="R705" s="16"/>
      <c r="S705" s="16"/>
    </row>
    <row r="706" spans="1:19" x14ac:dyDescent="0.25">
      <c r="A706" s="23" t="s">
        <v>16</v>
      </c>
      <c r="B706" s="23" t="s">
        <v>17</v>
      </c>
      <c r="C706" s="23" t="s">
        <v>18</v>
      </c>
      <c r="D706" s="8">
        <v>2014</v>
      </c>
      <c r="E706" s="9" t="s">
        <v>463</v>
      </c>
      <c r="F706" s="10">
        <v>41809</v>
      </c>
      <c r="G706" s="23"/>
      <c r="H706" s="13" t="s">
        <v>122</v>
      </c>
      <c r="I706" s="12">
        <v>-3000</v>
      </c>
      <c r="J706" s="13" t="s">
        <v>33</v>
      </c>
      <c r="K706" s="13" t="s">
        <v>123</v>
      </c>
      <c r="L706" s="13" t="s">
        <v>124</v>
      </c>
      <c r="M706" s="25" t="s">
        <v>125</v>
      </c>
      <c r="N706" s="31"/>
      <c r="O706" s="14">
        <f t="shared" si="20"/>
        <v>-3000</v>
      </c>
      <c r="P706" s="15">
        <f t="shared" si="21"/>
        <v>41809</v>
      </c>
      <c r="Q706" s="15"/>
      <c r="R706" s="16"/>
      <c r="S706" s="16"/>
    </row>
    <row r="707" spans="1:19" x14ac:dyDescent="0.25">
      <c r="A707" s="23" t="s">
        <v>16</v>
      </c>
      <c r="B707" s="23" t="s">
        <v>17</v>
      </c>
      <c r="C707" s="23" t="s">
        <v>18</v>
      </c>
      <c r="D707" s="8">
        <v>2014</v>
      </c>
      <c r="E707" s="21" t="s">
        <v>463</v>
      </c>
      <c r="F707" s="10">
        <v>41809</v>
      </c>
      <c r="G707" s="8" t="s">
        <v>249</v>
      </c>
      <c r="H707" s="11" t="s">
        <v>378</v>
      </c>
      <c r="I707" s="12">
        <v>-681</v>
      </c>
      <c r="J707" s="13" t="s">
        <v>38</v>
      </c>
      <c r="K707" s="13" t="s">
        <v>155</v>
      </c>
      <c r="L707" s="13" t="s">
        <v>91</v>
      </c>
      <c r="M707" s="13"/>
      <c r="N707" s="31"/>
      <c r="O707" s="14">
        <f t="shared" ref="O707:O770" si="22">IF(B707="$",I707,I707/N707)</f>
        <v>-681</v>
      </c>
      <c r="P707" s="15">
        <f t="shared" si="21"/>
        <v>41809</v>
      </c>
      <c r="Q707" s="15"/>
      <c r="R707" s="16"/>
      <c r="S707" s="26"/>
    </row>
    <row r="708" spans="1:19" x14ac:dyDescent="0.25">
      <c r="A708" s="23" t="s">
        <v>16</v>
      </c>
      <c r="B708" s="23" t="s">
        <v>17</v>
      </c>
      <c r="C708" s="23" t="s">
        <v>18</v>
      </c>
      <c r="D708" s="8">
        <v>2014</v>
      </c>
      <c r="E708" s="9" t="s">
        <v>463</v>
      </c>
      <c r="F708" s="10">
        <v>41809</v>
      </c>
      <c r="G708" s="8" t="s">
        <v>249</v>
      </c>
      <c r="H708" s="11" t="s">
        <v>328</v>
      </c>
      <c r="I708" s="12">
        <v>-869</v>
      </c>
      <c r="J708" s="13" t="s">
        <v>38</v>
      </c>
      <c r="K708" s="13" t="s">
        <v>155</v>
      </c>
      <c r="L708" s="13" t="s">
        <v>91</v>
      </c>
      <c r="M708" s="13"/>
      <c r="N708" s="31"/>
      <c r="O708" s="14">
        <f t="shared" si="22"/>
        <v>-869</v>
      </c>
      <c r="P708" s="15">
        <f t="shared" si="21"/>
        <v>41809</v>
      </c>
      <c r="Q708" s="15"/>
      <c r="R708" s="16"/>
      <c r="S708" s="16"/>
    </row>
    <row r="709" spans="1:19" x14ac:dyDescent="0.25">
      <c r="A709" s="23" t="s">
        <v>16</v>
      </c>
      <c r="B709" s="23" t="s">
        <v>17</v>
      </c>
      <c r="C709" s="23" t="s">
        <v>18</v>
      </c>
      <c r="D709" s="8">
        <v>2014</v>
      </c>
      <c r="E709" s="21" t="s">
        <v>463</v>
      </c>
      <c r="F709" s="10">
        <v>41809</v>
      </c>
      <c r="G709" s="8" t="s">
        <v>249</v>
      </c>
      <c r="H709" s="11" t="s">
        <v>379</v>
      </c>
      <c r="I709" s="12">
        <v>-94</v>
      </c>
      <c r="J709" s="13" t="s">
        <v>38</v>
      </c>
      <c r="K709" s="13" t="s">
        <v>155</v>
      </c>
      <c r="L709" s="13" t="s">
        <v>91</v>
      </c>
      <c r="M709" s="13"/>
      <c r="N709" s="31"/>
      <c r="O709" s="14">
        <f t="shared" si="22"/>
        <v>-94</v>
      </c>
      <c r="P709" s="15">
        <f t="shared" si="21"/>
        <v>41809</v>
      </c>
      <c r="Q709" s="15"/>
      <c r="R709" s="26"/>
      <c r="S709" s="26"/>
    </row>
    <row r="710" spans="1:19" x14ac:dyDescent="0.25">
      <c r="A710" s="23" t="s">
        <v>16</v>
      </c>
      <c r="B710" s="23" t="s">
        <v>17</v>
      </c>
      <c r="C710" s="23" t="s">
        <v>18</v>
      </c>
      <c r="D710" s="8">
        <v>2014</v>
      </c>
      <c r="E710" s="9" t="s">
        <v>463</v>
      </c>
      <c r="F710" s="10">
        <v>41809</v>
      </c>
      <c r="G710" s="8" t="s">
        <v>249</v>
      </c>
      <c r="H710" s="11" t="s">
        <v>350</v>
      </c>
      <c r="I710" s="12">
        <v>-587</v>
      </c>
      <c r="J710" s="13" t="s">
        <v>38</v>
      </c>
      <c r="K710" s="13" t="s">
        <v>155</v>
      </c>
      <c r="L710" s="13" t="s">
        <v>91</v>
      </c>
      <c r="M710" s="13"/>
      <c r="N710" s="31"/>
      <c r="O710" s="14">
        <f t="shared" si="22"/>
        <v>-587</v>
      </c>
      <c r="P710" s="15">
        <f t="shared" si="21"/>
        <v>41809</v>
      </c>
      <c r="Q710" s="15"/>
      <c r="R710" s="26"/>
      <c r="S710" s="26"/>
    </row>
    <row r="711" spans="1:19" x14ac:dyDescent="0.25">
      <c r="A711" s="23" t="s">
        <v>16</v>
      </c>
      <c r="B711" s="23" t="s">
        <v>17</v>
      </c>
      <c r="C711" s="23" t="s">
        <v>18</v>
      </c>
      <c r="D711" s="8">
        <v>2014</v>
      </c>
      <c r="E711" s="21" t="s">
        <v>463</v>
      </c>
      <c r="F711" s="10">
        <v>41809</v>
      </c>
      <c r="G711" s="8" t="s">
        <v>249</v>
      </c>
      <c r="H711" s="11" t="s">
        <v>511</v>
      </c>
      <c r="I711" s="12">
        <v>-96</v>
      </c>
      <c r="J711" s="13" t="s">
        <v>38</v>
      </c>
      <c r="K711" s="13" t="s">
        <v>155</v>
      </c>
      <c r="L711" s="13" t="s">
        <v>91</v>
      </c>
      <c r="M711" s="13"/>
      <c r="N711" s="31"/>
      <c r="O711" s="14">
        <f t="shared" si="22"/>
        <v>-96</v>
      </c>
      <c r="P711" s="15">
        <f t="shared" si="21"/>
        <v>41809</v>
      </c>
      <c r="Q711" s="15"/>
      <c r="R711" s="26"/>
      <c r="S711" s="26"/>
    </row>
    <row r="712" spans="1:19" x14ac:dyDescent="0.25">
      <c r="A712" s="23" t="s">
        <v>16</v>
      </c>
      <c r="B712" s="23" t="s">
        <v>17</v>
      </c>
      <c r="C712" s="23" t="s">
        <v>18</v>
      </c>
      <c r="D712" s="8">
        <v>2014</v>
      </c>
      <c r="E712" s="9" t="s">
        <v>463</v>
      </c>
      <c r="F712" s="10">
        <v>41809</v>
      </c>
      <c r="G712" s="8" t="s">
        <v>249</v>
      </c>
      <c r="H712" s="11" t="s">
        <v>346</v>
      </c>
      <c r="I712" s="12">
        <v>-94</v>
      </c>
      <c r="J712" s="13" t="s">
        <v>38</v>
      </c>
      <c r="K712" s="13" t="s">
        <v>155</v>
      </c>
      <c r="L712" s="13" t="s">
        <v>91</v>
      </c>
      <c r="M712" s="13"/>
      <c r="N712" s="31"/>
      <c r="O712" s="14">
        <f t="shared" si="22"/>
        <v>-94</v>
      </c>
      <c r="P712" s="15">
        <f t="shared" si="21"/>
        <v>41809</v>
      </c>
      <c r="Q712" s="15"/>
      <c r="R712" s="26"/>
      <c r="S712" s="26"/>
    </row>
    <row r="713" spans="1:19" x14ac:dyDescent="0.25">
      <c r="A713" s="23" t="s">
        <v>16</v>
      </c>
      <c r="B713" s="23" t="s">
        <v>17</v>
      </c>
      <c r="C713" s="23" t="s">
        <v>18</v>
      </c>
      <c r="D713" s="8">
        <v>2014</v>
      </c>
      <c r="E713" s="21" t="s">
        <v>463</v>
      </c>
      <c r="F713" s="10">
        <v>41809</v>
      </c>
      <c r="G713" s="8" t="s">
        <v>249</v>
      </c>
      <c r="H713" s="11" t="s">
        <v>419</v>
      </c>
      <c r="I713" s="12">
        <v>-94</v>
      </c>
      <c r="J713" s="13" t="s">
        <v>38</v>
      </c>
      <c r="K713" s="13" t="s">
        <v>155</v>
      </c>
      <c r="L713" s="13" t="s">
        <v>91</v>
      </c>
      <c r="M713" s="13"/>
      <c r="N713" s="31"/>
      <c r="O713" s="14">
        <f t="shared" si="22"/>
        <v>-94</v>
      </c>
      <c r="P713" s="15">
        <f t="shared" ref="P713:P774" si="23">F713</f>
        <v>41809</v>
      </c>
      <c r="Q713" s="15"/>
      <c r="R713" s="26"/>
      <c r="S713" s="26"/>
    </row>
    <row r="714" spans="1:19" x14ac:dyDescent="0.25">
      <c r="A714" s="23" t="s">
        <v>16</v>
      </c>
      <c r="B714" s="23" t="s">
        <v>17</v>
      </c>
      <c r="C714" s="23" t="s">
        <v>18</v>
      </c>
      <c r="D714" s="8">
        <v>2014</v>
      </c>
      <c r="E714" s="9" t="s">
        <v>463</v>
      </c>
      <c r="F714" s="10">
        <v>41809</v>
      </c>
      <c r="G714" s="8" t="s">
        <v>249</v>
      </c>
      <c r="H714" s="11" t="s">
        <v>345</v>
      </c>
      <c r="I714" s="12">
        <v>-98</v>
      </c>
      <c r="J714" s="13" t="s">
        <v>38</v>
      </c>
      <c r="K714" s="13" t="s">
        <v>155</v>
      </c>
      <c r="L714" s="13" t="s">
        <v>91</v>
      </c>
      <c r="M714" s="13"/>
      <c r="N714" s="31"/>
      <c r="O714" s="14">
        <f t="shared" si="22"/>
        <v>-98</v>
      </c>
      <c r="P714" s="15">
        <f t="shared" si="23"/>
        <v>41809</v>
      </c>
      <c r="Q714" s="15"/>
      <c r="R714" s="26"/>
      <c r="S714" s="26"/>
    </row>
    <row r="715" spans="1:19" x14ac:dyDescent="0.25">
      <c r="A715" s="23" t="s">
        <v>16</v>
      </c>
      <c r="B715" s="23" t="s">
        <v>17</v>
      </c>
      <c r="C715" s="23" t="s">
        <v>18</v>
      </c>
      <c r="D715" s="8">
        <v>2014</v>
      </c>
      <c r="E715" s="21" t="s">
        <v>463</v>
      </c>
      <c r="F715" s="10">
        <v>41809</v>
      </c>
      <c r="G715" s="8" t="s">
        <v>249</v>
      </c>
      <c r="H715" s="11" t="s">
        <v>420</v>
      </c>
      <c r="I715" s="12">
        <v>-587</v>
      </c>
      <c r="J715" s="13" t="s">
        <v>38</v>
      </c>
      <c r="K715" s="13" t="s">
        <v>155</v>
      </c>
      <c r="L715" s="13" t="s">
        <v>91</v>
      </c>
      <c r="M715" s="13"/>
      <c r="N715" s="31"/>
      <c r="O715" s="14">
        <f t="shared" si="22"/>
        <v>-587</v>
      </c>
      <c r="P715" s="15">
        <f t="shared" si="23"/>
        <v>41809</v>
      </c>
      <c r="Q715" s="15"/>
      <c r="R715" s="16"/>
      <c r="S715" s="16"/>
    </row>
    <row r="716" spans="1:19" x14ac:dyDescent="0.25">
      <c r="A716" s="23" t="s">
        <v>16</v>
      </c>
      <c r="B716" s="23" t="s">
        <v>17</v>
      </c>
      <c r="C716" s="23" t="s">
        <v>18</v>
      </c>
      <c r="D716" s="8">
        <v>2014</v>
      </c>
      <c r="E716" s="9" t="s">
        <v>463</v>
      </c>
      <c r="F716" s="10">
        <v>41809</v>
      </c>
      <c r="G716" s="8" t="s">
        <v>249</v>
      </c>
      <c r="H716" s="11" t="s">
        <v>349</v>
      </c>
      <c r="I716" s="12">
        <v>-258</v>
      </c>
      <c r="J716" s="13" t="s">
        <v>38</v>
      </c>
      <c r="K716" s="13" t="s">
        <v>155</v>
      </c>
      <c r="L716" s="13" t="s">
        <v>91</v>
      </c>
      <c r="M716" s="13"/>
      <c r="N716" s="31"/>
      <c r="O716" s="14">
        <f t="shared" si="22"/>
        <v>-258</v>
      </c>
      <c r="P716" s="15">
        <f t="shared" si="23"/>
        <v>41809</v>
      </c>
      <c r="Q716" s="15"/>
      <c r="R716" s="26"/>
      <c r="S716" s="26"/>
    </row>
    <row r="717" spans="1:19" x14ac:dyDescent="0.25">
      <c r="A717" s="23" t="s">
        <v>16</v>
      </c>
      <c r="B717" s="23" t="s">
        <v>17</v>
      </c>
      <c r="C717" s="23" t="s">
        <v>18</v>
      </c>
      <c r="D717" s="8">
        <v>2014</v>
      </c>
      <c r="E717" s="21" t="s">
        <v>463</v>
      </c>
      <c r="F717" s="10">
        <v>41809</v>
      </c>
      <c r="G717" s="23" t="s">
        <v>249</v>
      </c>
      <c r="H717" s="13" t="s">
        <v>270</v>
      </c>
      <c r="I717" s="12">
        <f>-800-200</f>
        <v>-1000</v>
      </c>
      <c r="J717" s="13" t="s">
        <v>38</v>
      </c>
      <c r="K717" s="13" t="s">
        <v>90</v>
      </c>
      <c r="L717" s="13" t="s">
        <v>91</v>
      </c>
      <c r="M717" s="13"/>
      <c r="N717" s="31"/>
      <c r="O717" s="14">
        <f t="shared" si="22"/>
        <v>-1000</v>
      </c>
      <c r="P717" s="15">
        <f t="shared" si="23"/>
        <v>41809</v>
      </c>
      <c r="Q717" s="15"/>
      <c r="R717" s="26"/>
      <c r="S717" s="26"/>
    </row>
    <row r="718" spans="1:19" x14ac:dyDescent="0.25">
      <c r="A718" s="23" t="s">
        <v>16</v>
      </c>
      <c r="B718" s="23" t="s">
        <v>17</v>
      </c>
      <c r="C718" s="23" t="s">
        <v>18</v>
      </c>
      <c r="D718" s="8">
        <v>2014</v>
      </c>
      <c r="E718" s="9" t="s">
        <v>463</v>
      </c>
      <c r="F718" s="10">
        <v>41809</v>
      </c>
      <c r="G718" s="23" t="s">
        <v>249</v>
      </c>
      <c r="H718" s="13" t="s">
        <v>512</v>
      </c>
      <c r="I718" s="12">
        <v>-300</v>
      </c>
      <c r="J718" s="13" t="s">
        <v>38</v>
      </c>
      <c r="K718" s="13" t="s">
        <v>90</v>
      </c>
      <c r="L718" s="13" t="s">
        <v>91</v>
      </c>
      <c r="M718" s="13"/>
      <c r="N718" s="31"/>
      <c r="O718" s="14">
        <f t="shared" si="22"/>
        <v>-300</v>
      </c>
      <c r="P718" s="15">
        <f t="shared" si="23"/>
        <v>41809</v>
      </c>
      <c r="Q718" s="15"/>
      <c r="R718" s="26"/>
      <c r="S718" s="26"/>
    </row>
    <row r="719" spans="1:19" x14ac:dyDescent="0.25">
      <c r="A719" s="23" t="s">
        <v>16</v>
      </c>
      <c r="B719" s="23" t="s">
        <v>17</v>
      </c>
      <c r="C719" s="23" t="s">
        <v>18</v>
      </c>
      <c r="D719" s="8">
        <v>2014</v>
      </c>
      <c r="E719" s="21" t="s">
        <v>463</v>
      </c>
      <c r="F719" s="10">
        <v>41809</v>
      </c>
      <c r="G719" s="23" t="s">
        <v>249</v>
      </c>
      <c r="H719" s="13" t="s">
        <v>533</v>
      </c>
      <c r="I719" s="12">
        <v>-100</v>
      </c>
      <c r="J719" s="13" t="s">
        <v>38</v>
      </c>
      <c r="K719" s="13" t="s">
        <v>90</v>
      </c>
      <c r="L719" s="13" t="s">
        <v>91</v>
      </c>
      <c r="M719" s="13"/>
      <c r="N719" s="31"/>
      <c r="O719" s="14">
        <f t="shared" si="22"/>
        <v>-100</v>
      </c>
      <c r="P719" s="15">
        <f t="shared" si="23"/>
        <v>41809</v>
      </c>
      <c r="Q719" s="15"/>
      <c r="R719" s="26"/>
      <c r="S719" s="26"/>
    </row>
    <row r="720" spans="1:19" x14ac:dyDescent="0.25">
      <c r="A720" s="23" t="s">
        <v>16</v>
      </c>
      <c r="B720" s="23" t="s">
        <v>17</v>
      </c>
      <c r="C720" s="23" t="s">
        <v>18</v>
      </c>
      <c r="D720" s="8">
        <v>2014</v>
      </c>
      <c r="E720" s="9" t="s">
        <v>463</v>
      </c>
      <c r="F720" s="10">
        <v>41809</v>
      </c>
      <c r="G720" s="23" t="s">
        <v>249</v>
      </c>
      <c r="H720" s="13" t="s">
        <v>513</v>
      </c>
      <c r="I720" s="12">
        <v>-300</v>
      </c>
      <c r="J720" s="13" t="s">
        <v>38</v>
      </c>
      <c r="K720" s="13" t="s">
        <v>90</v>
      </c>
      <c r="L720" s="13" t="s">
        <v>91</v>
      </c>
      <c r="M720" s="13"/>
      <c r="N720" s="31"/>
      <c r="O720" s="14">
        <f t="shared" si="22"/>
        <v>-300</v>
      </c>
      <c r="P720" s="15">
        <f t="shared" si="23"/>
        <v>41809</v>
      </c>
      <c r="Q720" s="15"/>
      <c r="R720" s="26"/>
      <c r="S720" s="26"/>
    </row>
    <row r="721" spans="1:19" x14ac:dyDescent="0.25">
      <c r="A721" s="23" t="s">
        <v>16</v>
      </c>
      <c r="B721" s="23" t="s">
        <v>17</v>
      </c>
      <c r="C721" s="23" t="s">
        <v>18</v>
      </c>
      <c r="D721" s="8">
        <v>2014</v>
      </c>
      <c r="E721" s="21" t="s">
        <v>463</v>
      </c>
      <c r="F721" s="10">
        <v>41809</v>
      </c>
      <c r="G721" s="23" t="s">
        <v>249</v>
      </c>
      <c r="H721" s="13" t="s">
        <v>534</v>
      </c>
      <c r="I721" s="12">
        <v>-1000</v>
      </c>
      <c r="J721" s="13" t="s">
        <v>38</v>
      </c>
      <c r="K721" s="13" t="s">
        <v>90</v>
      </c>
      <c r="L721" s="13" t="s">
        <v>91</v>
      </c>
      <c r="M721" s="13"/>
      <c r="N721" s="31"/>
      <c r="O721" s="14">
        <f t="shared" si="22"/>
        <v>-1000</v>
      </c>
      <c r="P721" s="15">
        <f t="shared" si="23"/>
        <v>41809</v>
      </c>
      <c r="Q721" s="15"/>
      <c r="R721" s="26"/>
      <c r="S721" s="26"/>
    </row>
    <row r="722" spans="1:19" x14ac:dyDescent="0.25">
      <c r="A722" s="23" t="s">
        <v>16</v>
      </c>
      <c r="B722" s="23" t="s">
        <v>17</v>
      </c>
      <c r="C722" s="23" t="s">
        <v>18</v>
      </c>
      <c r="D722" s="8">
        <v>2014</v>
      </c>
      <c r="E722" s="9" t="s">
        <v>463</v>
      </c>
      <c r="F722" s="10">
        <v>41809</v>
      </c>
      <c r="G722" s="23" t="s">
        <v>249</v>
      </c>
      <c r="H722" s="13" t="s">
        <v>515</v>
      </c>
      <c r="I722" s="12">
        <v>-400</v>
      </c>
      <c r="J722" s="13" t="s">
        <v>38</v>
      </c>
      <c r="K722" s="13" t="s">
        <v>90</v>
      </c>
      <c r="L722" s="13" t="s">
        <v>91</v>
      </c>
      <c r="M722" s="13"/>
      <c r="N722" s="31"/>
      <c r="O722" s="14">
        <f t="shared" si="22"/>
        <v>-400</v>
      </c>
      <c r="P722" s="15">
        <f t="shared" si="23"/>
        <v>41809</v>
      </c>
      <c r="Q722" s="15"/>
      <c r="R722" s="26"/>
      <c r="S722" s="26"/>
    </row>
    <row r="723" spans="1:19" x14ac:dyDescent="0.25">
      <c r="A723" s="23" t="s">
        <v>16</v>
      </c>
      <c r="B723" s="23" t="s">
        <v>17</v>
      </c>
      <c r="C723" s="23" t="s">
        <v>18</v>
      </c>
      <c r="D723" s="8">
        <v>2014</v>
      </c>
      <c r="E723" s="21" t="s">
        <v>463</v>
      </c>
      <c r="F723" s="10">
        <v>41809</v>
      </c>
      <c r="G723" s="23" t="s">
        <v>249</v>
      </c>
      <c r="H723" s="13" t="s">
        <v>535</v>
      </c>
      <c r="I723" s="12">
        <v>-400</v>
      </c>
      <c r="J723" s="13" t="s">
        <v>38</v>
      </c>
      <c r="K723" s="13" t="s">
        <v>90</v>
      </c>
      <c r="L723" s="13" t="s">
        <v>91</v>
      </c>
      <c r="M723" s="13"/>
      <c r="N723" s="31"/>
      <c r="O723" s="14">
        <f t="shared" si="22"/>
        <v>-400</v>
      </c>
      <c r="P723" s="15">
        <f t="shared" si="23"/>
        <v>41809</v>
      </c>
      <c r="Q723" s="15"/>
      <c r="R723" s="26"/>
      <c r="S723" s="26"/>
    </row>
    <row r="724" spans="1:19" x14ac:dyDescent="0.25">
      <c r="A724" s="23" t="s">
        <v>16</v>
      </c>
      <c r="B724" s="23" t="s">
        <v>17</v>
      </c>
      <c r="C724" s="23" t="s">
        <v>18</v>
      </c>
      <c r="D724" s="8">
        <v>2014</v>
      </c>
      <c r="E724" s="9" t="s">
        <v>463</v>
      </c>
      <c r="F724" s="10">
        <v>41809</v>
      </c>
      <c r="G724" s="8" t="s">
        <v>249</v>
      </c>
      <c r="H724" s="11" t="s">
        <v>340</v>
      </c>
      <c r="I724" s="12">
        <v>-1020</v>
      </c>
      <c r="J724" s="13" t="s">
        <v>21</v>
      </c>
      <c r="K724" s="13" t="s">
        <v>56</v>
      </c>
      <c r="L724" s="13" t="s">
        <v>57</v>
      </c>
      <c r="M724" s="13"/>
      <c r="N724" s="14"/>
      <c r="O724" s="14">
        <f t="shared" si="22"/>
        <v>-1020</v>
      </c>
      <c r="P724" s="15">
        <f t="shared" si="23"/>
        <v>41809</v>
      </c>
      <c r="Q724" s="15"/>
      <c r="R724" s="16"/>
      <c r="S724" s="16"/>
    </row>
    <row r="725" spans="1:19" x14ac:dyDescent="0.25">
      <c r="A725" s="23" t="s">
        <v>16</v>
      </c>
      <c r="B725" s="23" t="s">
        <v>17</v>
      </c>
      <c r="C725" s="23" t="s">
        <v>51</v>
      </c>
      <c r="D725" s="8">
        <v>2014</v>
      </c>
      <c r="E725" s="21" t="s">
        <v>463</v>
      </c>
      <c r="F725" s="22">
        <v>41810</v>
      </c>
      <c r="G725" s="8">
        <v>11731</v>
      </c>
      <c r="H725" s="11" t="s">
        <v>393</v>
      </c>
      <c r="I725" s="12">
        <v>12770</v>
      </c>
      <c r="J725" s="13" t="s">
        <v>53</v>
      </c>
      <c r="K725" s="13" t="s">
        <v>54</v>
      </c>
      <c r="L725" s="13"/>
      <c r="M725" s="13"/>
      <c r="N725" s="31"/>
      <c r="O725" s="14">
        <f t="shared" si="22"/>
        <v>12770</v>
      </c>
      <c r="P725" s="15">
        <f t="shared" si="23"/>
        <v>41810</v>
      </c>
      <c r="Q725" s="56"/>
      <c r="R725" s="16"/>
      <c r="S725" s="16"/>
    </row>
    <row r="726" spans="1:19" x14ac:dyDescent="0.25">
      <c r="A726" s="23" t="s">
        <v>16</v>
      </c>
      <c r="B726" s="23" t="s">
        <v>17</v>
      </c>
      <c r="C726" s="23" t="s">
        <v>18</v>
      </c>
      <c r="D726" s="8">
        <v>2014</v>
      </c>
      <c r="E726" s="9" t="s">
        <v>463</v>
      </c>
      <c r="F726" s="10">
        <v>41810</v>
      </c>
      <c r="G726" s="8"/>
      <c r="H726" s="11" t="s">
        <v>399</v>
      </c>
      <c r="I726" s="12">
        <f>-46-25-19-23-23-140-100</f>
        <v>-376</v>
      </c>
      <c r="J726" s="13" t="s">
        <v>21</v>
      </c>
      <c r="K726" s="13" t="s">
        <v>56</v>
      </c>
      <c r="L726" s="13" t="s">
        <v>111</v>
      </c>
      <c r="M726" s="13" t="s">
        <v>28</v>
      </c>
      <c r="N726" s="31"/>
      <c r="O726" s="14">
        <f t="shared" si="22"/>
        <v>-376</v>
      </c>
      <c r="P726" s="15">
        <f t="shared" si="23"/>
        <v>41810</v>
      </c>
      <c r="Q726" s="15"/>
      <c r="R726" s="16"/>
      <c r="S726" s="16"/>
    </row>
    <row r="727" spans="1:19" x14ac:dyDescent="0.25">
      <c r="A727" s="23" t="s">
        <v>16</v>
      </c>
      <c r="B727" s="23" t="s">
        <v>17</v>
      </c>
      <c r="C727" s="23" t="s">
        <v>51</v>
      </c>
      <c r="D727" s="8">
        <v>2014</v>
      </c>
      <c r="E727" s="21" t="s">
        <v>463</v>
      </c>
      <c r="F727" s="10">
        <v>41811</v>
      </c>
      <c r="G727" s="8">
        <v>11788</v>
      </c>
      <c r="H727" s="11" t="s">
        <v>536</v>
      </c>
      <c r="I727" s="12">
        <v>100</v>
      </c>
      <c r="J727" s="13" t="s">
        <v>53</v>
      </c>
      <c r="K727" s="13" t="s">
        <v>54</v>
      </c>
      <c r="L727" s="13"/>
      <c r="M727" s="13"/>
      <c r="N727" s="31"/>
      <c r="O727" s="14">
        <f t="shared" si="22"/>
        <v>100</v>
      </c>
      <c r="P727" s="15">
        <f t="shared" si="23"/>
        <v>41811</v>
      </c>
      <c r="Q727" s="56"/>
      <c r="R727" s="16"/>
      <c r="S727" s="16"/>
    </row>
    <row r="728" spans="1:19" x14ac:dyDescent="0.25">
      <c r="A728" s="23" t="s">
        <v>16</v>
      </c>
      <c r="B728" s="23" t="s">
        <v>17</v>
      </c>
      <c r="C728" s="23" t="s">
        <v>51</v>
      </c>
      <c r="D728" s="8">
        <v>2014</v>
      </c>
      <c r="E728" s="9" t="s">
        <v>463</v>
      </c>
      <c r="F728" s="10">
        <v>41811</v>
      </c>
      <c r="G728" s="8">
        <v>11789</v>
      </c>
      <c r="H728" s="11" t="s">
        <v>537</v>
      </c>
      <c r="I728" s="12">
        <v>200</v>
      </c>
      <c r="J728" s="13" t="s">
        <v>53</v>
      </c>
      <c r="K728" s="13" t="s">
        <v>54</v>
      </c>
      <c r="L728" s="13"/>
      <c r="M728" s="13"/>
      <c r="N728" s="31"/>
      <c r="O728" s="14">
        <f t="shared" si="22"/>
        <v>200</v>
      </c>
      <c r="P728" s="15">
        <f t="shared" si="23"/>
        <v>41811</v>
      </c>
      <c r="Q728" s="56"/>
      <c r="R728" s="16"/>
      <c r="S728" s="16"/>
    </row>
    <row r="729" spans="1:19" x14ac:dyDescent="0.25">
      <c r="A729" s="23" t="s">
        <v>16</v>
      </c>
      <c r="B729" s="23" t="s">
        <v>17</v>
      </c>
      <c r="C729" s="23" t="s">
        <v>51</v>
      </c>
      <c r="D729" s="8">
        <v>2014</v>
      </c>
      <c r="E729" s="21" t="s">
        <v>463</v>
      </c>
      <c r="F729" s="10">
        <v>41811</v>
      </c>
      <c r="G729" s="8">
        <v>11790</v>
      </c>
      <c r="H729" s="11" t="s">
        <v>538</v>
      </c>
      <c r="I729" s="12">
        <v>600</v>
      </c>
      <c r="J729" s="13" t="s">
        <v>53</v>
      </c>
      <c r="K729" s="13" t="s">
        <v>54</v>
      </c>
      <c r="L729" s="13"/>
      <c r="M729" s="13"/>
      <c r="N729" s="31"/>
      <c r="O729" s="14">
        <f t="shared" si="22"/>
        <v>600</v>
      </c>
      <c r="P729" s="15">
        <f t="shared" si="23"/>
        <v>41811</v>
      </c>
      <c r="Q729" s="56"/>
      <c r="R729" s="16"/>
      <c r="S729" s="16"/>
    </row>
    <row r="730" spans="1:19" x14ac:dyDescent="0.25">
      <c r="A730" s="23" t="s">
        <v>16</v>
      </c>
      <c r="B730" s="23" t="s">
        <v>17</v>
      </c>
      <c r="C730" s="23" t="s">
        <v>51</v>
      </c>
      <c r="D730" s="8">
        <v>2014</v>
      </c>
      <c r="E730" s="9" t="s">
        <v>463</v>
      </c>
      <c r="F730" s="10">
        <v>41813</v>
      </c>
      <c r="G730" s="8">
        <v>11792</v>
      </c>
      <c r="H730" s="11" t="s">
        <v>539</v>
      </c>
      <c r="I730" s="12">
        <v>900</v>
      </c>
      <c r="J730" s="13" t="s">
        <v>53</v>
      </c>
      <c r="K730" s="13" t="s">
        <v>54</v>
      </c>
      <c r="L730" s="13"/>
      <c r="M730" s="13"/>
      <c r="N730" s="31"/>
      <c r="O730" s="14">
        <f t="shared" si="22"/>
        <v>900</v>
      </c>
      <c r="P730" s="15">
        <f t="shared" si="23"/>
        <v>41813</v>
      </c>
      <c r="Q730" s="56"/>
      <c r="R730" s="16"/>
      <c r="S730" s="16"/>
    </row>
    <row r="731" spans="1:19" x14ac:dyDescent="0.25">
      <c r="A731" s="23" t="s">
        <v>16</v>
      </c>
      <c r="B731" s="23" t="s">
        <v>17</v>
      </c>
      <c r="C731" s="23" t="s">
        <v>51</v>
      </c>
      <c r="D731" s="8">
        <v>2014</v>
      </c>
      <c r="E731" s="21" t="s">
        <v>463</v>
      </c>
      <c r="F731" s="10">
        <v>41813</v>
      </c>
      <c r="G731" s="8">
        <v>11709</v>
      </c>
      <c r="H731" s="11" t="s">
        <v>540</v>
      </c>
      <c r="I731" s="12">
        <v>6024</v>
      </c>
      <c r="J731" s="13" t="s">
        <v>53</v>
      </c>
      <c r="K731" s="13" t="s">
        <v>54</v>
      </c>
      <c r="L731" s="13"/>
      <c r="M731" s="13"/>
      <c r="N731" s="31"/>
      <c r="O731" s="14">
        <f t="shared" si="22"/>
        <v>6024</v>
      </c>
      <c r="P731" s="15">
        <f t="shared" si="23"/>
        <v>41813</v>
      </c>
      <c r="Q731" s="56"/>
      <c r="R731" s="16"/>
      <c r="S731" s="16"/>
    </row>
    <row r="732" spans="1:19" x14ac:dyDescent="0.25">
      <c r="A732" s="23" t="s">
        <v>16</v>
      </c>
      <c r="B732" s="23" t="s">
        <v>17</v>
      </c>
      <c r="C732" s="23" t="s">
        <v>18</v>
      </c>
      <c r="D732" s="8">
        <v>2014</v>
      </c>
      <c r="E732" s="9" t="s">
        <v>463</v>
      </c>
      <c r="F732" s="10">
        <v>41813</v>
      </c>
      <c r="G732" s="8"/>
      <c r="H732" s="11" t="s">
        <v>377</v>
      </c>
      <c r="I732" s="12">
        <v>-455</v>
      </c>
      <c r="J732" s="13" t="s">
        <v>21</v>
      </c>
      <c r="K732" s="13" t="s">
        <v>56</v>
      </c>
      <c r="L732" s="13" t="s">
        <v>111</v>
      </c>
      <c r="M732" s="13" t="s">
        <v>28</v>
      </c>
      <c r="N732" s="14"/>
      <c r="O732" s="14">
        <f t="shared" si="22"/>
        <v>-455</v>
      </c>
      <c r="P732" s="15">
        <f t="shared" si="23"/>
        <v>41813</v>
      </c>
      <c r="Q732" s="15"/>
      <c r="R732" s="16"/>
      <c r="S732" s="16"/>
    </row>
    <row r="733" spans="1:19" x14ac:dyDescent="0.25">
      <c r="A733" s="8" t="s">
        <v>16</v>
      </c>
      <c r="B733" s="8" t="s">
        <v>17</v>
      </c>
      <c r="C733" s="8" t="s">
        <v>46</v>
      </c>
      <c r="D733" s="8">
        <v>2014</v>
      </c>
      <c r="E733" s="21" t="s">
        <v>463</v>
      </c>
      <c r="F733" s="10">
        <v>41813</v>
      </c>
      <c r="G733" s="8"/>
      <c r="H733" s="17" t="s">
        <v>315</v>
      </c>
      <c r="I733" s="12">
        <v>-12000</v>
      </c>
      <c r="J733" s="13" t="s">
        <v>68</v>
      </c>
      <c r="K733" s="13"/>
      <c r="L733" s="13"/>
      <c r="M733" s="13"/>
      <c r="N733" s="14"/>
      <c r="O733" s="14">
        <f t="shared" si="22"/>
        <v>-12000</v>
      </c>
      <c r="P733" s="15">
        <f t="shared" si="23"/>
        <v>41813</v>
      </c>
      <c r="Q733" s="15"/>
      <c r="R733" s="16"/>
      <c r="S733" s="16"/>
    </row>
    <row r="734" spans="1:19" x14ac:dyDescent="0.25">
      <c r="A734" s="8" t="s">
        <v>16</v>
      </c>
      <c r="B734" s="8" t="s">
        <v>17</v>
      </c>
      <c r="C734" s="8" t="s">
        <v>18</v>
      </c>
      <c r="D734" s="8">
        <v>2014</v>
      </c>
      <c r="E734" s="9" t="s">
        <v>463</v>
      </c>
      <c r="F734" s="10">
        <v>41813</v>
      </c>
      <c r="G734" s="23"/>
      <c r="H734" s="11" t="s">
        <v>487</v>
      </c>
      <c r="I734" s="12">
        <v>-450</v>
      </c>
      <c r="J734" s="54" t="s">
        <v>21</v>
      </c>
      <c r="K734" s="54" t="s">
        <v>56</v>
      </c>
      <c r="L734" s="54" t="s">
        <v>57</v>
      </c>
      <c r="M734" s="13" t="s">
        <v>386</v>
      </c>
      <c r="N734" s="14"/>
      <c r="O734" s="14">
        <f t="shared" si="22"/>
        <v>-450</v>
      </c>
      <c r="P734" s="15">
        <f t="shared" si="23"/>
        <v>41813</v>
      </c>
      <c r="Q734" s="15"/>
      <c r="R734" s="16"/>
      <c r="S734" s="16"/>
    </row>
    <row r="735" spans="1:19" x14ac:dyDescent="0.25">
      <c r="A735" s="8" t="s">
        <v>16</v>
      </c>
      <c r="B735" s="8" t="s">
        <v>17</v>
      </c>
      <c r="C735" s="8" t="s">
        <v>18</v>
      </c>
      <c r="D735" s="8">
        <v>2014</v>
      </c>
      <c r="E735" s="21" t="s">
        <v>463</v>
      </c>
      <c r="F735" s="10">
        <v>41813</v>
      </c>
      <c r="G735" s="8"/>
      <c r="H735" s="17" t="s">
        <v>541</v>
      </c>
      <c r="I735" s="12">
        <v>-834.62</v>
      </c>
      <c r="J735" s="13" t="s">
        <v>21</v>
      </c>
      <c r="K735" s="13" t="s">
        <v>542</v>
      </c>
      <c r="L735" s="13" t="s">
        <v>543</v>
      </c>
      <c r="M735" s="13" t="s">
        <v>544</v>
      </c>
      <c r="N735" s="14"/>
      <c r="O735" s="14">
        <f t="shared" si="22"/>
        <v>-834.62</v>
      </c>
      <c r="P735" s="15">
        <f>F735</f>
        <v>41813</v>
      </c>
      <c r="Q735" s="15"/>
      <c r="R735" s="35"/>
      <c r="S735" s="16"/>
    </row>
    <row r="736" spans="1:19" x14ac:dyDescent="0.25">
      <c r="A736" s="8" t="s">
        <v>16</v>
      </c>
      <c r="B736" s="8" t="s">
        <v>17</v>
      </c>
      <c r="C736" s="8" t="s">
        <v>18</v>
      </c>
      <c r="D736" s="8">
        <v>2014</v>
      </c>
      <c r="E736" s="9" t="s">
        <v>463</v>
      </c>
      <c r="F736" s="10">
        <v>41813</v>
      </c>
      <c r="G736" s="8"/>
      <c r="H736" s="11" t="s">
        <v>545</v>
      </c>
      <c r="I736" s="12">
        <v>-2897</v>
      </c>
      <c r="J736" s="13" t="s">
        <v>21</v>
      </c>
      <c r="K736" s="13" t="s">
        <v>371</v>
      </c>
      <c r="L736" s="13" t="s">
        <v>372</v>
      </c>
      <c r="M736" s="13" t="s">
        <v>546</v>
      </c>
      <c r="N736" s="14"/>
      <c r="O736" s="14">
        <f t="shared" si="22"/>
        <v>-2897</v>
      </c>
      <c r="P736" s="15">
        <f>F736</f>
        <v>41813</v>
      </c>
      <c r="Q736" s="15"/>
      <c r="R736" s="16"/>
      <c r="S736" s="16"/>
    </row>
    <row r="737" spans="1:19" x14ac:dyDescent="0.25">
      <c r="A737" s="23" t="s">
        <v>16</v>
      </c>
      <c r="B737" s="23" t="s">
        <v>17</v>
      </c>
      <c r="C737" s="23" t="s">
        <v>51</v>
      </c>
      <c r="D737" s="8">
        <v>2014</v>
      </c>
      <c r="E737" s="21" t="s">
        <v>463</v>
      </c>
      <c r="F737" s="10">
        <v>41814</v>
      </c>
      <c r="G737" s="8">
        <v>11789</v>
      </c>
      <c r="H737" s="11" t="s">
        <v>537</v>
      </c>
      <c r="I737" s="12">
        <f>1700*11.5</f>
        <v>19550</v>
      </c>
      <c r="J737" s="13" t="s">
        <v>53</v>
      </c>
      <c r="K737" s="13" t="s">
        <v>54</v>
      </c>
      <c r="L737" s="13"/>
      <c r="M737" s="13"/>
      <c r="N737" s="31"/>
      <c r="O737" s="14">
        <f t="shared" si="22"/>
        <v>19550</v>
      </c>
      <c r="P737" s="15">
        <f t="shared" si="23"/>
        <v>41814</v>
      </c>
      <c r="Q737" s="56"/>
      <c r="R737" s="16"/>
      <c r="S737" s="16"/>
    </row>
    <row r="738" spans="1:19" x14ac:dyDescent="0.25">
      <c r="A738" s="8" t="s">
        <v>16</v>
      </c>
      <c r="B738" s="8" t="s">
        <v>17</v>
      </c>
      <c r="C738" s="8" t="s">
        <v>18</v>
      </c>
      <c r="D738" s="8">
        <v>2014</v>
      </c>
      <c r="E738" s="9" t="s">
        <v>463</v>
      </c>
      <c r="F738" s="10">
        <v>41814</v>
      </c>
      <c r="G738" s="8"/>
      <c r="H738" s="11" t="s">
        <v>547</v>
      </c>
      <c r="I738" s="12">
        <v>-350</v>
      </c>
      <c r="J738" s="13" t="s">
        <v>169</v>
      </c>
      <c r="K738" s="13" t="s">
        <v>170</v>
      </c>
      <c r="L738" s="13" t="s">
        <v>548</v>
      </c>
      <c r="M738" s="13"/>
      <c r="N738" s="14"/>
      <c r="O738" s="14">
        <f t="shared" si="22"/>
        <v>-350</v>
      </c>
      <c r="P738" s="15">
        <f t="shared" si="23"/>
        <v>41814</v>
      </c>
      <c r="Q738" s="15"/>
      <c r="R738" s="27"/>
      <c r="S738" s="28"/>
    </row>
    <row r="739" spans="1:19" x14ac:dyDescent="0.25">
      <c r="A739" s="8" t="s">
        <v>16</v>
      </c>
      <c r="B739" s="8" t="s">
        <v>17</v>
      </c>
      <c r="C739" s="36" t="s">
        <v>18</v>
      </c>
      <c r="D739" s="8">
        <v>2014</v>
      </c>
      <c r="E739" s="21" t="s">
        <v>463</v>
      </c>
      <c r="F739" s="10">
        <v>41814</v>
      </c>
      <c r="G739" s="8"/>
      <c r="H739" s="11" t="s">
        <v>148</v>
      </c>
      <c r="I739" s="12">
        <v>-250</v>
      </c>
      <c r="J739" s="13" t="s">
        <v>21</v>
      </c>
      <c r="K739" s="13" t="s">
        <v>22</v>
      </c>
      <c r="L739" s="13" t="s">
        <v>23</v>
      </c>
      <c r="M739" s="13"/>
      <c r="N739" s="14"/>
      <c r="O739" s="14">
        <f t="shared" si="22"/>
        <v>-250</v>
      </c>
      <c r="P739" s="15">
        <f t="shared" si="23"/>
        <v>41814</v>
      </c>
      <c r="Q739" s="15"/>
      <c r="R739" s="16"/>
      <c r="S739" s="16"/>
    </row>
    <row r="740" spans="1:19" x14ac:dyDescent="0.25">
      <c r="A740" s="23" t="s">
        <v>16</v>
      </c>
      <c r="B740" s="23" t="s">
        <v>17</v>
      </c>
      <c r="C740" s="23" t="s">
        <v>18</v>
      </c>
      <c r="D740" s="8">
        <v>2014</v>
      </c>
      <c r="E740" s="9" t="s">
        <v>463</v>
      </c>
      <c r="F740" s="10">
        <v>41814</v>
      </c>
      <c r="G740" s="8"/>
      <c r="H740" s="11" t="s">
        <v>399</v>
      </c>
      <c r="I740" s="12">
        <f>-50-23-25-30-22-60-90-80</f>
        <v>-380</v>
      </c>
      <c r="J740" s="13" t="s">
        <v>21</v>
      </c>
      <c r="K740" s="13" t="s">
        <v>56</v>
      </c>
      <c r="L740" s="13" t="s">
        <v>111</v>
      </c>
      <c r="M740" s="13" t="s">
        <v>28</v>
      </c>
      <c r="N740" s="31"/>
      <c r="O740" s="14">
        <f t="shared" si="22"/>
        <v>-380</v>
      </c>
      <c r="P740" s="15">
        <f t="shared" si="23"/>
        <v>41814</v>
      </c>
      <c r="Q740" s="15"/>
      <c r="R740" s="16"/>
      <c r="S740" s="16"/>
    </row>
    <row r="741" spans="1:19" x14ac:dyDescent="0.25">
      <c r="A741" s="8" t="s">
        <v>16</v>
      </c>
      <c r="B741" s="8" t="s">
        <v>17</v>
      </c>
      <c r="C741" s="8" t="s">
        <v>18</v>
      </c>
      <c r="D741" s="8">
        <v>2014</v>
      </c>
      <c r="E741" s="21" t="s">
        <v>463</v>
      </c>
      <c r="F741" s="10">
        <v>41814</v>
      </c>
      <c r="G741" s="23"/>
      <c r="H741" s="11" t="s">
        <v>487</v>
      </c>
      <c r="I741" s="12">
        <v>-750</v>
      </c>
      <c r="J741" s="54" t="s">
        <v>21</v>
      </c>
      <c r="K741" s="54" t="s">
        <v>56</v>
      </c>
      <c r="L741" s="54" t="s">
        <v>57</v>
      </c>
      <c r="M741" s="13" t="s">
        <v>386</v>
      </c>
      <c r="N741" s="14"/>
      <c r="O741" s="14">
        <f t="shared" si="22"/>
        <v>-750</v>
      </c>
      <c r="P741" s="15">
        <f t="shared" si="23"/>
        <v>41814</v>
      </c>
      <c r="Q741" s="15"/>
      <c r="R741" s="16"/>
      <c r="S741" s="16"/>
    </row>
    <row r="742" spans="1:19" x14ac:dyDescent="0.25">
      <c r="A742" s="8" t="s">
        <v>16</v>
      </c>
      <c r="B742" s="8" t="s">
        <v>17</v>
      </c>
      <c r="C742" s="8" t="s">
        <v>18</v>
      </c>
      <c r="D742" s="8">
        <v>2014</v>
      </c>
      <c r="E742" s="9" t="s">
        <v>463</v>
      </c>
      <c r="F742" s="10">
        <v>41814</v>
      </c>
      <c r="G742" s="23"/>
      <c r="H742" s="17" t="s">
        <v>62</v>
      </c>
      <c r="I742" s="12">
        <f>-111-192-81</f>
        <v>-384</v>
      </c>
      <c r="J742" s="13" t="s">
        <v>21</v>
      </c>
      <c r="K742" s="13" t="s">
        <v>63</v>
      </c>
      <c r="L742" s="13" t="s">
        <v>64</v>
      </c>
      <c r="M742" s="13"/>
      <c r="N742" s="14"/>
      <c r="O742" s="14">
        <f t="shared" si="22"/>
        <v>-384</v>
      </c>
      <c r="P742" s="15">
        <f t="shared" si="23"/>
        <v>41814</v>
      </c>
      <c r="Q742" s="15"/>
      <c r="R742" s="16"/>
      <c r="S742" s="16"/>
    </row>
    <row r="743" spans="1:19" x14ac:dyDescent="0.25">
      <c r="A743" s="8" t="s">
        <v>16</v>
      </c>
      <c r="B743" s="8" t="s">
        <v>17</v>
      </c>
      <c r="C743" s="8" t="s">
        <v>18</v>
      </c>
      <c r="D743" s="8">
        <v>2014</v>
      </c>
      <c r="E743" s="21" t="s">
        <v>463</v>
      </c>
      <c r="F743" s="10">
        <v>41814</v>
      </c>
      <c r="G743" s="23"/>
      <c r="H743" s="11" t="s">
        <v>269</v>
      </c>
      <c r="I743" s="12">
        <v>-350</v>
      </c>
      <c r="J743" s="20" t="s">
        <v>21</v>
      </c>
      <c r="K743" s="20" t="s">
        <v>56</v>
      </c>
      <c r="L743" s="20" t="s">
        <v>57</v>
      </c>
      <c r="M743" s="13" t="s">
        <v>386</v>
      </c>
      <c r="N743" s="14"/>
      <c r="O743" s="14">
        <f t="shared" si="22"/>
        <v>-350</v>
      </c>
      <c r="P743" s="15">
        <f t="shared" si="23"/>
        <v>41814</v>
      </c>
      <c r="Q743" s="15"/>
      <c r="R743" s="16"/>
      <c r="S743" s="16"/>
    </row>
    <row r="744" spans="1:19" x14ac:dyDescent="0.25">
      <c r="A744" s="8" t="s">
        <v>16</v>
      </c>
      <c r="B744" s="8" t="s">
        <v>17</v>
      </c>
      <c r="C744" s="8" t="s">
        <v>46</v>
      </c>
      <c r="D744" s="8">
        <v>2014</v>
      </c>
      <c r="E744" s="9" t="s">
        <v>463</v>
      </c>
      <c r="F744" s="10">
        <v>41814</v>
      </c>
      <c r="G744" s="8"/>
      <c r="H744" s="17" t="s">
        <v>315</v>
      </c>
      <c r="I744" s="12">
        <v>-20000</v>
      </c>
      <c r="J744" s="13" t="s">
        <v>68</v>
      </c>
      <c r="K744" s="13"/>
      <c r="L744" s="13"/>
      <c r="M744" s="13"/>
      <c r="N744" s="14"/>
      <c r="O744" s="14">
        <f t="shared" si="22"/>
        <v>-20000</v>
      </c>
      <c r="P744" s="15">
        <f t="shared" si="23"/>
        <v>41814</v>
      </c>
      <c r="Q744" s="15"/>
      <c r="R744" s="16"/>
      <c r="S744" s="16"/>
    </row>
    <row r="745" spans="1:19" x14ac:dyDescent="0.25">
      <c r="A745" s="8" t="s">
        <v>16</v>
      </c>
      <c r="B745" s="8" t="s">
        <v>17</v>
      </c>
      <c r="C745" s="8" t="s">
        <v>18</v>
      </c>
      <c r="D745" s="8">
        <v>2014</v>
      </c>
      <c r="E745" s="21" t="s">
        <v>463</v>
      </c>
      <c r="F745" s="10">
        <v>41815</v>
      </c>
      <c r="G745" s="23"/>
      <c r="H745" s="11" t="s">
        <v>487</v>
      </c>
      <c r="I745" s="12">
        <v>-250</v>
      </c>
      <c r="J745" s="20" t="s">
        <v>21</v>
      </c>
      <c r="K745" s="20" t="s">
        <v>56</v>
      </c>
      <c r="L745" s="20" t="s">
        <v>57</v>
      </c>
      <c r="M745" s="13" t="s">
        <v>386</v>
      </c>
      <c r="N745" s="14"/>
      <c r="O745" s="14">
        <f t="shared" si="22"/>
        <v>-250</v>
      </c>
      <c r="P745" s="15">
        <f t="shared" si="23"/>
        <v>41815</v>
      </c>
      <c r="Q745" s="15"/>
      <c r="R745" s="16"/>
      <c r="S745" s="16"/>
    </row>
    <row r="746" spans="1:19" x14ac:dyDescent="0.25">
      <c r="A746" s="23" t="s">
        <v>16</v>
      </c>
      <c r="B746" s="23" t="s">
        <v>17</v>
      </c>
      <c r="C746" s="23" t="s">
        <v>18</v>
      </c>
      <c r="D746" s="8">
        <v>2014</v>
      </c>
      <c r="E746" s="9" t="s">
        <v>463</v>
      </c>
      <c r="F746" s="10">
        <v>41815</v>
      </c>
      <c r="G746" s="8"/>
      <c r="H746" s="11" t="s">
        <v>340</v>
      </c>
      <c r="I746" s="12">
        <v>-450</v>
      </c>
      <c r="J746" s="13" t="s">
        <v>21</v>
      </c>
      <c r="K746" s="13" t="s">
        <v>56</v>
      </c>
      <c r="L746" s="13" t="s">
        <v>57</v>
      </c>
      <c r="M746" s="13"/>
      <c r="N746" s="14"/>
      <c r="O746" s="14">
        <f t="shared" si="22"/>
        <v>-450</v>
      </c>
      <c r="P746" s="15">
        <f t="shared" si="23"/>
        <v>41815</v>
      </c>
      <c r="Q746" s="15"/>
      <c r="R746" s="16"/>
      <c r="S746" s="16"/>
    </row>
    <row r="747" spans="1:19" x14ac:dyDescent="0.25">
      <c r="A747" s="23" t="s">
        <v>16</v>
      </c>
      <c r="B747" s="23" t="s">
        <v>17</v>
      </c>
      <c r="C747" s="23" t="s">
        <v>18</v>
      </c>
      <c r="D747" s="8">
        <v>2014</v>
      </c>
      <c r="E747" s="21" t="s">
        <v>463</v>
      </c>
      <c r="F747" s="10">
        <v>41816</v>
      </c>
      <c r="G747" s="8"/>
      <c r="H747" s="11" t="s">
        <v>377</v>
      </c>
      <c r="I747" s="12">
        <v>-472.5</v>
      </c>
      <c r="J747" s="13" t="s">
        <v>21</v>
      </c>
      <c r="K747" s="13" t="s">
        <v>56</v>
      </c>
      <c r="L747" s="13" t="s">
        <v>111</v>
      </c>
      <c r="M747" s="13" t="s">
        <v>28</v>
      </c>
      <c r="N747" s="14"/>
      <c r="O747" s="14">
        <f t="shared" si="22"/>
        <v>-472.5</v>
      </c>
      <c r="P747" s="15">
        <f t="shared" si="23"/>
        <v>41816</v>
      </c>
      <c r="Q747" s="15"/>
      <c r="R747" s="16"/>
      <c r="S747" s="16"/>
    </row>
    <row r="748" spans="1:19" x14ac:dyDescent="0.25">
      <c r="A748" s="8" t="s">
        <v>16</v>
      </c>
      <c r="B748" s="8" t="s">
        <v>17</v>
      </c>
      <c r="C748" s="8" t="s">
        <v>18</v>
      </c>
      <c r="D748" s="8">
        <v>2014</v>
      </c>
      <c r="E748" s="9" t="s">
        <v>463</v>
      </c>
      <c r="F748" s="10">
        <v>41816</v>
      </c>
      <c r="G748" s="8"/>
      <c r="H748" s="17" t="s">
        <v>541</v>
      </c>
      <c r="I748" s="12">
        <v>-420</v>
      </c>
      <c r="J748" s="13" t="s">
        <v>21</v>
      </c>
      <c r="K748" s="13" t="s">
        <v>542</v>
      </c>
      <c r="L748" s="13" t="s">
        <v>543</v>
      </c>
      <c r="M748" s="13" t="s">
        <v>544</v>
      </c>
      <c r="N748" s="14"/>
      <c r="O748" s="14">
        <f t="shared" si="22"/>
        <v>-420</v>
      </c>
      <c r="P748" s="15">
        <f t="shared" si="23"/>
        <v>41816</v>
      </c>
      <c r="Q748" s="15"/>
      <c r="R748" s="35"/>
      <c r="S748" s="16"/>
    </row>
    <row r="749" spans="1:19" x14ac:dyDescent="0.25">
      <c r="A749" s="23" t="s">
        <v>16</v>
      </c>
      <c r="B749" s="23" t="s">
        <v>17</v>
      </c>
      <c r="C749" s="23" t="s">
        <v>18</v>
      </c>
      <c r="D749" s="8">
        <v>2014</v>
      </c>
      <c r="E749" s="21" t="s">
        <v>463</v>
      </c>
      <c r="F749" s="10">
        <v>41816</v>
      </c>
      <c r="G749" s="8" t="s">
        <v>357</v>
      </c>
      <c r="H749" s="11" t="s">
        <v>406</v>
      </c>
      <c r="I749" s="12">
        <v>-99.5</v>
      </c>
      <c r="J749" s="13" t="s">
        <v>21</v>
      </c>
      <c r="K749" s="13" t="s">
        <v>143</v>
      </c>
      <c r="L749" s="13" t="s">
        <v>173</v>
      </c>
      <c r="M749" s="13"/>
      <c r="N749" s="14"/>
      <c r="O749" s="14">
        <f t="shared" si="22"/>
        <v>-99.5</v>
      </c>
      <c r="P749" s="15">
        <f t="shared" si="23"/>
        <v>41816</v>
      </c>
      <c r="Q749" s="15"/>
      <c r="R749" s="16"/>
      <c r="S749" s="16"/>
    </row>
    <row r="750" spans="1:19" x14ac:dyDescent="0.25">
      <c r="A750" s="8" t="s">
        <v>16</v>
      </c>
      <c r="B750" s="8" t="s">
        <v>17</v>
      </c>
      <c r="C750" s="8" t="s">
        <v>18</v>
      </c>
      <c r="D750" s="8">
        <v>2014</v>
      </c>
      <c r="E750" s="9" t="s">
        <v>463</v>
      </c>
      <c r="F750" s="10">
        <v>41816</v>
      </c>
      <c r="G750" s="23"/>
      <c r="H750" s="11" t="s">
        <v>487</v>
      </c>
      <c r="I750" s="12">
        <v>-350</v>
      </c>
      <c r="J750" s="20" t="s">
        <v>21</v>
      </c>
      <c r="K750" s="20" t="s">
        <v>56</v>
      </c>
      <c r="L750" s="20" t="s">
        <v>57</v>
      </c>
      <c r="M750" s="13" t="s">
        <v>386</v>
      </c>
      <c r="N750" s="14"/>
      <c r="O750" s="14">
        <f t="shared" si="22"/>
        <v>-350</v>
      </c>
      <c r="P750" s="15">
        <f t="shared" si="23"/>
        <v>41816</v>
      </c>
      <c r="Q750" s="15"/>
      <c r="R750" s="16"/>
      <c r="S750" s="16"/>
    </row>
    <row r="751" spans="1:19" x14ac:dyDescent="0.25">
      <c r="A751" s="8" t="s">
        <v>16</v>
      </c>
      <c r="B751" s="8" t="s">
        <v>17</v>
      </c>
      <c r="C751" s="8" t="s">
        <v>18</v>
      </c>
      <c r="D751" s="8">
        <v>2014</v>
      </c>
      <c r="E751" s="21" t="s">
        <v>463</v>
      </c>
      <c r="F751" s="10">
        <v>41816</v>
      </c>
      <c r="G751" s="8"/>
      <c r="H751" s="11" t="s">
        <v>545</v>
      </c>
      <c r="I751" s="12">
        <f>-58.61-198-184.54</f>
        <v>-441.15</v>
      </c>
      <c r="J751" s="13" t="s">
        <v>21</v>
      </c>
      <c r="K751" s="13" t="s">
        <v>371</v>
      </c>
      <c r="L751" s="13" t="s">
        <v>372</v>
      </c>
      <c r="M751" s="13" t="s">
        <v>546</v>
      </c>
      <c r="N751" s="14"/>
      <c r="O751" s="14">
        <f t="shared" si="22"/>
        <v>-441.15</v>
      </c>
      <c r="P751" s="15">
        <f t="shared" si="23"/>
        <v>41816</v>
      </c>
      <c r="Q751" s="15"/>
      <c r="R751" s="16"/>
      <c r="S751" s="16"/>
    </row>
    <row r="752" spans="1:19" x14ac:dyDescent="0.25">
      <c r="A752" s="8" t="s">
        <v>16</v>
      </c>
      <c r="B752" s="8" t="s">
        <v>17</v>
      </c>
      <c r="C752" s="8" t="s">
        <v>18</v>
      </c>
      <c r="D752" s="8">
        <v>2014</v>
      </c>
      <c r="E752" s="9" t="s">
        <v>463</v>
      </c>
      <c r="F752" s="10">
        <v>41816</v>
      </c>
      <c r="G752" s="8"/>
      <c r="H752" s="11" t="s">
        <v>545</v>
      </c>
      <c r="I752" s="12">
        <v>-9669.68</v>
      </c>
      <c r="J752" s="13" t="s">
        <v>21</v>
      </c>
      <c r="K752" s="13" t="s">
        <v>371</v>
      </c>
      <c r="L752" s="13" t="s">
        <v>372</v>
      </c>
      <c r="M752" s="13" t="s">
        <v>546</v>
      </c>
      <c r="N752" s="14"/>
      <c r="O752" s="14">
        <f t="shared" si="22"/>
        <v>-9669.68</v>
      </c>
      <c r="P752" s="15">
        <f t="shared" si="23"/>
        <v>41816</v>
      </c>
      <c r="Q752" s="15"/>
      <c r="R752" s="16"/>
      <c r="S752" s="16"/>
    </row>
    <row r="753" spans="1:19" x14ac:dyDescent="0.25">
      <c r="A753" s="23" t="s">
        <v>16</v>
      </c>
      <c r="B753" s="23" t="s">
        <v>17</v>
      </c>
      <c r="C753" s="23" t="s">
        <v>51</v>
      </c>
      <c r="D753" s="8">
        <v>2014</v>
      </c>
      <c r="E753" s="21" t="s">
        <v>463</v>
      </c>
      <c r="F753" s="10">
        <v>41816</v>
      </c>
      <c r="G753" s="8">
        <v>11799</v>
      </c>
      <c r="H753" s="11" t="s">
        <v>549</v>
      </c>
      <c r="I753" s="12">
        <v>10000</v>
      </c>
      <c r="J753" s="13" t="s">
        <v>53</v>
      </c>
      <c r="K753" s="13" t="s">
        <v>54</v>
      </c>
      <c r="L753" s="13"/>
      <c r="M753" s="13"/>
      <c r="N753" s="31"/>
      <c r="O753" s="14">
        <f t="shared" si="22"/>
        <v>10000</v>
      </c>
      <c r="P753" s="15">
        <f t="shared" si="23"/>
        <v>41816</v>
      </c>
      <c r="Q753" s="56"/>
      <c r="R753" s="16"/>
      <c r="S753" s="16"/>
    </row>
    <row r="754" spans="1:19" x14ac:dyDescent="0.25">
      <c r="A754" s="23" t="s">
        <v>16</v>
      </c>
      <c r="B754" s="23" t="s">
        <v>17</v>
      </c>
      <c r="C754" s="23" t="s">
        <v>51</v>
      </c>
      <c r="D754" s="8">
        <v>2014</v>
      </c>
      <c r="E754" s="9" t="s">
        <v>463</v>
      </c>
      <c r="F754" s="10">
        <v>41817</v>
      </c>
      <c r="G754" s="8">
        <v>11720</v>
      </c>
      <c r="H754" s="11" t="s">
        <v>356</v>
      </c>
      <c r="I754" s="12">
        <v>1600</v>
      </c>
      <c r="J754" s="13" t="s">
        <v>53</v>
      </c>
      <c r="K754" s="13" t="s">
        <v>54</v>
      </c>
      <c r="L754" s="13"/>
      <c r="M754" s="13"/>
      <c r="N754" s="31"/>
      <c r="O754" s="14">
        <f t="shared" si="22"/>
        <v>1600</v>
      </c>
      <c r="P754" s="15">
        <f t="shared" si="23"/>
        <v>41817</v>
      </c>
      <c r="Q754" s="56"/>
      <c r="R754" s="16"/>
      <c r="S754" s="16"/>
    </row>
    <row r="755" spans="1:19" x14ac:dyDescent="0.25">
      <c r="A755" s="8" t="s">
        <v>16</v>
      </c>
      <c r="B755" s="8" t="s">
        <v>17</v>
      </c>
      <c r="C755" s="8" t="s">
        <v>18</v>
      </c>
      <c r="D755" s="8">
        <v>2014</v>
      </c>
      <c r="E755" s="21" t="s">
        <v>463</v>
      </c>
      <c r="F755" s="10">
        <v>41817</v>
      </c>
      <c r="G755" s="23"/>
      <c r="H755" s="11" t="s">
        <v>550</v>
      </c>
      <c r="I755" s="12">
        <v>-1103</v>
      </c>
      <c r="J755" s="54" t="s">
        <v>21</v>
      </c>
      <c r="K755" s="54" t="s">
        <v>56</v>
      </c>
      <c r="L755" s="54" t="s">
        <v>57</v>
      </c>
      <c r="M755" s="13" t="s">
        <v>386</v>
      </c>
      <c r="N755" s="14"/>
      <c r="O755" s="14">
        <f t="shared" si="22"/>
        <v>-1103</v>
      </c>
      <c r="P755" s="15">
        <f>F755</f>
        <v>41817</v>
      </c>
      <c r="Q755" s="15"/>
      <c r="R755" s="16"/>
      <c r="S755" s="16"/>
    </row>
    <row r="756" spans="1:19" x14ac:dyDescent="0.25">
      <c r="A756" s="23" t="s">
        <v>16</v>
      </c>
      <c r="B756" s="23" t="s">
        <v>17</v>
      </c>
      <c r="C756" s="23" t="s">
        <v>18</v>
      </c>
      <c r="D756" s="8">
        <v>2014</v>
      </c>
      <c r="E756" s="9" t="s">
        <v>463</v>
      </c>
      <c r="F756" s="10">
        <v>41816</v>
      </c>
      <c r="G756" s="8"/>
      <c r="H756" s="11" t="s">
        <v>340</v>
      </c>
      <c r="I756" s="12">
        <v>-980</v>
      </c>
      <c r="J756" s="13" t="s">
        <v>21</v>
      </c>
      <c r="K756" s="13" t="s">
        <v>56</v>
      </c>
      <c r="L756" s="13" t="s">
        <v>57</v>
      </c>
      <c r="M756" s="13"/>
      <c r="N756" s="14"/>
      <c r="O756" s="14">
        <f t="shared" si="22"/>
        <v>-980</v>
      </c>
      <c r="P756" s="15">
        <f t="shared" ref="P756:P757" si="24">F756</f>
        <v>41816</v>
      </c>
      <c r="Q756" s="15"/>
      <c r="R756" s="16"/>
      <c r="S756" s="16"/>
    </row>
    <row r="757" spans="1:19" x14ac:dyDescent="0.25">
      <c r="A757" s="8" t="s">
        <v>16</v>
      </c>
      <c r="B757" s="8" t="s">
        <v>17</v>
      </c>
      <c r="C757" s="8" t="s">
        <v>18</v>
      </c>
      <c r="D757" s="8">
        <v>2014</v>
      </c>
      <c r="E757" s="21" t="s">
        <v>463</v>
      </c>
      <c r="F757" s="10">
        <v>41816</v>
      </c>
      <c r="G757" s="23"/>
      <c r="H757" s="13" t="s">
        <v>363</v>
      </c>
      <c r="I757" s="12">
        <v>-400</v>
      </c>
      <c r="J757" s="13" t="s">
        <v>21</v>
      </c>
      <c r="K757" s="13" t="s">
        <v>22</v>
      </c>
      <c r="L757" s="13" t="s">
        <v>23</v>
      </c>
      <c r="M757" s="13"/>
      <c r="N757" s="31"/>
      <c r="O757" s="14">
        <f t="shared" si="22"/>
        <v>-400</v>
      </c>
      <c r="P757" s="15">
        <f t="shared" si="24"/>
        <v>41816</v>
      </c>
      <c r="Q757" s="15"/>
      <c r="R757" s="16"/>
      <c r="S757" s="16"/>
    </row>
    <row r="758" spans="1:19" x14ac:dyDescent="0.25">
      <c r="A758" s="23" t="s">
        <v>16</v>
      </c>
      <c r="B758" s="23" t="s">
        <v>17</v>
      </c>
      <c r="C758" s="23" t="s">
        <v>51</v>
      </c>
      <c r="D758" s="8">
        <v>2014</v>
      </c>
      <c r="E758" s="9" t="s">
        <v>463</v>
      </c>
      <c r="F758" s="10">
        <v>41816</v>
      </c>
      <c r="G758" s="8">
        <v>11797</v>
      </c>
      <c r="H758" s="11" t="s">
        <v>551</v>
      </c>
      <c r="I758" s="12">
        <v>3100</v>
      </c>
      <c r="J758" s="13" t="s">
        <v>53</v>
      </c>
      <c r="K758" s="13" t="s">
        <v>54</v>
      </c>
      <c r="L758" s="13"/>
      <c r="M758" s="13"/>
      <c r="N758" s="31"/>
      <c r="O758" s="14">
        <f t="shared" si="22"/>
        <v>3100</v>
      </c>
      <c r="P758" s="15">
        <f t="shared" si="23"/>
        <v>41816</v>
      </c>
      <c r="Q758" s="56"/>
      <c r="R758" s="16"/>
      <c r="S758" s="16"/>
    </row>
    <row r="759" spans="1:19" x14ac:dyDescent="0.25">
      <c r="A759" s="23" t="s">
        <v>16</v>
      </c>
      <c r="B759" s="23" t="s">
        <v>17</v>
      </c>
      <c r="C759" s="23" t="s">
        <v>51</v>
      </c>
      <c r="D759" s="8">
        <v>2014</v>
      </c>
      <c r="E759" s="21" t="s">
        <v>463</v>
      </c>
      <c r="F759" s="30">
        <v>41817</v>
      </c>
      <c r="G759" s="8">
        <v>11805</v>
      </c>
      <c r="H759" s="11" t="s">
        <v>552</v>
      </c>
      <c r="I759" s="12">
        <v>200</v>
      </c>
      <c r="J759" s="13" t="s">
        <v>53</v>
      </c>
      <c r="K759" s="13" t="s">
        <v>54</v>
      </c>
      <c r="L759" s="13"/>
      <c r="M759" s="13"/>
      <c r="N759" s="31"/>
      <c r="O759" s="14">
        <f t="shared" si="22"/>
        <v>200</v>
      </c>
      <c r="P759" s="15">
        <f t="shared" si="23"/>
        <v>41817</v>
      </c>
      <c r="Q759" s="56"/>
      <c r="R759" s="16"/>
      <c r="S759" s="16"/>
    </row>
    <row r="760" spans="1:19" x14ac:dyDescent="0.25">
      <c r="A760" s="23" t="s">
        <v>16</v>
      </c>
      <c r="B760" s="23" t="s">
        <v>17</v>
      </c>
      <c r="C760" s="23" t="s">
        <v>51</v>
      </c>
      <c r="D760" s="8">
        <v>2014</v>
      </c>
      <c r="E760" s="9" t="s">
        <v>463</v>
      </c>
      <c r="F760" s="10">
        <v>41817</v>
      </c>
      <c r="G760" s="8">
        <v>11804</v>
      </c>
      <c r="H760" s="11" t="s">
        <v>553</v>
      </c>
      <c r="I760" s="12">
        <v>100</v>
      </c>
      <c r="J760" s="13" t="s">
        <v>53</v>
      </c>
      <c r="K760" s="13" t="s">
        <v>54</v>
      </c>
      <c r="L760" s="13"/>
      <c r="M760" s="13"/>
      <c r="N760" s="31"/>
      <c r="O760" s="14">
        <f t="shared" si="22"/>
        <v>100</v>
      </c>
      <c r="P760" s="15">
        <f t="shared" si="23"/>
        <v>41817</v>
      </c>
      <c r="Q760" s="56"/>
      <c r="R760" s="16"/>
      <c r="S760" s="16"/>
    </row>
    <row r="761" spans="1:19" x14ac:dyDescent="0.25">
      <c r="A761" s="23" t="s">
        <v>16</v>
      </c>
      <c r="B761" s="23" t="s">
        <v>17</v>
      </c>
      <c r="C761" s="23" t="s">
        <v>51</v>
      </c>
      <c r="D761" s="8">
        <v>2014</v>
      </c>
      <c r="E761" s="21" t="s">
        <v>463</v>
      </c>
      <c r="F761" s="10">
        <v>41817</v>
      </c>
      <c r="G761" s="8">
        <v>11801</v>
      </c>
      <c r="H761" s="11" t="s">
        <v>554</v>
      </c>
      <c r="I761" s="12">
        <v>421.16</v>
      </c>
      <c r="J761" s="13" t="s">
        <v>53</v>
      </c>
      <c r="K761" s="13" t="s">
        <v>54</v>
      </c>
      <c r="L761" s="13"/>
      <c r="M761" s="13"/>
      <c r="N761" s="31"/>
      <c r="O761" s="14">
        <f t="shared" si="22"/>
        <v>421.16</v>
      </c>
      <c r="P761" s="15">
        <f t="shared" si="23"/>
        <v>41817</v>
      </c>
      <c r="Q761" s="56"/>
      <c r="R761" s="16"/>
      <c r="S761" s="16"/>
    </row>
    <row r="762" spans="1:19" x14ac:dyDescent="0.25">
      <c r="A762" s="23" t="s">
        <v>16</v>
      </c>
      <c r="B762" s="23" t="s">
        <v>17</v>
      </c>
      <c r="C762" s="23" t="s">
        <v>18</v>
      </c>
      <c r="D762" s="8">
        <v>2014</v>
      </c>
      <c r="E762" s="9" t="s">
        <v>463</v>
      </c>
      <c r="F762" s="10">
        <v>41817</v>
      </c>
      <c r="G762" s="23"/>
      <c r="H762" s="13" t="s">
        <v>122</v>
      </c>
      <c r="I762" s="12">
        <v>-5000</v>
      </c>
      <c r="J762" s="13" t="s">
        <v>33</v>
      </c>
      <c r="K762" s="13" t="s">
        <v>123</v>
      </c>
      <c r="L762" s="13" t="s">
        <v>124</v>
      </c>
      <c r="M762" s="25" t="s">
        <v>125</v>
      </c>
      <c r="N762" s="31"/>
      <c r="O762" s="14">
        <f t="shared" si="22"/>
        <v>-5000</v>
      </c>
      <c r="P762" s="15">
        <f t="shared" si="23"/>
        <v>41817</v>
      </c>
      <c r="Q762" s="15"/>
      <c r="R762" s="16"/>
      <c r="S762" s="16"/>
    </row>
    <row r="763" spans="1:19" x14ac:dyDescent="0.25">
      <c r="A763" s="23" t="s">
        <v>16</v>
      </c>
      <c r="B763" s="23" t="s">
        <v>17</v>
      </c>
      <c r="C763" s="23" t="s">
        <v>18</v>
      </c>
      <c r="D763" s="8">
        <v>2014</v>
      </c>
      <c r="E763" s="21" t="s">
        <v>463</v>
      </c>
      <c r="F763" s="10">
        <v>41817</v>
      </c>
      <c r="G763" s="23"/>
      <c r="H763" s="13" t="s">
        <v>252</v>
      </c>
      <c r="I763" s="12">
        <v>-48</v>
      </c>
      <c r="J763" s="13" t="s">
        <v>21</v>
      </c>
      <c r="K763" s="13" t="s">
        <v>22</v>
      </c>
      <c r="L763" s="13" t="s">
        <v>71</v>
      </c>
      <c r="M763" s="13" t="s">
        <v>206</v>
      </c>
      <c r="N763" s="31"/>
      <c r="O763" s="14">
        <f t="shared" si="22"/>
        <v>-48</v>
      </c>
      <c r="P763" s="15">
        <f t="shared" si="23"/>
        <v>41817</v>
      </c>
      <c r="Q763" s="15"/>
      <c r="R763" s="16"/>
      <c r="S763" s="16"/>
    </row>
    <row r="764" spans="1:19" x14ac:dyDescent="0.25">
      <c r="A764" s="8" t="s">
        <v>16</v>
      </c>
      <c r="B764" s="8" t="s">
        <v>17</v>
      </c>
      <c r="C764" s="8" t="s">
        <v>18</v>
      </c>
      <c r="D764" s="8">
        <v>2014</v>
      </c>
      <c r="E764" s="9" t="s">
        <v>463</v>
      </c>
      <c r="F764" s="10">
        <v>41817</v>
      </c>
      <c r="G764" s="8"/>
      <c r="H764" s="13" t="s">
        <v>80</v>
      </c>
      <c r="I764" s="12">
        <v>-50</v>
      </c>
      <c r="J764" s="13" t="s">
        <v>21</v>
      </c>
      <c r="K764" s="13" t="s">
        <v>22</v>
      </c>
      <c r="L764" s="13" t="s">
        <v>23</v>
      </c>
      <c r="M764" s="13" t="s">
        <v>28</v>
      </c>
      <c r="N764" s="14"/>
      <c r="O764" s="14">
        <f t="shared" si="22"/>
        <v>-50</v>
      </c>
      <c r="P764" s="15">
        <f t="shared" si="23"/>
        <v>41817</v>
      </c>
      <c r="Q764" s="15"/>
      <c r="R764" s="16"/>
      <c r="S764" s="16"/>
    </row>
    <row r="765" spans="1:19" x14ac:dyDescent="0.25">
      <c r="A765" s="8" t="s">
        <v>16</v>
      </c>
      <c r="B765" s="8" t="s">
        <v>17</v>
      </c>
      <c r="C765" s="8" t="s">
        <v>18</v>
      </c>
      <c r="D765" s="8">
        <v>2014</v>
      </c>
      <c r="E765" s="21" t="s">
        <v>463</v>
      </c>
      <c r="F765" s="10">
        <v>41817</v>
      </c>
      <c r="G765" s="8"/>
      <c r="H765" s="11" t="s">
        <v>152</v>
      </c>
      <c r="I765" s="12">
        <v>-170</v>
      </c>
      <c r="J765" s="13" t="s">
        <v>21</v>
      </c>
      <c r="K765" s="13" t="s">
        <v>22</v>
      </c>
      <c r="L765" s="13" t="s">
        <v>71</v>
      </c>
      <c r="M765" s="13"/>
      <c r="N765" s="14"/>
      <c r="O765" s="14">
        <f t="shared" si="22"/>
        <v>-170</v>
      </c>
      <c r="P765" s="15">
        <f>F765</f>
        <v>41817</v>
      </c>
      <c r="Q765" s="15"/>
      <c r="R765" s="48"/>
      <c r="S765" s="26"/>
    </row>
    <row r="766" spans="1:19" x14ac:dyDescent="0.25">
      <c r="A766" s="23" t="s">
        <v>16</v>
      </c>
      <c r="B766" s="23" t="s">
        <v>17</v>
      </c>
      <c r="C766" s="8" t="s">
        <v>18</v>
      </c>
      <c r="D766" s="8">
        <v>2014</v>
      </c>
      <c r="E766" s="9" t="s">
        <v>463</v>
      </c>
      <c r="F766" s="10">
        <v>41817</v>
      </c>
      <c r="G766" s="8"/>
      <c r="H766" s="11" t="s">
        <v>545</v>
      </c>
      <c r="I766" s="12">
        <v>-421.16</v>
      </c>
      <c r="J766" s="13" t="s">
        <v>21</v>
      </c>
      <c r="K766" s="13" t="s">
        <v>371</v>
      </c>
      <c r="L766" s="13" t="s">
        <v>372</v>
      </c>
      <c r="M766" s="13" t="s">
        <v>546</v>
      </c>
      <c r="N766" s="14"/>
      <c r="O766" s="14">
        <f t="shared" si="22"/>
        <v>-421.16</v>
      </c>
      <c r="P766" s="15">
        <f t="shared" si="23"/>
        <v>41817</v>
      </c>
      <c r="Q766" s="15"/>
      <c r="R766" s="16"/>
      <c r="S766" s="16"/>
    </row>
    <row r="767" spans="1:19" x14ac:dyDescent="0.25">
      <c r="A767" s="23" t="s">
        <v>16</v>
      </c>
      <c r="B767" s="23" t="s">
        <v>17</v>
      </c>
      <c r="C767" s="23" t="s">
        <v>18</v>
      </c>
      <c r="D767" s="8">
        <v>2014</v>
      </c>
      <c r="E767" s="21" t="s">
        <v>463</v>
      </c>
      <c r="F767" s="10">
        <v>41817</v>
      </c>
      <c r="G767" s="8"/>
      <c r="H767" s="11" t="s">
        <v>340</v>
      </c>
      <c r="I767" s="12">
        <f>-880-12</f>
        <v>-892</v>
      </c>
      <c r="J767" s="13" t="s">
        <v>21</v>
      </c>
      <c r="K767" s="13" t="s">
        <v>56</v>
      </c>
      <c r="L767" s="13" t="s">
        <v>57</v>
      </c>
      <c r="M767" s="13"/>
      <c r="N767" s="14"/>
      <c r="O767" s="14">
        <f t="shared" si="22"/>
        <v>-892</v>
      </c>
      <c r="P767" s="15">
        <f t="shared" si="23"/>
        <v>41817</v>
      </c>
      <c r="Q767" s="15"/>
      <c r="R767" s="16"/>
      <c r="S767" s="16"/>
    </row>
    <row r="768" spans="1:19" x14ac:dyDescent="0.25">
      <c r="A768" s="8" t="s">
        <v>16</v>
      </c>
      <c r="B768" s="8" t="s">
        <v>17</v>
      </c>
      <c r="C768" s="8" t="s">
        <v>18</v>
      </c>
      <c r="D768" s="8">
        <v>2014</v>
      </c>
      <c r="E768" s="9" t="s">
        <v>463</v>
      </c>
      <c r="F768" s="10">
        <v>41817</v>
      </c>
      <c r="G768" s="23"/>
      <c r="H768" s="11" t="s">
        <v>269</v>
      </c>
      <c r="I768" s="12">
        <v>-800</v>
      </c>
      <c r="J768" s="20" t="s">
        <v>21</v>
      </c>
      <c r="K768" s="20" t="s">
        <v>56</v>
      </c>
      <c r="L768" s="20" t="s">
        <v>57</v>
      </c>
      <c r="M768" s="13" t="s">
        <v>386</v>
      </c>
      <c r="N768" s="14"/>
      <c r="O768" s="14">
        <f t="shared" si="22"/>
        <v>-800</v>
      </c>
      <c r="P768" s="15">
        <f t="shared" si="23"/>
        <v>41817</v>
      </c>
      <c r="Q768" s="15"/>
      <c r="R768" s="16"/>
      <c r="S768" s="16"/>
    </row>
    <row r="769" spans="1:19" x14ac:dyDescent="0.25">
      <c r="A769" s="8" t="s">
        <v>16</v>
      </c>
      <c r="B769" s="8" t="s">
        <v>17</v>
      </c>
      <c r="C769" s="8" t="s">
        <v>18</v>
      </c>
      <c r="D769" s="8">
        <v>2014</v>
      </c>
      <c r="E769" s="21" t="s">
        <v>463</v>
      </c>
      <c r="F769" s="10">
        <v>41817</v>
      </c>
      <c r="G769" s="23"/>
      <c r="H769" s="11" t="s">
        <v>487</v>
      </c>
      <c r="I769" s="12">
        <v>-400</v>
      </c>
      <c r="J769" s="20" t="s">
        <v>21</v>
      </c>
      <c r="K769" s="20" t="s">
        <v>56</v>
      </c>
      <c r="L769" s="20" t="s">
        <v>57</v>
      </c>
      <c r="M769" s="13" t="s">
        <v>386</v>
      </c>
      <c r="N769" s="14"/>
      <c r="O769" s="14">
        <f t="shared" si="22"/>
        <v>-400</v>
      </c>
      <c r="P769" s="15">
        <f t="shared" si="23"/>
        <v>41817</v>
      </c>
      <c r="Q769" s="15"/>
      <c r="R769" s="16"/>
      <c r="S769" s="16"/>
    </row>
    <row r="770" spans="1:19" x14ac:dyDescent="0.25">
      <c r="A770" s="23" t="s">
        <v>16</v>
      </c>
      <c r="B770" s="23" t="s">
        <v>17</v>
      </c>
      <c r="C770" s="23" t="s">
        <v>51</v>
      </c>
      <c r="D770" s="8">
        <v>2014</v>
      </c>
      <c r="E770" s="9" t="s">
        <v>463</v>
      </c>
      <c r="F770" s="10">
        <v>41817</v>
      </c>
      <c r="G770" s="8">
        <v>11773</v>
      </c>
      <c r="H770" s="11" t="s">
        <v>555</v>
      </c>
      <c r="I770" s="12">
        <v>20000</v>
      </c>
      <c r="J770" s="13" t="s">
        <v>53</v>
      </c>
      <c r="K770" s="13" t="s">
        <v>54</v>
      </c>
      <c r="L770" s="13"/>
      <c r="M770" s="13"/>
      <c r="N770" s="31"/>
      <c r="O770" s="14">
        <f t="shared" si="22"/>
        <v>20000</v>
      </c>
      <c r="P770" s="15">
        <f t="shared" si="23"/>
        <v>41817</v>
      </c>
      <c r="Q770" s="56"/>
      <c r="R770" s="16"/>
      <c r="S770" s="16"/>
    </row>
    <row r="771" spans="1:19" x14ac:dyDescent="0.25">
      <c r="A771" s="23" t="s">
        <v>16</v>
      </c>
      <c r="B771" s="23" t="s">
        <v>17</v>
      </c>
      <c r="C771" s="23" t="s">
        <v>18</v>
      </c>
      <c r="D771" s="8">
        <v>2014</v>
      </c>
      <c r="E771" s="21" t="s">
        <v>463</v>
      </c>
      <c r="F771" s="10">
        <v>41817</v>
      </c>
      <c r="G771" s="8"/>
      <c r="H771" s="11" t="s">
        <v>378</v>
      </c>
      <c r="I771" s="12">
        <v>-329</v>
      </c>
      <c r="J771" s="13" t="s">
        <v>38</v>
      </c>
      <c r="K771" s="13" t="s">
        <v>155</v>
      </c>
      <c r="L771" s="13" t="s">
        <v>91</v>
      </c>
      <c r="M771" s="13"/>
      <c r="N771" s="31"/>
      <c r="O771" s="14">
        <f t="shared" ref="O771:O834" si="25">IF(B771="$",I771,I771/N771)</f>
        <v>-329</v>
      </c>
      <c r="P771" s="15">
        <v>41809</v>
      </c>
      <c r="Q771" s="15"/>
      <c r="R771" s="16"/>
      <c r="S771" s="16"/>
    </row>
    <row r="772" spans="1:19" x14ac:dyDescent="0.25">
      <c r="A772" s="23" t="s">
        <v>16</v>
      </c>
      <c r="B772" s="23" t="s">
        <v>17</v>
      </c>
      <c r="C772" s="23" t="s">
        <v>18</v>
      </c>
      <c r="D772" s="8">
        <v>2014</v>
      </c>
      <c r="E772" s="9" t="s">
        <v>463</v>
      </c>
      <c r="F772" s="10">
        <v>41817</v>
      </c>
      <c r="G772" s="8"/>
      <c r="H772" s="11" t="s">
        <v>379</v>
      </c>
      <c r="I772" s="12">
        <v>-164</v>
      </c>
      <c r="J772" s="13" t="s">
        <v>38</v>
      </c>
      <c r="K772" s="13" t="s">
        <v>155</v>
      </c>
      <c r="L772" s="13" t="s">
        <v>91</v>
      </c>
      <c r="M772" s="13"/>
      <c r="N772" s="31"/>
      <c r="O772" s="14">
        <f t="shared" si="25"/>
        <v>-164</v>
      </c>
      <c r="P772" s="15">
        <v>41809</v>
      </c>
      <c r="Q772" s="15"/>
      <c r="R772" s="16"/>
      <c r="S772" s="16"/>
    </row>
    <row r="773" spans="1:19" x14ac:dyDescent="0.25">
      <c r="A773" s="23" t="s">
        <v>16</v>
      </c>
      <c r="B773" s="23" t="s">
        <v>17</v>
      </c>
      <c r="C773" s="23" t="s">
        <v>18</v>
      </c>
      <c r="D773" s="8">
        <v>2014</v>
      </c>
      <c r="E773" s="21" t="s">
        <v>463</v>
      </c>
      <c r="F773" s="10">
        <v>41817</v>
      </c>
      <c r="G773" s="8"/>
      <c r="H773" s="11" t="s">
        <v>350</v>
      </c>
      <c r="I773" s="12">
        <v>-493</v>
      </c>
      <c r="J773" s="13" t="s">
        <v>38</v>
      </c>
      <c r="K773" s="13" t="s">
        <v>155</v>
      </c>
      <c r="L773" s="13" t="s">
        <v>91</v>
      </c>
      <c r="M773" s="13"/>
      <c r="N773" s="31"/>
      <c r="O773" s="14">
        <f t="shared" si="25"/>
        <v>-493</v>
      </c>
      <c r="P773" s="15">
        <v>41809</v>
      </c>
      <c r="Q773" s="15"/>
      <c r="R773" s="16"/>
      <c r="S773" s="16"/>
    </row>
    <row r="774" spans="1:19" x14ac:dyDescent="0.25">
      <c r="A774" s="23" t="s">
        <v>16</v>
      </c>
      <c r="B774" s="23" t="s">
        <v>17</v>
      </c>
      <c r="C774" s="23" t="s">
        <v>18</v>
      </c>
      <c r="D774" s="8">
        <v>2014</v>
      </c>
      <c r="E774" s="9" t="s">
        <v>463</v>
      </c>
      <c r="F774" s="10">
        <v>41817</v>
      </c>
      <c r="G774" s="23" t="s">
        <v>249</v>
      </c>
      <c r="H774" s="13" t="s">
        <v>533</v>
      </c>
      <c r="I774" s="12">
        <v>-100</v>
      </c>
      <c r="J774" s="13" t="s">
        <v>38</v>
      </c>
      <c r="K774" s="13" t="s">
        <v>90</v>
      </c>
      <c r="L774" s="13" t="s">
        <v>91</v>
      </c>
      <c r="M774" s="13"/>
      <c r="N774" s="31"/>
      <c r="O774" s="14">
        <f t="shared" si="25"/>
        <v>-100</v>
      </c>
      <c r="P774" s="15">
        <v>41809</v>
      </c>
      <c r="Q774" s="15"/>
      <c r="R774" s="26"/>
      <c r="S774" s="26"/>
    </row>
    <row r="775" spans="1:19" x14ac:dyDescent="0.25">
      <c r="A775" s="23" t="s">
        <v>16</v>
      </c>
      <c r="B775" s="23" t="s">
        <v>17</v>
      </c>
      <c r="C775" s="23" t="s">
        <v>18</v>
      </c>
      <c r="D775" s="8">
        <v>2014</v>
      </c>
      <c r="E775" s="21" t="s">
        <v>463</v>
      </c>
      <c r="F775" s="10">
        <v>41817</v>
      </c>
      <c r="G775" s="23" t="s">
        <v>249</v>
      </c>
      <c r="H775" s="13" t="s">
        <v>513</v>
      </c>
      <c r="I775" s="12">
        <v>-500</v>
      </c>
      <c r="J775" s="13" t="s">
        <v>38</v>
      </c>
      <c r="K775" s="13" t="s">
        <v>90</v>
      </c>
      <c r="L775" s="13" t="s">
        <v>91</v>
      </c>
      <c r="M775" s="13"/>
      <c r="N775" s="31"/>
      <c r="O775" s="14">
        <f t="shared" si="25"/>
        <v>-500</v>
      </c>
      <c r="P775" s="15">
        <v>41809</v>
      </c>
      <c r="Q775" s="15"/>
      <c r="R775" s="26"/>
      <c r="S775" s="26"/>
    </row>
    <row r="776" spans="1:19" x14ac:dyDescent="0.25">
      <c r="A776" s="23" t="s">
        <v>16</v>
      </c>
      <c r="B776" s="23" t="s">
        <v>17</v>
      </c>
      <c r="C776" s="23" t="s">
        <v>18</v>
      </c>
      <c r="D776" s="8">
        <v>2014</v>
      </c>
      <c r="E776" s="9" t="s">
        <v>463</v>
      </c>
      <c r="F776" s="10">
        <v>41817</v>
      </c>
      <c r="G776" s="23" t="s">
        <v>249</v>
      </c>
      <c r="H776" s="13" t="s">
        <v>556</v>
      </c>
      <c r="I776" s="12">
        <v>-200</v>
      </c>
      <c r="J776" s="13" t="s">
        <v>38</v>
      </c>
      <c r="K776" s="13" t="s">
        <v>90</v>
      </c>
      <c r="L776" s="13" t="s">
        <v>91</v>
      </c>
      <c r="M776" s="13"/>
      <c r="N776" s="31"/>
      <c r="O776" s="14">
        <f t="shared" si="25"/>
        <v>-200</v>
      </c>
      <c r="P776" s="15">
        <v>41809</v>
      </c>
      <c r="Q776" s="15"/>
      <c r="R776" s="26"/>
      <c r="S776" s="26"/>
    </row>
    <row r="777" spans="1:19" x14ac:dyDescent="0.25">
      <c r="A777" s="23" t="s">
        <v>16</v>
      </c>
      <c r="B777" s="23" t="s">
        <v>17</v>
      </c>
      <c r="C777" s="23" t="s">
        <v>18</v>
      </c>
      <c r="D777" s="8">
        <v>2014</v>
      </c>
      <c r="E777" s="21" t="s">
        <v>463</v>
      </c>
      <c r="F777" s="10">
        <v>41817</v>
      </c>
      <c r="G777" s="23"/>
      <c r="H777" s="13" t="s">
        <v>488</v>
      </c>
      <c r="I777" s="12">
        <v>-602</v>
      </c>
      <c r="J777" s="13" t="s">
        <v>33</v>
      </c>
      <c r="K777" s="13" t="s">
        <v>34</v>
      </c>
      <c r="L777" s="13" t="s">
        <v>35</v>
      </c>
      <c r="M777" s="13" t="s">
        <v>226</v>
      </c>
      <c r="N777" s="14"/>
      <c r="O777" s="14">
        <f t="shared" si="25"/>
        <v>-602</v>
      </c>
      <c r="P777" s="15">
        <f t="shared" ref="P777:P840" si="26">F777</f>
        <v>41817</v>
      </c>
      <c r="Q777" s="15"/>
      <c r="R777" s="26"/>
      <c r="S777" s="26"/>
    </row>
    <row r="778" spans="1:19" x14ac:dyDescent="0.25">
      <c r="A778" s="8" t="s">
        <v>16</v>
      </c>
      <c r="B778" s="8" t="s">
        <v>17</v>
      </c>
      <c r="C778" s="8" t="s">
        <v>18</v>
      </c>
      <c r="D778" s="8">
        <v>2014</v>
      </c>
      <c r="E778" s="9" t="s">
        <v>463</v>
      </c>
      <c r="F778" s="10">
        <v>41818</v>
      </c>
      <c r="G778" s="23"/>
      <c r="H778" s="11" t="s">
        <v>487</v>
      </c>
      <c r="I778" s="12">
        <v>-400</v>
      </c>
      <c r="J778" s="20" t="s">
        <v>21</v>
      </c>
      <c r="K778" s="20" t="s">
        <v>56</v>
      </c>
      <c r="L778" s="20" t="s">
        <v>57</v>
      </c>
      <c r="M778" s="13" t="s">
        <v>386</v>
      </c>
      <c r="N778" s="14"/>
      <c r="O778" s="14">
        <f t="shared" si="25"/>
        <v>-400</v>
      </c>
      <c r="P778" s="15">
        <f t="shared" si="26"/>
        <v>41818</v>
      </c>
      <c r="Q778" s="15"/>
      <c r="R778" s="16"/>
      <c r="S778" s="16"/>
    </row>
    <row r="779" spans="1:19" x14ac:dyDescent="0.25">
      <c r="A779" s="23" t="s">
        <v>16</v>
      </c>
      <c r="B779" s="23" t="s">
        <v>17</v>
      </c>
      <c r="C779" s="23" t="s">
        <v>51</v>
      </c>
      <c r="D779" s="8">
        <v>2014</v>
      </c>
      <c r="E779" s="21" t="s">
        <v>463</v>
      </c>
      <c r="F779" s="10">
        <v>41818</v>
      </c>
      <c r="G779" s="8">
        <v>11806</v>
      </c>
      <c r="H779" s="11" t="s">
        <v>557</v>
      </c>
      <c r="I779" s="12">
        <v>100</v>
      </c>
      <c r="J779" s="13" t="s">
        <v>53</v>
      </c>
      <c r="K779" s="13" t="s">
        <v>54</v>
      </c>
      <c r="L779" s="13"/>
      <c r="M779" s="13"/>
      <c r="N779" s="31"/>
      <c r="O779" s="14">
        <f t="shared" si="25"/>
        <v>100</v>
      </c>
      <c r="P779" s="15">
        <f t="shared" si="26"/>
        <v>41818</v>
      </c>
      <c r="Q779" s="56"/>
      <c r="R779" s="16"/>
      <c r="S779" s="16"/>
    </row>
    <row r="780" spans="1:19" x14ac:dyDescent="0.25">
      <c r="A780" s="23" t="s">
        <v>16</v>
      </c>
      <c r="B780" s="23" t="s">
        <v>17</v>
      </c>
      <c r="C780" s="23" t="s">
        <v>51</v>
      </c>
      <c r="D780" s="8">
        <v>2014</v>
      </c>
      <c r="E780" s="9" t="s">
        <v>463</v>
      </c>
      <c r="F780" s="10">
        <v>41818</v>
      </c>
      <c r="G780" s="8">
        <v>11807</v>
      </c>
      <c r="H780" s="11" t="s">
        <v>558</v>
      </c>
      <c r="I780" s="12">
        <v>300</v>
      </c>
      <c r="J780" s="13" t="s">
        <v>53</v>
      </c>
      <c r="K780" s="13" t="s">
        <v>54</v>
      </c>
      <c r="L780" s="13"/>
      <c r="M780" s="13"/>
      <c r="N780" s="31"/>
      <c r="O780" s="14">
        <f t="shared" si="25"/>
        <v>300</v>
      </c>
      <c r="P780" s="15">
        <f t="shared" si="26"/>
        <v>41818</v>
      </c>
      <c r="Q780" s="56"/>
      <c r="R780" s="16"/>
      <c r="S780" s="16"/>
    </row>
    <row r="781" spans="1:19" x14ac:dyDescent="0.25">
      <c r="A781" s="23" t="s">
        <v>16</v>
      </c>
      <c r="B781" s="23" t="s">
        <v>17</v>
      </c>
      <c r="C781" s="23" t="s">
        <v>51</v>
      </c>
      <c r="D781" s="8">
        <v>2014</v>
      </c>
      <c r="E781" s="21" t="s">
        <v>463</v>
      </c>
      <c r="F781" s="10">
        <v>41818</v>
      </c>
      <c r="G781" s="8">
        <v>11808</v>
      </c>
      <c r="H781" s="11" t="s">
        <v>559</v>
      </c>
      <c r="I781" s="12">
        <v>1000</v>
      </c>
      <c r="J781" s="13" t="s">
        <v>53</v>
      </c>
      <c r="K781" s="13" t="s">
        <v>54</v>
      </c>
      <c r="L781" s="13"/>
      <c r="M781" s="13"/>
      <c r="N781" s="31"/>
      <c r="O781" s="14">
        <f t="shared" si="25"/>
        <v>1000</v>
      </c>
      <c r="P781" s="15">
        <f t="shared" si="26"/>
        <v>41818</v>
      </c>
      <c r="Q781" s="56"/>
      <c r="R781" s="16"/>
      <c r="S781" s="16"/>
    </row>
    <row r="782" spans="1:19" x14ac:dyDescent="0.25">
      <c r="A782" s="23" t="s">
        <v>16</v>
      </c>
      <c r="B782" s="23" t="s">
        <v>17</v>
      </c>
      <c r="C782" s="23" t="s">
        <v>51</v>
      </c>
      <c r="D782" s="8">
        <v>2014</v>
      </c>
      <c r="E782" s="9" t="s">
        <v>463</v>
      </c>
      <c r="F782" s="10">
        <v>41818</v>
      </c>
      <c r="G782" s="8">
        <v>11809</v>
      </c>
      <c r="H782" s="11" t="s">
        <v>560</v>
      </c>
      <c r="I782" s="12">
        <v>100</v>
      </c>
      <c r="J782" s="13" t="s">
        <v>53</v>
      </c>
      <c r="K782" s="13" t="s">
        <v>54</v>
      </c>
      <c r="L782" s="13"/>
      <c r="M782" s="13"/>
      <c r="N782" s="31"/>
      <c r="O782" s="14">
        <f t="shared" si="25"/>
        <v>100</v>
      </c>
      <c r="P782" s="15">
        <f t="shared" si="26"/>
        <v>41818</v>
      </c>
      <c r="Q782" s="56"/>
      <c r="R782" s="16"/>
      <c r="S782" s="16"/>
    </row>
    <row r="783" spans="1:19" x14ac:dyDescent="0.25">
      <c r="A783" s="23" t="s">
        <v>16</v>
      </c>
      <c r="B783" s="23" t="s">
        <v>17</v>
      </c>
      <c r="C783" s="23" t="s">
        <v>51</v>
      </c>
      <c r="D783" s="8">
        <v>2014</v>
      </c>
      <c r="E783" s="21" t="s">
        <v>463</v>
      </c>
      <c r="F783" s="10">
        <v>41818</v>
      </c>
      <c r="G783" s="8">
        <v>11810</v>
      </c>
      <c r="H783" s="11" t="s">
        <v>561</v>
      </c>
      <c r="I783" s="12">
        <v>500</v>
      </c>
      <c r="J783" s="13" t="s">
        <v>53</v>
      </c>
      <c r="K783" s="13" t="s">
        <v>54</v>
      </c>
      <c r="L783" s="13"/>
      <c r="M783" s="13"/>
      <c r="N783" s="31"/>
      <c r="O783" s="14">
        <f t="shared" si="25"/>
        <v>500</v>
      </c>
      <c r="P783" s="15">
        <f t="shared" si="26"/>
        <v>41818</v>
      </c>
      <c r="Q783" s="56"/>
      <c r="R783" s="16"/>
      <c r="S783" s="16"/>
    </row>
    <row r="784" spans="1:19" x14ac:dyDescent="0.25">
      <c r="A784" s="23" t="s">
        <v>16</v>
      </c>
      <c r="B784" s="23" t="s">
        <v>17</v>
      </c>
      <c r="C784" s="23" t="s">
        <v>51</v>
      </c>
      <c r="D784" s="8">
        <v>2014</v>
      </c>
      <c r="E784" s="9" t="s">
        <v>463</v>
      </c>
      <c r="F784" s="10">
        <v>41818</v>
      </c>
      <c r="G784" s="8">
        <v>11811</v>
      </c>
      <c r="H784" s="11" t="s">
        <v>562</v>
      </c>
      <c r="I784" s="12">
        <v>100</v>
      </c>
      <c r="J784" s="13" t="s">
        <v>53</v>
      </c>
      <c r="K784" s="13" t="s">
        <v>54</v>
      </c>
      <c r="L784" s="13"/>
      <c r="M784" s="13"/>
      <c r="N784" s="31"/>
      <c r="O784" s="14">
        <f t="shared" si="25"/>
        <v>100</v>
      </c>
      <c r="P784" s="15">
        <f t="shared" si="26"/>
        <v>41818</v>
      </c>
      <c r="Q784" s="56"/>
      <c r="R784" s="16"/>
      <c r="S784" s="16"/>
    </row>
    <row r="785" spans="1:19" x14ac:dyDescent="0.25">
      <c r="A785" s="23" t="s">
        <v>16</v>
      </c>
      <c r="B785" s="23" t="s">
        <v>17</v>
      </c>
      <c r="C785" s="23" t="s">
        <v>51</v>
      </c>
      <c r="D785" s="8">
        <v>2014</v>
      </c>
      <c r="E785" s="21" t="s">
        <v>463</v>
      </c>
      <c r="F785" s="10">
        <v>41818</v>
      </c>
      <c r="G785" s="8">
        <v>11812</v>
      </c>
      <c r="H785" s="11" t="s">
        <v>563</v>
      </c>
      <c r="I785" s="12">
        <v>100</v>
      </c>
      <c r="J785" s="13" t="s">
        <v>53</v>
      </c>
      <c r="K785" s="13" t="s">
        <v>54</v>
      </c>
      <c r="L785" s="13"/>
      <c r="M785" s="13"/>
      <c r="N785" s="31"/>
      <c r="O785" s="14">
        <f t="shared" si="25"/>
        <v>100</v>
      </c>
      <c r="P785" s="15">
        <f t="shared" si="26"/>
        <v>41818</v>
      </c>
      <c r="Q785" s="56"/>
      <c r="R785" s="16"/>
      <c r="S785" s="16"/>
    </row>
    <row r="786" spans="1:19" x14ac:dyDescent="0.25">
      <c r="A786" s="23" t="s">
        <v>16</v>
      </c>
      <c r="B786" s="23" t="s">
        <v>17</v>
      </c>
      <c r="C786" s="23" t="s">
        <v>51</v>
      </c>
      <c r="D786" s="8">
        <v>2014</v>
      </c>
      <c r="E786" s="9" t="s">
        <v>463</v>
      </c>
      <c r="F786" s="10">
        <v>41819</v>
      </c>
      <c r="G786" s="8">
        <v>11816</v>
      </c>
      <c r="H786" s="11" t="s">
        <v>564</v>
      </c>
      <c r="I786" s="12">
        <v>100</v>
      </c>
      <c r="J786" s="13" t="s">
        <v>53</v>
      </c>
      <c r="K786" s="13" t="s">
        <v>54</v>
      </c>
      <c r="L786" s="13"/>
      <c r="M786" s="13"/>
      <c r="N786" s="31"/>
      <c r="O786" s="14">
        <f t="shared" si="25"/>
        <v>100</v>
      </c>
      <c r="P786" s="15">
        <f t="shared" si="26"/>
        <v>41819</v>
      </c>
      <c r="Q786" s="56"/>
      <c r="R786" s="16"/>
      <c r="S786" s="16"/>
    </row>
    <row r="787" spans="1:19" x14ac:dyDescent="0.25">
      <c r="A787" s="23" t="s">
        <v>16</v>
      </c>
      <c r="B787" s="23" t="s">
        <v>17</v>
      </c>
      <c r="C787" s="23" t="s">
        <v>51</v>
      </c>
      <c r="D787" s="8">
        <v>2014</v>
      </c>
      <c r="E787" s="21" t="s">
        <v>463</v>
      </c>
      <c r="F787" s="10">
        <v>41819</v>
      </c>
      <c r="G787" s="8">
        <v>11815</v>
      </c>
      <c r="H787" s="11" t="s">
        <v>565</v>
      </c>
      <c r="I787" s="12">
        <v>100</v>
      </c>
      <c r="J787" s="13" t="s">
        <v>53</v>
      </c>
      <c r="K787" s="13" t="s">
        <v>54</v>
      </c>
      <c r="L787" s="13"/>
      <c r="M787" s="13"/>
      <c r="N787" s="31"/>
      <c r="O787" s="14">
        <f t="shared" si="25"/>
        <v>100</v>
      </c>
      <c r="P787" s="15">
        <f t="shared" si="26"/>
        <v>41819</v>
      </c>
      <c r="Q787" s="56"/>
      <c r="R787" s="16"/>
      <c r="S787" s="16"/>
    </row>
    <row r="788" spans="1:19" x14ac:dyDescent="0.25">
      <c r="A788" s="23" t="s">
        <v>16</v>
      </c>
      <c r="B788" s="23" t="s">
        <v>17</v>
      </c>
      <c r="C788" s="23" t="s">
        <v>51</v>
      </c>
      <c r="D788" s="8">
        <v>2014</v>
      </c>
      <c r="E788" s="9" t="s">
        <v>463</v>
      </c>
      <c r="F788" s="10">
        <v>41819</v>
      </c>
      <c r="G788" s="8">
        <v>11813</v>
      </c>
      <c r="H788" s="11" t="s">
        <v>566</v>
      </c>
      <c r="I788" s="12">
        <v>100</v>
      </c>
      <c r="J788" s="13" t="s">
        <v>53</v>
      </c>
      <c r="K788" s="13" t="s">
        <v>54</v>
      </c>
      <c r="L788" s="13"/>
      <c r="M788" s="13"/>
      <c r="N788" s="31"/>
      <c r="O788" s="14">
        <f t="shared" si="25"/>
        <v>100</v>
      </c>
      <c r="P788" s="15">
        <f t="shared" si="26"/>
        <v>41819</v>
      </c>
      <c r="Q788" s="56"/>
      <c r="R788" s="16"/>
      <c r="S788" s="16"/>
    </row>
    <row r="789" spans="1:19" x14ac:dyDescent="0.25">
      <c r="A789" s="23" t="s">
        <v>16</v>
      </c>
      <c r="B789" s="23" t="s">
        <v>17</v>
      </c>
      <c r="C789" s="23" t="s">
        <v>51</v>
      </c>
      <c r="D789" s="8">
        <v>2014</v>
      </c>
      <c r="E789" s="21" t="s">
        <v>463</v>
      </c>
      <c r="F789" s="10">
        <v>41819</v>
      </c>
      <c r="G789" s="8">
        <v>11815</v>
      </c>
      <c r="H789" s="11" t="s">
        <v>567</v>
      </c>
      <c r="I789" s="12">
        <v>100</v>
      </c>
      <c r="J789" s="13" t="s">
        <v>53</v>
      </c>
      <c r="K789" s="13" t="s">
        <v>54</v>
      </c>
      <c r="L789" s="13"/>
      <c r="M789" s="13"/>
      <c r="N789" s="31"/>
      <c r="O789" s="14">
        <f t="shared" si="25"/>
        <v>100</v>
      </c>
      <c r="P789" s="15">
        <f t="shared" si="26"/>
        <v>41819</v>
      </c>
      <c r="Q789" s="56"/>
      <c r="R789" s="16"/>
      <c r="S789" s="16"/>
    </row>
    <row r="790" spans="1:19" x14ac:dyDescent="0.25">
      <c r="A790" s="23" t="s">
        <v>16</v>
      </c>
      <c r="B790" s="23" t="s">
        <v>17</v>
      </c>
      <c r="C790" s="23" t="s">
        <v>51</v>
      </c>
      <c r="D790" s="8">
        <v>2014</v>
      </c>
      <c r="E790" s="9" t="s">
        <v>463</v>
      </c>
      <c r="F790" s="10">
        <v>41820</v>
      </c>
      <c r="G790" s="8">
        <v>11807</v>
      </c>
      <c r="H790" s="11" t="s">
        <v>568</v>
      </c>
      <c r="I790" s="12">
        <v>29700</v>
      </c>
      <c r="J790" s="13" t="s">
        <v>53</v>
      </c>
      <c r="K790" s="13" t="s">
        <v>54</v>
      </c>
      <c r="L790" s="13"/>
      <c r="M790" s="13"/>
      <c r="N790" s="31"/>
      <c r="O790" s="14">
        <f t="shared" si="25"/>
        <v>29700</v>
      </c>
      <c r="P790" s="15">
        <f t="shared" si="26"/>
        <v>41820</v>
      </c>
      <c r="Q790" s="56"/>
      <c r="R790" s="16"/>
      <c r="S790" s="16"/>
    </row>
    <row r="791" spans="1:19" x14ac:dyDescent="0.25">
      <c r="A791" s="23" t="s">
        <v>16</v>
      </c>
      <c r="B791" s="23" t="s">
        <v>17</v>
      </c>
      <c r="C791" s="23" t="s">
        <v>51</v>
      </c>
      <c r="D791" s="8">
        <v>2014</v>
      </c>
      <c r="E791" s="21" t="s">
        <v>463</v>
      </c>
      <c r="F791" s="10">
        <v>41820</v>
      </c>
      <c r="G791" s="8">
        <v>11739</v>
      </c>
      <c r="H791" s="11" t="s">
        <v>569</v>
      </c>
      <c r="I791" s="12">
        <v>2100</v>
      </c>
      <c r="J791" s="13" t="s">
        <v>53</v>
      </c>
      <c r="K791" s="13" t="s">
        <v>54</v>
      </c>
      <c r="L791" s="13"/>
      <c r="M791" s="13"/>
      <c r="N791" s="31"/>
      <c r="O791" s="14">
        <f t="shared" si="25"/>
        <v>2100</v>
      </c>
      <c r="P791" s="15">
        <f t="shared" si="26"/>
        <v>41820</v>
      </c>
      <c r="Q791" s="56"/>
      <c r="R791" s="16"/>
      <c r="S791" s="16"/>
    </row>
    <row r="792" spans="1:19" x14ac:dyDescent="0.25">
      <c r="A792" s="23" t="s">
        <v>16</v>
      </c>
      <c r="B792" s="23" t="s">
        <v>17</v>
      </c>
      <c r="C792" s="23" t="s">
        <v>18</v>
      </c>
      <c r="D792" s="8">
        <v>2014</v>
      </c>
      <c r="E792" s="9" t="s">
        <v>463</v>
      </c>
      <c r="F792" s="10">
        <v>41820</v>
      </c>
      <c r="G792" s="8"/>
      <c r="H792" s="11" t="s">
        <v>340</v>
      </c>
      <c r="I792" s="12">
        <v>-1290</v>
      </c>
      <c r="J792" s="13" t="s">
        <v>21</v>
      </c>
      <c r="K792" s="13" t="s">
        <v>56</v>
      </c>
      <c r="L792" s="13" t="s">
        <v>57</v>
      </c>
      <c r="M792" s="13"/>
      <c r="N792" s="14"/>
      <c r="O792" s="14">
        <f t="shared" si="25"/>
        <v>-1290</v>
      </c>
      <c r="P792" s="15">
        <f t="shared" si="26"/>
        <v>41820</v>
      </c>
      <c r="Q792" s="15"/>
      <c r="R792" s="16"/>
      <c r="S792" s="16"/>
    </row>
    <row r="793" spans="1:19" x14ac:dyDescent="0.25">
      <c r="A793" s="8" t="s">
        <v>16</v>
      </c>
      <c r="B793" s="8" t="s">
        <v>17</v>
      </c>
      <c r="C793" s="8" t="s">
        <v>18</v>
      </c>
      <c r="D793" s="8">
        <v>2014</v>
      </c>
      <c r="E793" s="21" t="s">
        <v>463</v>
      </c>
      <c r="F793" s="10">
        <v>41820</v>
      </c>
      <c r="G793" s="23"/>
      <c r="H793" s="17" t="s">
        <v>62</v>
      </c>
      <c r="I793" s="12">
        <v>-100</v>
      </c>
      <c r="J793" s="13" t="s">
        <v>21</v>
      </c>
      <c r="K793" s="13" t="s">
        <v>63</v>
      </c>
      <c r="L793" s="13" t="s">
        <v>64</v>
      </c>
      <c r="M793" s="13"/>
      <c r="N793" s="14"/>
      <c r="O793" s="14">
        <f t="shared" si="25"/>
        <v>-100</v>
      </c>
      <c r="P793" s="15">
        <f t="shared" si="26"/>
        <v>41820</v>
      </c>
      <c r="Q793" s="15"/>
      <c r="R793" s="16"/>
      <c r="S793" s="16"/>
    </row>
    <row r="794" spans="1:19" x14ac:dyDescent="0.25">
      <c r="A794" s="23" t="s">
        <v>16</v>
      </c>
      <c r="B794" s="23" t="s">
        <v>17</v>
      </c>
      <c r="C794" s="23" t="s">
        <v>18</v>
      </c>
      <c r="D794" s="8">
        <v>2014</v>
      </c>
      <c r="E794" s="9" t="s">
        <v>463</v>
      </c>
      <c r="F794" s="10">
        <v>41820</v>
      </c>
      <c r="G794" s="8"/>
      <c r="H794" s="11" t="s">
        <v>399</v>
      </c>
      <c r="I794" s="12">
        <f>-20-70-58-75-57-78-27-25-25-25-41</f>
        <v>-501</v>
      </c>
      <c r="J794" s="13" t="s">
        <v>21</v>
      </c>
      <c r="K794" s="13" t="s">
        <v>56</v>
      </c>
      <c r="L794" s="13" t="s">
        <v>111</v>
      </c>
      <c r="M794" s="13" t="s">
        <v>28</v>
      </c>
      <c r="N794" s="31"/>
      <c r="O794" s="14">
        <f t="shared" si="25"/>
        <v>-501</v>
      </c>
      <c r="P794" s="15">
        <f t="shared" si="26"/>
        <v>41820</v>
      </c>
      <c r="Q794" s="15"/>
      <c r="R794" s="16"/>
      <c r="S794" s="16"/>
    </row>
    <row r="795" spans="1:19" x14ac:dyDescent="0.25">
      <c r="A795" s="23" t="s">
        <v>16</v>
      </c>
      <c r="B795" s="23" t="s">
        <v>17</v>
      </c>
      <c r="C795" s="23" t="s">
        <v>18</v>
      </c>
      <c r="D795" s="8">
        <v>2014</v>
      </c>
      <c r="E795" s="21" t="s">
        <v>463</v>
      </c>
      <c r="F795" s="10">
        <v>41820</v>
      </c>
      <c r="G795" s="23"/>
      <c r="H795" s="13" t="s">
        <v>492</v>
      </c>
      <c r="I795" s="12">
        <f>-64-181-121-31</f>
        <v>-397</v>
      </c>
      <c r="J795" s="13" t="s">
        <v>21</v>
      </c>
      <c r="K795" s="13" t="s">
        <v>22</v>
      </c>
      <c r="L795" s="13" t="s">
        <v>71</v>
      </c>
      <c r="M795" s="13"/>
      <c r="N795" s="14"/>
      <c r="O795" s="14">
        <f t="shared" si="25"/>
        <v>-397</v>
      </c>
      <c r="P795" s="15">
        <f t="shared" si="26"/>
        <v>41820</v>
      </c>
      <c r="Q795" s="15"/>
      <c r="R795" s="16"/>
      <c r="S795" s="16"/>
    </row>
    <row r="796" spans="1:19" x14ac:dyDescent="0.25">
      <c r="A796" s="23" t="s">
        <v>16</v>
      </c>
      <c r="B796" s="23" t="s">
        <v>17</v>
      </c>
      <c r="C796" s="23" t="s">
        <v>18</v>
      </c>
      <c r="D796" s="8">
        <v>2014</v>
      </c>
      <c r="E796" s="9" t="s">
        <v>463</v>
      </c>
      <c r="F796" s="10">
        <v>41820</v>
      </c>
      <c r="G796" s="23"/>
      <c r="H796" s="13" t="s">
        <v>122</v>
      </c>
      <c r="I796" s="12">
        <v>-3000</v>
      </c>
      <c r="J796" s="13" t="s">
        <v>33</v>
      </c>
      <c r="K796" s="13" t="s">
        <v>123</v>
      </c>
      <c r="L796" s="13" t="s">
        <v>124</v>
      </c>
      <c r="M796" s="25" t="s">
        <v>125</v>
      </c>
      <c r="N796" s="31"/>
      <c r="O796" s="14">
        <f t="shared" si="25"/>
        <v>-3000</v>
      </c>
      <c r="P796" s="15">
        <f t="shared" si="26"/>
        <v>41820</v>
      </c>
      <c r="Q796" s="15"/>
      <c r="R796" s="16"/>
      <c r="S796" s="16"/>
    </row>
    <row r="797" spans="1:19" x14ac:dyDescent="0.25">
      <c r="A797" s="8" t="s">
        <v>16</v>
      </c>
      <c r="B797" s="8" t="s">
        <v>17</v>
      </c>
      <c r="C797" s="8" t="s">
        <v>18</v>
      </c>
      <c r="D797" s="8">
        <v>2014</v>
      </c>
      <c r="E797" s="21" t="s">
        <v>463</v>
      </c>
      <c r="F797" s="10">
        <v>41820</v>
      </c>
      <c r="G797" s="23"/>
      <c r="H797" s="11" t="s">
        <v>487</v>
      </c>
      <c r="I797" s="12">
        <v>-250</v>
      </c>
      <c r="J797" s="20" t="s">
        <v>21</v>
      </c>
      <c r="K797" s="20" t="s">
        <v>56</v>
      </c>
      <c r="L797" s="20" t="s">
        <v>57</v>
      </c>
      <c r="M797" s="13" t="s">
        <v>386</v>
      </c>
      <c r="N797" s="14"/>
      <c r="O797" s="14">
        <f t="shared" si="25"/>
        <v>-250</v>
      </c>
      <c r="P797" s="15">
        <f t="shared" si="26"/>
        <v>41820</v>
      </c>
      <c r="Q797" s="15"/>
      <c r="R797" s="16"/>
      <c r="S797" s="16"/>
    </row>
    <row r="798" spans="1:19" x14ac:dyDescent="0.25">
      <c r="A798" s="8" t="s">
        <v>16</v>
      </c>
      <c r="B798" s="8" t="s">
        <v>17</v>
      </c>
      <c r="C798" s="8" t="s">
        <v>41</v>
      </c>
      <c r="D798" s="8">
        <v>2014</v>
      </c>
      <c r="E798" s="9" t="s">
        <v>570</v>
      </c>
      <c r="F798" s="10">
        <v>41821</v>
      </c>
      <c r="G798" s="8"/>
      <c r="H798" s="11" t="s">
        <v>43</v>
      </c>
      <c r="I798" s="29">
        <v>109396.00640000013</v>
      </c>
      <c r="J798" s="13" t="s">
        <v>44</v>
      </c>
      <c r="K798" s="13"/>
      <c r="L798" s="13"/>
      <c r="M798" s="13"/>
      <c r="N798" s="14"/>
      <c r="O798" s="14">
        <f t="shared" si="25"/>
        <v>109396.00640000013</v>
      </c>
      <c r="P798" s="15">
        <f t="shared" si="26"/>
        <v>41821</v>
      </c>
      <c r="Q798" s="15"/>
      <c r="R798" s="26"/>
      <c r="S798" s="16"/>
    </row>
    <row r="799" spans="1:19" x14ac:dyDescent="0.25">
      <c r="A799" s="8" t="s">
        <v>16</v>
      </c>
      <c r="B799" s="8" t="s">
        <v>45</v>
      </c>
      <c r="C799" s="8" t="s">
        <v>41</v>
      </c>
      <c r="D799" s="8">
        <v>2014</v>
      </c>
      <c r="E799" s="9" t="s">
        <v>570</v>
      </c>
      <c r="F799" s="10">
        <v>41821</v>
      </c>
      <c r="G799" s="8"/>
      <c r="H799" s="11" t="s">
        <v>43</v>
      </c>
      <c r="I799" s="29"/>
      <c r="J799" s="13" t="s">
        <v>44</v>
      </c>
      <c r="K799" s="13"/>
      <c r="L799" s="13"/>
      <c r="M799" s="13"/>
      <c r="N799" s="14">
        <v>11.12</v>
      </c>
      <c r="O799" s="14">
        <f t="shared" si="25"/>
        <v>0</v>
      </c>
      <c r="P799" s="15">
        <f t="shared" si="26"/>
        <v>41821</v>
      </c>
      <c r="Q799" s="15"/>
      <c r="R799" s="26"/>
      <c r="S799" s="16"/>
    </row>
    <row r="800" spans="1:19" x14ac:dyDescent="0.25">
      <c r="A800" s="8" t="s">
        <v>16</v>
      </c>
      <c r="B800" s="8" t="s">
        <v>17</v>
      </c>
      <c r="C800" s="23" t="s">
        <v>18</v>
      </c>
      <c r="D800" s="8">
        <v>2014</v>
      </c>
      <c r="E800" s="9" t="s">
        <v>570</v>
      </c>
      <c r="F800" s="10">
        <v>41462</v>
      </c>
      <c r="G800" s="8"/>
      <c r="H800" s="19" t="s">
        <v>571</v>
      </c>
      <c r="I800" s="58">
        <v>-530</v>
      </c>
      <c r="J800" s="19" t="s">
        <v>21</v>
      </c>
      <c r="K800" s="37" t="s">
        <v>143</v>
      </c>
      <c r="L800" s="19" t="s">
        <v>375</v>
      </c>
      <c r="M800" s="25"/>
      <c r="N800" s="25"/>
      <c r="O800" s="14">
        <f t="shared" si="25"/>
        <v>-530</v>
      </c>
      <c r="P800" s="15">
        <f t="shared" si="26"/>
        <v>41462</v>
      </c>
      <c r="Q800" s="15"/>
      <c r="R800" s="16"/>
      <c r="S800" s="16"/>
    </row>
    <row r="801" spans="1:19" x14ac:dyDescent="0.25">
      <c r="A801" s="8" t="s">
        <v>16</v>
      </c>
      <c r="B801" s="8" t="s">
        <v>17</v>
      </c>
      <c r="C801" s="8" t="s">
        <v>18</v>
      </c>
      <c r="D801" s="8">
        <v>2014</v>
      </c>
      <c r="E801" s="9" t="s">
        <v>570</v>
      </c>
      <c r="F801" s="10">
        <v>41462</v>
      </c>
      <c r="G801" s="8"/>
      <c r="H801" s="11" t="s">
        <v>195</v>
      </c>
      <c r="I801" s="12">
        <v>-950</v>
      </c>
      <c r="J801" s="13" t="s">
        <v>21</v>
      </c>
      <c r="K801" s="13" t="s">
        <v>143</v>
      </c>
      <c r="L801" s="13" t="s">
        <v>196</v>
      </c>
      <c r="M801" s="13" t="s">
        <v>197</v>
      </c>
      <c r="N801" s="14"/>
      <c r="O801" s="14">
        <f t="shared" si="25"/>
        <v>-950</v>
      </c>
      <c r="P801" s="15">
        <f t="shared" si="26"/>
        <v>41462</v>
      </c>
      <c r="Q801" s="15"/>
      <c r="R801" s="16"/>
      <c r="S801" s="16"/>
    </row>
    <row r="802" spans="1:19" x14ac:dyDescent="0.25">
      <c r="A802" s="8" t="s">
        <v>16</v>
      </c>
      <c r="B802" s="8" t="s">
        <v>17</v>
      </c>
      <c r="C802" s="8" t="s">
        <v>18</v>
      </c>
      <c r="D802" s="8">
        <v>2014</v>
      </c>
      <c r="E802" s="9" t="s">
        <v>570</v>
      </c>
      <c r="F802" s="10">
        <v>41465</v>
      </c>
      <c r="G802" s="8"/>
      <c r="H802" s="13" t="s">
        <v>153</v>
      </c>
      <c r="I802" s="12">
        <v>-120</v>
      </c>
      <c r="J802" s="13" t="s">
        <v>33</v>
      </c>
      <c r="K802" s="13" t="s">
        <v>34</v>
      </c>
      <c r="L802" s="13" t="s">
        <v>76</v>
      </c>
      <c r="M802" s="13"/>
      <c r="N802" s="14"/>
      <c r="O802" s="14">
        <f t="shared" si="25"/>
        <v>-120</v>
      </c>
      <c r="P802" s="15">
        <f t="shared" si="26"/>
        <v>41465</v>
      </c>
      <c r="Q802" s="15"/>
      <c r="R802" s="16"/>
      <c r="S802" s="16"/>
    </row>
    <row r="803" spans="1:19" x14ac:dyDescent="0.25">
      <c r="A803" s="8" t="s">
        <v>16</v>
      </c>
      <c r="B803" s="8" t="s">
        <v>17</v>
      </c>
      <c r="C803" s="8" t="s">
        <v>18</v>
      </c>
      <c r="D803" s="8">
        <v>2014</v>
      </c>
      <c r="E803" s="9" t="s">
        <v>570</v>
      </c>
      <c r="F803" s="10">
        <v>41466</v>
      </c>
      <c r="G803" s="8"/>
      <c r="H803" s="11" t="s">
        <v>572</v>
      </c>
      <c r="I803" s="12">
        <f>-90-75</f>
        <v>-165</v>
      </c>
      <c r="J803" s="13" t="s">
        <v>21</v>
      </c>
      <c r="K803" s="13" t="s">
        <v>63</v>
      </c>
      <c r="L803" s="13" t="s">
        <v>64</v>
      </c>
      <c r="M803" s="13" t="s">
        <v>211</v>
      </c>
      <c r="N803" s="14"/>
      <c r="O803" s="14">
        <f t="shared" si="25"/>
        <v>-165</v>
      </c>
      <c r="P803" s="15">
        <f t="shared" si="26"/>
        <v>41466</v>
      </c>
      <c r="Q803" s="15"/>
      <c r="R803" s="16"/>
      <c r="S803" s="16"/>
    </row>
    <row r="804" spans="1:19" x14ac:dyDescent="0.25">
      <c r="A804" s="8" t="s">
        <v>16</v>
      </c>
      <c r="B804" s="8" t="s">
        <v>17</v>
      </c>
      <c r="C804" s="8" t="s">
        <v>18</v>
      </c>
      <c r="D804" s="8">
        <v>2014</v>
      </c>
      <c r="E804" s="9" t="s">
        <v>570</v>
      </c>
      <c r="F804" s="10">
        <v>41821</v>
      </c>
      <c r="G804" s="8"/>
      <c r="H804" s="11" t="s">
        <v>573</v>
      </c>
      <c r="I804" s="12">
        <v>-1320</v>
      </c>
      <c r="J804" s="13" t="s">
        <v>169</v>
      </c>
      <c r="K804" s="13" t="s">
        <v>170</v>
      </c>
      <c r="L804" s="13" t="s">
        <v>171</v>
      </c>
      <c r="M804" s="13" t="s">
        <v>574</v>
      </c>
      <c r="N804" s="14"/>
      <c r="O804" s="14">
        <f t="shared" si="25"/>
        <v>-1320</v>
      </c>
      <c r="P804" s="15">
        <f t="shared" si="26"/>
        <v>41821</v>
      </c>
      <c r="Q804" s="15"/>
      <c r="R804" s="16"/>
      <c r="S804" s="16"/>
    </row>
    <row r="805" spans="1:19" x14ac:dyDescent="0.25">
      <c r="A805" s="8" t="s">
        <v>16</v>
      </c>
      <c r="B805" s="8" t="s">
        <v>17</v>
      </c>
      <c r="C805" s="8" t="s">
        <v>18</v>
      </c>
      <c r="D805" s="8">
        <v>2014</v>
      </c>
      <c r="E805" s="9" t="s">
        <v>570</v>
      </c>
      <c r="F805" s="10">
        <v>41821</v>
      </c>
      <c r="G805" s="8"/>
      <c r="H805" s="11" t="s">
        <v>573</v>
      </c>
      <c r="I805" s="12">
        <v>-1150</v>
      </c>
      <c r="J805" s="13" t="s">
        <v>169</v>
      </c>
      <c r="K805" s="13" t="s">
        <v>170</v>
      </c>
      <c r="L805" s="13" t="s">
        <v>171</v>
      </c>
      <c r="M805" s="13" t="s">
        <v>574</v>
      </c>
      <c r="N805" s="14"/>
      <c r="O805" s="14">
        <f t="shared" si="25"/>
        <v>-1150</v>
      </c>
      <c r="P805" s="15">
        <f t="shared" si="26"/>
        <v>41821</v>
      </c>
      <c r="Q805" s="15"/>
      <c r="R805" s="16"/>
      <c r="S805" s="16"/>
    </row>
    <row r="806" spans="1:19" x14ac:dyDescent="0.25">
      <c r="A806" s="8" t="s">
        <v>16</v>
      </c>
      <c r="B806" s="8" t="s">
        <v>17</v>
      </c>
      <c r="C806" s="8" t="s">
        <v>18</v>
      </c>
      <c r="D806" s="8">
        <v>2014</v>
      </c>
      <c r="E806" s="9" t="s">
        <v>570</v>
      </c>
      <c r="F806" s="10">
        <v>41821</v>
      </c>
      <c r="G806" s="8"/>
      <c r="H806" s="11" t="s">
        <v>449</v>
      </c>
      <c r="I806" s="12">
        <v>-847</v>
      </c>
      <c r="J806" s="59" t="s">
        <v>21</v>
      </c>
      <c r="K806" s="59" t="s">
        <v>25</v>
      </c>
      <c r="L806" s="59" t="s">
        <v>26</v>
      </c>
      <c r="M806" s="13" t="s">
        <v>127</v>
      </c>
      <c r="N806" s="14"/>
      <c r="O806" s="14">
        <f t="shared" si="25"/>
        <v>-847</v>
      </c>
      <c r="P806" s="15">
        <f t="shared" si="26"/>
        <v>41821</v>
      </c>
      <c r="Q806" s="15"/>
      <c r="R806" s="16"/>
      <c r="S806" s="16"/>
    </row>
    <row r="807" spans="1:19" x14ac:dyDescent="0.25">
      <c r="A807" s="8" t="s">
        <v>16</v>
      </c>
      <c r="B807" s="8" t="s">
        <v>17</v>
      </c>
      <c r="C807" s="8" t="s">
        <v>18</v>
      </c>
      <c r="D807" s="8">
        <v>2014</v>
      </c>
      <c r="E807" s="9" t="s">
        <v>570</v>
      </c>
      <c r="F807" s="10">
        <v>41821</v>
      </c>
      <c r="G807" s="23"/>
      <c r="H807" s="11" t="s">
        <v>487</v>
      </c>
      <c r="I807" s="12">
        <f>-350-600</f>
        <v>-950</v>
      </c>
      <c r="J807" s="54" t="s">
        <v>21</v>
      </c>
      <c r="K807" s="54" t="s">
        <v>56</v>
      </c>
      <c r="L807" s="54" t="s">
        <v>57</v>
      </c>
      <c r="M807" s="13" t="s">
        <v>386</v>
      </c>
      <c r="N807" s="14"/>
      <c r="O807" s="14">
        <f t="shared" si="25"/>
        <v>-950</v>
      </c>
      <c r="P807" s="15">
        <f t="shared" si="26"/>
        <v>41821</v>
      </c>
      <c r="Q807" s="15"/>
      <c r="R807" s="16"/>
      <c r="S807" s="16"/>
    </row>
    <row r="808" spans="1:19" x14ac:dyDescent="0.25">
      <c r="A808" s="8" t="s">
        <v>16</v>
      </c>
      <c r="B808" s="8" t="s">
        <v>17</v>
      </c>
      <c r="C808" s="8" t="s">
        <v>18</v>
      </c>
      <c r="D808" s="8">
        <v>2014</v>
      </c>
      <c r="E808" s="9" t="s">
        <v>570</v>
      </c>
      <c r="F808" s="10">
        <v>41821</v>
      </c>
      <c r="G808" s="8"/>
      <c r="H808" s="11" t="s">
        <v>531</v>
      </c>
      <c r="I808" s="12">
        <v>-20</v>
      </c>
      <c r="J808" s="13" t="s">
        <v>21</v>
      </c>
      <c r="K808" s="13" t="s">
        <v>143</v>
      </c>
      <c r="L808" s="13" t="s">
        <v>193</v>
      </c>
      <c r="M808" s="13" t="s">
        <v>194</v>
      </c>
      <c r="N808" s="31"/>
      <c r="O808" s="14">
        <f t="shared" si="25"/>
        <v>-20</v>
      </c>
      <c r="P808" s="15">
        <f t="shared" si="26"/>
        <v>41821</v>
      </c>
      <c r="Q808" s="15"/>
      <c r="R808" s="16"/>
      <c r="S808" s="16"/>
    </row>
    <row r="809" spans="1:19" x14ac:dyDescent="0.25">
      <c r="A809" s="23" t="s">
        <v>16</v>
      </c>
      <c r="B809" s="23" t="s">
        <v>17</v>
      </c>
      <c r="C809" s="23" t="s">
        <v>18</v>
      </c>
      <c r="D809" s="8">
        <v>2014</v>
      </c>
      <c r="E809" s="9" t="s">
        <v>570</v>
      </c>
      <c r="F809" s="10">
        <v>41821</v>
      </c>
      <c r="G809" s="8"/>
      <c r="H809" s="11" t="s">
        <v>340</v>
      </c>
      <c r="I809" s="12">
        <v>-600</v>
      </c>
      <c r="J809" s="13" t="s">
        <v>21</v>
      </c>
      <c r="K809" s="13" t="s">
        <v>56</v>
      </c>
      <c r="L809" s="13" t="s">
        <v>57</v>
      </c>
      <c r="M809" s="13"/>
      <c r="N809" s="14"/>
      <c r="O809" s="14">
        <f t="shared" si="25"/>
        <v>-600</v>
      </c>
      <c r="P809" s="15">
        <f t="shared" si="26"/>
        <v>41821</v>
      </c>
      <c r="Q809" s="15"/>
      <c r="R809" s="16"/>
      <c r="S809" s="16"/>
    </row>
    <row r="810" spans="1:19" x14ac:dyDescent="0.25">
      <c r="A810" s="8" t="s">
        <v>16</v>
      </c>
      <c r="B810" s="8" t="s">
        <v>17</v>
      </c>
      <c r="C810" s="8" t="s">
        <v>18</v>
      </c>
      <c r="D810" s="8">
        <v>2014</v>
      </c>
      <c r="E810" s="9" t="s">
        <v>570</v>
      </c>
      <c r="F810" s="10">
        <v>41821</v>
      </c>
      <c r="G810" s="23"/>
      <c r="H810" s="11" t="s">
        <v>269</v>
      </c>
      <c r="I810" s="12">
        <v>-250</v>
      </c>
      <c r="J810" s="54" t="s">
        <v>21</v>
      </c>
      <c r="K810" s="54" t="s">
        <v>56</v>
      </c>
      <c r="L810" s="54" t="s">
        <v>57</v>
      </c>
      <c r="M810" s="13" t="s">
        <v>386</v>
      </c>
      <c r="N810" s="14"/>
      <c r="O810" s="14">
        <f t="shared" si="25"/>
        <v>-250</v>
      </c>
      <c r="P810" s="15">
        <f t="shared" si="26"/>
        <v>41821</v>
      </c>
      <c r="Q810" s="15"/>
      <c r="R810" s="48"/>
      <c r="S810" s="26"/>
    </row>
    <row r="811" spans="1:19" x14ac:dyDescent="0.25">
      <c r="A811" s="23" t="s">
        <v>16</v>
      </c>
      <c r="B811" s="23" t="s">
        <v>17</v>
      </c>
      <c r="C811" s="23" t="s">
        <v>18</v>
      </c>
      <c r="D811" s="8">
        <v>2014</v>
      </c>
      <c r="E811" s="9" t="s">
        <v>570</v>
      </c>
      <c r="F811" s="10">
        <v>41821</v>
      </c>
      <c r="G811" s="8"/>
      <c r="H811" s="11" t="s">
        <v>575</v>
      </c>
      <c r="I811" s="12">
        <v>-1150</v>
      </c>
      <c r="J811" s="13" t="s">
        <v>169</v>
      </c>
      <c r="K811" s="13" t="s">
        <v>170</v>
      </c>
      <c r="L811" s="13" t="s">
        <v>171</v>
      </c>
      <c r="M811" s="13"/>
      <c r="N811" s="14"/>
      <c r="O811" s="14">
        <f t="shared" si="25"/>
        <v>-1150</v>
      </c>
      <c r="P811" s="15">
        <f t="shared" si="26"/>
        <v>41821</v>
      </c>
      <c r="Q811" s="15"/>
      <c r="R811" s="16"/>
      <c r="S811" s="16"/>
    </row>
    <row r="812" spans="1:19" x14ac:dyDescent="0.25">
      <c r="A812" s="23" t="s">
        <v>16</v>
      </c>
      <c r="B812" s="23" t="s">
        <v>17</v>
      </c>
      <c r="C812" s="23" t="s">
        <v>18</v>
      </c>
      <c r="D812" s="8">
        <v>2014</v>
      </c>
      <c r="E812" s="9" t="s">
        <v>570</v>
      </c>
      <c r="F812" s="10">
        <v>41821</v>
      </c>
      <c r="G812" s="8"/>
      <c r="H812" s="11" t="s">
        <v>168</v>
      </c>
      <c r="I812" s="12">
        <v>-1500</v>
      </c>
      <c r="J812" s="13" t="s">
        <v>169</v>
      </c>
      <c r="K812" s="13" t="s">
        <v>170</v>
      </c>
      <c r="L812" s="13" t="s">
        <v>171</v>
      </c>
      <c r="M812" s="13"/>
      <c r="N812" s="14"/>
      <c r="O812" s="14">
        <f t="shared" si="25"/>
        <v>-1500</v>
      </c>
      <c r="P812" s="15">
        <f t="shared" si="26"/>
        <v>41821</v>
      </c>
      <c r="Q812" s="15"/>
      <c r="R812" s="16"/>
      <c r="S812" s="16"/>
    </row>
    <row r="813" spans="1:19" x14ac:dyDescent="0.25">
      <c r="A813" s="8" t="s">
        <v>16</v>
      </c>
      <c r="B813" s="8" t="s">
        <v>17</v>
      </c>
      <c r="C813" s="8" t="s">
        <v>18</v>
      </c>
      <c r="D813" s="8">
        <v>2014</v>
      </c>
      <c r="E813" s="9" t="s">
        <v>570</v>
      </c>
      <c r="F813" s="10">
        <v>41821</v>
      </c>
      <c r="G813" s="23"/>
      <c r="H813" s="13" t="s">
        <v>363</v>
      </c>
      <c r="I813" s="12">
        <v>-175</v>
      </c>
      <c r="J813" s="13" t="s">
        <v>21</v>
      </c>
      <c r="K813" s="13" t="s">
        <v>22</v>
      </c>
      <c r="L813" s="13" t="s">
        <v>23</v>
      </c>
      <c r="M813" s="13"/>
      <c r="N813" s="31"/>
      <c r="O813" s="14">
        <f t="shared" si="25"/>
        <v>-175</v>
      </c>
      <c r="P813" s="15">
        <f t="shared" si="26"/>
        <v>41821</v>
      </c>
      <c r="Q813" s="15"/>
      <c r="R813" s="16"/>
      <c r="S813" s="16"/>
    </row>
    <row r="814" spans="1:19" x14ac:dyDescent="0.25">
      <c r="A814" s="8" t="s">
        <v>16</v>
      </c>
      <c r="B814" s="8" t="s">
        <v>17</v>
      </c>
      <c r="C814" s="8" t="s">
        <v>18</v>
      </c>
      <c r="D814" s="8">
        <v>2014</v>
      </c>
      <c r="E814" s="9" t="s">
        <v>570</v>
      </c>
      <c r="F814" s="10">
        <v>41821</v>
      </c>
      <c r="G814" s="8"/>
      <c r="H814" s="11" t="s">
        <v>152</v>
      </c>
      <c r="I814" s="12">
        <v>-846</v>
      </c>
      <c r="J814" s="13" t="s">
        <v>21</v>
      </c>
      <c r="K814" s="13" t="s">
        <v>22</v>
      </c>
      <c r="L814" s="13" t="s">
        <v>71</v>
      </c>
      <c r="M814" s="13"/>
      <c r="N814" s="14"/>
      <c r="O814" s="14">
        <f t="shared" si="25"/>
        <v>-846</v>
      </c>
      <c r="P814" s="15">
        <f t="shared" si="26"/>
        <v>41821</v>
      </c>
      <c r="Q814" s="15"/>
      <c r="R814" s="16"/>
      <c r="S814" s="16"/>
    </row>
    <row r="815" spans="1:19" x14ac:dyDescent="0.25">
      <c r="A815" s="8" t="s">
        <v>16</v>
      </c>
      <c r="B815" s="8" t="s">
        <v>17</v>
      </c>
      <c r="C815" s="36" t="s">
        <v>18</v>
      </c>
      <c r="D815" s="8">
        <v>2014</v>
      </c>
      <c r="E815" s="9" t="s">
        <v>570</v>
      </c>
      <c r="F815" s="10">
        <v>41821</v>
      </c>
      <c r="G815" s="8"/>
      <c r="H815" s="17" t="s">
        <v>443</v>
      </c>
      <c r="I815" s="12">
        <v>-4557.47</v>
      </c>
      <c r="J815" s="13" t="s">
        <v>33</v>
      </c>
      <c r="K815" s="13" t="s">
        <v>224</v>
      </c>
      <c r="L815" s="13" t="s">
        <v>231</v>
      </c>
      <c r="M815" s="13"/>
      <c r="N815" s="14"/>
      <c r="O815" s="14">
        <f t="shared" si="25"/>
        <v>-4557.47</v>
      </c>
      <c r="P815" s="15">
        <f t="shared" si="26"/>
        <v>41821</v>
      </c>
      <c r="Q815" s="15"/>
      <c r="R815" s="16"/>
      <c r="S815" s="16"/>
    </row>
    <row r="816" spans="1:19" x14ac:dyDescent="0.25">
      <c r="A816" s="23" t="s">
        <v>16</v>
      </c>
      <c r="B816" s="23" t="s">
        <v>17</v>
      </c>
      <c r="C816" s="23" t="s">
        <v>51</v>
      </c>
      <c r="D816" s="8">
        <v>2014</v>
      </c>
      <c r="E816" s="9" t="s">
        <v>570</v>
      </c>
      <c r="F816" s="10">
        <v>41821</v>
      </c>
      <c r="G816" s="8">
        <v>11799</v>
      </c>
      <c r="H816" s="11" t="s">
        <v>576</v>
      </c>
      <c r="I816" s="12">
        <v>50900</v>
      </c>
      <c r="J816" s="13" t="s">
        <v>53</v>
      </c>
      <c r="K816" s="13" t="s">
        <v>54</v>
      </c>
      <c r="L816" s="13"/>
      <c r="M816" s="13"/>
      <c r="N816" s="31"/>
      <c r="O816" s="14">
        <f t="shared" si="25"/>
        <v>50900</v>
      </c>
      <c r="P816" s="15">
        <f t="shared" si="26"/>
        <v>41821</v>
      </c>
      <c r="Q816" s="15"/>
      <c r="R816" s="16"/>
      <c r="S816" s="16"/>
    </row>
    <row r="817" spans="1:19" x14ac:dyDescent="0.25">
      <c r="A817" s="23" t="s">
        <v>16</v>
      </c>
      <c r="B817" s="23" t="s">
        <v>17</v>
      </c>
      <c r="C817" s="23" t="s">
        <v>51</v>
      </c>
      <c r="D817" s="8">
        <v>2014</v>
      </c>
      <c r="E817" s="9" t="s">
        <v>570</v>
      </c>
      <c r="F817" s="10">
        <v>41821</v>
      </c>
      <c r="G817" s="8">
        <v>11776</v>
      </c>
      <c r="H817" s="11" t="s">
        <v>577</v>
      </c>
      <c r="I817" s="12">
        <v>30690</v>
      </c>
      <c r="J817" s="13" t="s">
        <v>53</v>
      </c>
      <c r="K817" s="13" t="s">
        <v>54</v>
      </c>
      <c r="L817" s="13"/>
      <c r="M817" s="13"/>
      <c r="N817" s="31"/>
      <c r="O817" s="14">
        <f t="shared" si="25"/>
        <v>30690</v>
      </c>
      <c r="P817" s="15">
        <f t="shared" si="26"/>
        <v>41821</v>
      </c>
      <c r="Q817" s="15"/>
      <c r="R817" s="26"/>
      <c r="S817" s="26"/>
    </row>
    <row r="818" spans="1:19" x14ac:dyDescent="0.25">
      <c r="A818" s="23" t="s">
        <v>16</v>
      </c>
      <c r="B818" s="23" t="s">
        <v>17</v>
      </c>
      <c r="C818" s="23" t="s">
        <v>51</v>
      </c>
      <c r="D818" s="8">
        <v>2014</v>
      </c>
      <c r="E818" s="9" t="s">
        <v>570</v>
      </c>
      <c r="F818" s="10">
        <v>41821</v>
      </c>
      <c r="G818" s="8">
        <v>11693</v>
      </c>
      <c r="H818" s="11" t="s">
        <v>234</v>
      </c>
      <c r="I818" s="12">
        <v>12630</v>
      </c>
      <c r="J818" s="13" t="s">
        <v>53</v>
      </c>
      <c r="K818" s="13" t="s">
        <v>54</v>
      </c>
      <c r="L818" s="13"/>
      <c r="M818" s="13"/>
      <c r="N818" s="31"/>
      <c r="O818" s="14">
        <f t="shared" si="25"/>
        <v>12630</v>
      </c>
      <c r="P818" s="15">
        <f t="shared" si="26"/>
        <v>41821</v>
      </c>
      <c r="Q818" s="15"/>
      <c r="R818" s="16"/>
      <c r="S818" s="16"/>
    </row>
    <row r="819" spans="1:19" x14ac:dyDescent="0.25">
      <c r="A819" s="23" t="s">
        <v>16</v>
      </c>
      <c r="B819" s="23" t="s">
        <v>17</v>
      </c>
      <c r="C819" s="23" t="s">
        <v>51</v>
      </c>
      <c r="D819" s="8">
        <v>2014</v>
      </c>
      <c r="E819" s="9" t="s">
        <v>570</v>
      </c>
      <c r="F819" s="10">
        <v>41821</v>
      </c>
      <c r="G819" s="8">
        <v>11741</v>
      </c>
      <c r="H819" s="11" t="s">
        <v>578</v>
      </c>
      <c r="I819" s="12">
        <v>9930</v>
      </c>
      <c r="J819" s="13" t="s">
        <v>53</v>
      </c>
      <c r="K819" s="13" t="s">
        <v>54</v>
      </c>
      <c r="L819" s="13"/>
      <c r="M819" s="13"/>
      <c r="N819" s="31"/>
      <c r="O819" s="14">
        <f t="shared" si="25"/>
        <v>9930</v>
      </c>
      <c r="P819" s="15">
        <f t="shared" si="26"/>
        <v>41821</v>
      </c>
      <c r="Q819" s="15"/>
      <c r="R819" s="16"/>
      <c r="S819" s="16"/>
    </row>
    <row r="820" spans="1:19" x14ac:dyDescent="0.25">
      <c r="A820" s="8" t="s">
        <v>16</v>
      </c>
      <c r="B820" s="8" t="s">
        <v>17</v>
      </c>
      <c r="C820" s="8" t="s">
        <v>18</v>
      </c>
      <c r="D820" s="8">
        <v>2014</v>
      </c>
      <c r="E820" s="9" t="s">
        <v>570</v>
      </c>
      <c r="F820" s="10">
        <v>41822</v>
      </c>
      <c r="G820" s="8"/>
      <c r="H820" s="11" t="s">
        <v>470</v>
      </c>
      <c r="I820" s="12">
        <v>-260</v>
      </c>
      <c r="J820" s="13" t="s">
        <v>21</v>
      </c>
      <c r="K820" s="13" t="s">
        <v>25</v>
      </c>
      <c r="L820" s="13" t="s">
        <v>26</v>
      </c>
      <c r="M820" s="13" t="s">
        <v>127</v>
      </c>
      <c r="N820" s="14"/>
      <c r="O820" s="14">
        <f t="shared" si="25"/>
        <v>-260</v>
      </c>
      <c r="P820" s="15">
        <f t="shared" si="26"/>
        <v>41822</v>
      </c>
      <c r="Q820" s="15"/>
      <c r="R820" s="16"/>
      <c r="S820" s="16"/>
    </row>
    <row r="821" spans="1:19" x14ac:dyDescent="0.25">
      <c r="A821" s="8" t="s">
        <v>16</v>
      </c>
      <c r="B821" s="8" t="s">
        <v>17</v>
      </c>
      <c r="C821" s="8" t="s">
        <v>18</v>
      </c>
      <c r="D821" s="8">
        <v>2014</v>
      </c>
      <c r="E821" s="9" t="s">
        <v>570</v>
      </c>
      <c r="F821" s="10">
        <v>41822</v>
      </c>
      <c r="G821" s="23"/>
      <c r="H821" s="17" t="s">
        <v>62</v>
      </c>
      <c r="I821" s="12">
        <f>-80-107-294-221-130-18-94-144-77</f>
        <v>-1165</v>
      </c>
      <c r="J821" s="13" t="s">
        <v>21</v>
      </c>
      <c r="K821" s="13" t="s">
        <v>63</v>
      </c>
      <c r="L821" s="13" t="s">
        <v>64</v>
      </c>
      <c r="M821" s="13"/>
      <c r="N821" s="14"/>
      <c r="O821" s="14">
        <f t="shared" si="25"/>
        <v>-1165</v>
      </c>
      <c r="P821" s="15">
        <f t="shared" si="26"/>
        <v>41822</v>
      </c>
      <c r="Q821" s="15"/>
      <c r="R821" s="16"/>
      <c r="S821" s="16"/>
    </row>
    <row r="822" spans="1:19" x14ac:dyDescent="0.25">
      <c r="A822" s="23" t="s">
        <v>16</v>
      </c>
      <c r="B822" s="23" t="s">
        <v>17</v>
      </c>
      <c r="C822" s="23" t="s">
        <v>18</v>
      </c>
      <c r="D822" s="8">
        <v>2014</v>
      </c>
      <c r="E822" s="9" t="s">
        <v>570</v>
      </c>
      <c r="F822" s="10">
        <v>41822</v>
      </c>
      <c r="G822" s="8"/>
      <c r="H822" s="11" t="s">
        <v>340</v>
      </c>
      <c r="I822" s="12">
        <v>-660</v>
      </c>
      <c r="J822" s="13" t="s">
        <v>21</v>
      </c>
      <c r="K822" s="13" t="s">
        <v>56</v>
      </c>
      <c r="L822" s="13" t="s">
        <v>57</v>
      </c>
      <c r="M822" s="13"/>
      <c r="N822" s="14"/>
      <c r="O822" s="14">
        <f t="shared" si="25"/>
        <v>-660</v>
      </c>
      <c r="P822" s="15">
        <f t="shared" si="26"/>
        <v>41822</v>
      </c>
      <c r="Q822" s="15"/>
      <c r="R822" s="16"/>
      <c r="S822" s="16"/>
    </row>
    <row r="823" spans="1:19" x14ac:dyDescent="0.25">
      <c r="A823" s="8" t="s">
        <v>16</v>
      </c>
      <c r="B823" s="8" t="s">
        <v>17</v>
      </c>
      <c r="C823" s="36" t="s">
        <v>46</v>
      </c>
      <c r="D823" s="8">
        <v>2014</v>
      </c>
      <c r="E823" s="9" t="s">
        <v>570</v>
      </c>
      <c r="F823" s="10">
        <v>41822</v>
      </c>
      <c r="G823" s="8"/>
      <c r="H823" s="17" t="s">
        <v>508</v>
      </c>
      <c r="I823" s="12">
        <v>-20000</v>
      </c>
      <c r="J823" s="13" t="s">
        <v>48</v>
      </c>
      <c r="K823" s="13" t="s">
        <v>49</v>
      </c>
      <c r="L823" s="13" t="s">
        <v>50</v>
      </c>
      <c r="M823" s="13"/>
      <c r="N823" s="14"/>
      <c r="O823" s="14">
        <f t="shared" si="25"/>
        <v>-20000</v>
      </c>
      <c r="P823" s="15">
        <f t="shared" si="26"/>
        <v>41822</v>
      </c>
      <c r="Q823" s="15"/>
      <c r="R823" s="16"/>
      <c r="S823" s="16"/>
    </row>
    <row r="824" spans="1:19" x14ac:dyDescent="0.25">
      <c r="A824" s="23" t="s">
        <v>16</v>
      </c>
      <c r="B824" s="23" t="s">
        <v>17</v>
      </c>
      <c r="C824" s="23" t="s">
        <v>18</v>
      </c>
      <c r="D824" s="8">
        <v>2014</v>
      </c>
      <c r="E824" s="9" t="s">
        <v>570</v>
      </c>
      <c r="F824" s="10">
        <v>41822</v>
      </c>
      <c r="G824" s="8"/>
      <c r="H824" s="11" t="s">
        <v>399</v>
      </c>
      <c r="I824" s="12">
        <v>-32</v>
      </c>
      <c r="J824" s="13" t="s">
        <v>21</v>
      </c>
      <c r="K824" s="13" t="s">
        <v>56</v>
      </c>
      <c r="L824" s="13" t="s">
        <v>111</v>
      </c>
      <c r="M824" s="13" t="s">
        <v>28</v>
      </c>
      <c r="N824" s="31"/>
      <c r="O824" s="14">
        <f t="shared" si="25"/>
        <v>-32</v>
      </c>
      <c r="P824" s="15">
        <f t="shared" si="26"/>
        <v>41822</v>
      </c>
      <c r="Q824" s="15"/>
      <c r="R824" s="16"/>
      <c r="S824" s="16"/>
    </row>
    <row r="825" spans="1:19" x14ac:dyDescent="0.25">
      <c r="A825" s="23" t="s">
        <v>16</v>
      </c>
      <c r="B825" s="23" t="s">
        <v>17</v>
      </c>
      <c r="C825" s="23" t="s">
        <v>18</v>
      </c>
      <c r="D825" s="8">
        <v>2014</v>
      </c>
      <c r="E825" s="9" t="s">
        <v>570</v>
      </c>
      <c r="F825" s="10">
        <v>41822</v>
      </c>
      <c r="G825" s="23"/>
      <c r="H825" s="13" t="s">
        <v>233</v>
      </c>
      <c r="I825" s="12">
        <f>-446-45</f>
        <v>-491</v>
      </c>
      <c r="J825" s="13" t="s">
        <v>21</v>
      </c>
      <c r="K825" s="13" t="s">
        <v>22</v>
      </c>
      <c r="L825" s="13" t="s">
        <v>121</v>
      </c>
      <c r="M825" s="13"/>
      <c r="N825" s="31"/>
      <c r="O825" s="14">
        <f t="shared" si="25"/>
        <v>-491</v>
      </c>
      <c r="P825" s="15">
        <f t="shared" si="26"/>
        <v>41822</v>
      </c>
      <c r="Q825" s="15"/>
      <c r="R825" s="16"/>
      <c r="S825" s="16"/>
    </row>
    <row r="826" spans="1:19" x14ac:dyDescent="0.25">
      <c r="A826" s="8" t="s">
        <v>16</v>
      </c>
      <c r="B826" s="8" t="s">
        <v>17</v>
      </c>
      <c r="C826" s="8" t="s">
        <v>18</v>
      </c>
      <c r="D826" s="8">
        <v>2014</v>
      </c>
      <c r="E826" s="9" t="s">
        <v>570</v>
      </c>
      <c r="F826" s="10">
        <v>41822</v>
      </c>
      <c r="G826" s="23"/>
      <c r="H826" s="11" t="s">
        <v>269</v>
      </c>
      <c r="I826" s="12">
        <f>-650</f>
        <v>-650</v>
      </c>
      <c r="J826" s="54" t="s">
        <v>21</v>
      </c>
      <c r="K826" s="54" t="s">
        <v>56</v>
      </c>
      <c r="L826" s="54" t="s">
        <v>57</v>
      </c>
      <c r="M826" s="13" t="s">
        <v>386</v>
      </c>
      <c r="N826" s="14"/>
      <c r="O826" s="14">
        <f t="shared" si="25"/>
        <v>-650</v>
      </c>
      <c r="P826" s="15">
        <f t="shared" si="26"/>
        <v>41822</v>
      </c>
      <c r="Q826" s="15"/>
      <c r="R826" s="16"/>
      <c r="S826" s="16"/>
    </row>
    <row r="827" spans="1:19" x14ac:dyDescent="0.25">
      <c r="A827" s="23" t="s">
        <v>16</v>
      </c>
      <c r="B827" s="23" t="s">
        <v>17</v>
      </c>
      <c r="C827" s="23" t="s">
        <v>51</v>
      </c>
      <c r="D827" s="8">
        <v>2014</v>
      </c>
      <c r="E827" s="9" t="s">
        <v>570</v>
      </c>
      <c r="F827" s="10">
        <v>41822</v>
      </c>
      <c r="G827" s="8">
        <v>11819</v>
      </c>
      <c r="H827" s="11" t="s">
        <v>579</v>
      </c>
      <c r="I827" s="12">
        <v>10000</v>
      </c>
      <c r="J827" s="13" t="s">
        <v>53</v>
      </c>
      <c r="K827" s="13" t="s">
        <v>54</v>
      </c>
      <c r="L827" s="13"/>
      <c r="M827" s="13"/>
      <c r="N827" s="31"/>
      <c r="O827" s="14">
        <f t="shared" si="25"/>
        <v>10000</v>
      </c>
      <c r="P827" s="15">
        <f t="shared" si="26"/>
        <v>41822</v>
      </c>
      <c r="Q827" s="15"/>
      <c r="R827" s="16"/>
      <c r="S827" s="16"/>
    </row>
    <row r="828" spans="1:19" x14ac:dyDescent="0.25">
      <c r="A828" s="23" t="s">
        <v>16</v>
      </c>
      <c r="B828" s="23" t="s">
        <v>17</v>
      </c>
      <c r="C828" s="23" t="s">
        <v>51</v>
      </c>
      <c r="D828" s="8">
        <v>2014</v>
      </c>
      <c r="E828" s="9" t="s">
        <v>570</v>
      </c>
      <c r="F828" s="10">
        <v>41822</v>
      </c>
      <c r="G828" s="8">
        <v>11770</v>
      </c>
      <c r="H828" s="11" t="s">
        <v>580</v>
      </c>
      <c r="I828" s="12">
        <v>10000</v>
      </c>
      <c r="J828" s="13" t="s">
        <v>53</v>
      </c>
      <c r="K828" s="13" t="s">
        <v>54</v>
      </c>
      <c r="L828" s="13"/>
      <c r="M828" s="13"/>
      <c r="N828" s="31"/>
      <c r="O828" s="14">
        <f t="shared" si="25"/>
        <v>10000</v>
      </c>
      <c r="P828" s="15">
        <f t="shared" si="26"/>
        <v>41822</v>
      </c>
      <c r="Q828" s="15"/>
      <c r="R828" s="35"/>
      <c r="S828" s="27"/>
    </row>
    <row r="829" spans="1:19" x14ac:dyDescent="0.25">
      <c r="A829" s="23" t="s">
        <v>16</v>
      </c>
      <c r="B829" s="23" t="s">
        <v>17</v>
      </c>
      <c r="C829" s="23" t="s">
        <v>51</v>
      </c>
      <c r="D829" s="8">
        <v>2014</v>
      </c>
      <c r="E829" s="9" t="s">
        <v>570</v>
      </c>
      <c r="F829" s="10">
        <v>41822</v>
      </c>
      <c r="G829" s="8">
        <v>11820</v>
      </c>
      <c r="H829" s="11" t="s">
        <v>581</v>
      </c>
      <c r="I829" s="12">
        <v>300</v>
      </c>
      <c r="J829" s="13" t="s">
        <v>53</v>
      </c>
      <c r="K829" s="13" t="s">
        <v>54</v>
      </c>
      <c r="L829" s="13"/>
      <c r="M829" s="13"/>
      <c r="N829" s="31"/>
      <c r="O829" s="14">
        <f t="shared" si="25"/>
        <v>300</v>
      </c>
      <c r="P829" s="15">
        <f t="shared" si="26"/>
        <v>41822</v>
      </c>
      <c r="Q829" s="15"/>
      <c r="R829" s="24"/>
      <c r="S829" s="24"/>
    </row>
    <row r="830" spans="1:19" x14ac:dyDescent="0.25">
      <c r="A830" s="23" t="s">
        <v>16</v>
      </c>
      <c r="B830" s="23" t="s">
        <v>17</v>
      </c>
      <c r="C830" s="23" t="s">
        <v>51</v>
      </c>
      <c r="D830" s="8">
        <v>2014</v>
      </c>
      <c r="E830" s="9" t="s">
        <v>570</v>
      </c>
      <c r="F830" s="10">
        <v>41822</v>
      </c>
      <c r="G830" s="8">
        <v>11822</v>
      </c>
      <c r="H830" s="11" t="s">
        <v>582</v>
      </c>
      <c r="I830" s="12">
        <v>100</v>
      </c>
      <c r="J830" s="13" t="s">
        <v>53</v>
      </c>
      <c r="K830" s="13" t="s">
        <v>54</v>
      </c>
      <c r="L830" s="13"/>
      <c r="M830" s="13"/>
      <c r="N830" s="31"/>
      <c r="O830" s="14">
        <f t="shared" si="25"/>
        <v>100</v>
      </c>
      <c r="P830" s="15">
        <f t="shared" si="26"/>
        <v>41822</v>
      </c>
      <c r="Q830" s="15"/>
      <c r="R830" s="16"/>
      <c r="S830" s="16"/>
    </row>
    <row r="831" spans="1:19" x14ac:dyDescent="0.25">
      <c r="A831" s="8" t="s">
        <v>16</v>
      </c>
      <c r="B831" s="8" t="s">
        <v>17</v>
      </c>
      <c r="C831" s="8" t="s">
        <v>18</v>
      </c>
      <c r="D831" s="8">
        <v>2014</v>
      </c>
      <c r="E831" s="9" t="s">
        <v>570</v>
      </c>
      <c r="F831" s="10">
        <v>41823</v>
      </c>
      <c r="G831" s="23"/>
      <c r="H831" s="11" t="s">
        <v>269</v>
      </c>
      <c r="I831" s="12">
        <v>-200</v>
      </c>
      <c r="J831" s="54" t="s">
        <v>21</v>
      </c>
      <c r="K831" s="54" t="s">
        <v>56</v>
      </c>
      <c r="L831" s="54" t="s">
        <v>57</v>
      </c>
      <c r="M831" s="13" t="s">
        <v>386</v>
      </c>
      <c r="N831" s="14"/>
      <c r="O831" s="14">
        <f t="shared" si="25"/>
        <v>-200</v>
      </c>
      <c r="P831" s="15">
        <f t="shared" si="26"/>
        <v>41823</v>
      </c>
      <c r="Q831" s="15"/>
      <c r="R831" s="16"/>
      <c r="S831" s="16"/>
    </row>
    <row r="832" spans="1:19" x14ac:dyDescent="0.25">
      <c r="A832" s="8" t="s">
        <v>16</v>
      </c>
      <c r="B832" s="8" t="s">
        <v>17</v>
      </c>
      <c r="C832" s="8" t="s">
        <v>46</v>
      </c>
      <c r="D832" s="8">
        <v>2014</v>
      </c>
      <c r="E832" s="9" t="s">
        <v>570</v>
      </c>
      <c r="F832" s="10">
        <v>41823</v>
      </c>
      <c r="G832" s="8"/>
      <c r="H832" s="17" t="s">
        <v>315</v>
      </c>
      <c r="I832" s="12">
        <v>-22000</v>
      </c>
      <c r="J832" s="13" t="s">
        <v>68</v>
      </c>
      <c r="K832" s="13"/>
      <c r="L832" s="13"/>
      <c r="M832" s="13"/>
      <c r="N832" s="14"/>
      <c r="O832" s="14">
        <f t="shared" si="25"/>
        <v>-22000</v>
      </c>
      <c r="P832" s="15">
        <f t="shared" si="26"/>
        <v>41823</v>
      </c>
      <c r="Q832" s="15"/>
      <c r="R832" s="16"/>
      <c r="S832" s="16"/>
    </row>
    <row r="833" spans="1:19" x14ac:dyDescent="0.25">
      <c r="A833" s="23" t="s">
        <v>16</v>
      </c>
      <c r="B833" s="23" t="s">
        <v>17</v>
      </c>
      <c r="C833" s="23" t="s">
        <v>18</v>
      </c>
      <c r="D833" s="8">
        <v>2014</v>
      </c>
      <c r="E833" s="9" t="s">
        <v>570</v>
      </c>
      <c r="F833" s="10">
        <v>41823</v>
      </c>
      <c r="G833" s="23"/>
      <c r="H833" s="13" t="s">
        <v>492</v>
      </c>
      <c r="I833" s="12">
        <v>-66</v>
      </c>
      <c r="J833" s="13" t="s">
        <v>21</v>
      </c>
      <c r="K833" s="13" t="s">
        <v>22</v>
      </c>
      <c r="L833" s="13" t="s">
        <v>71</v>
      </c>
      <c r="M833" s="13"/>
      <c r="N833" s="14"/>
      <c r="O833" s="14">
        <f t="shared" si="25"/>
        <v>-66</v>
      </c>
      <c r="P833" s="15">
        <f t="shared" si="26"/>
        <v>41823</v>
      </c>
      <c r="Q833" s="15"/>
      <c r="R833" s="16"/>
      <c r="S833" s="16"/>
    </row>
    <row r="834" spans="1:19" x14ac:dyDescent="0.25">
      <c r="A834" s="23" t="s">
        <v>16</v>
      </c>
      <c r="B834" s="23" t="s">
        <v>17</v>
      </c>
      <c r="C834" s="23" t="s">
        <v>18</v>
      </c>
      <c r="D834" s="8">
        <v>2014</v>
      </c>
      <c r="E834" s="9" t="s">
        <v>570</v>
      </c>
      <c r="F834" s="10">
        <v>41823</v>
      </c>
      <c r="G834" s="8"/>
      <c r="H834" s="11" t="s">
        <v>340</v>
      </c>
      <c r="I834" s="12">
        <v>-880</v>
      </c>
      <c r="J834" s="13" t="s">
        <v>21</v>
      </c>
      <c r="K834" s="13" t="s">
        <v>56</v>
      </c>
      <c r="L834" s="13" t="s">
        <v>57</v>
      </c>
      <c r="M834" s="13"/>
      <c r="N834" s="14"/>
      <c r="O834" s="14">
        <f t="shared" si="25"/>
        <v>-880</v>
      </c>
      <c r="P834" s="15">
        <f t="shared" si="26"/>
        <v>41823</v>
      </c>
      <c r="Q834" s="15"/>
      <c r="R834" s="16"/>
      <c r="S834" s="16"/>
    </row>
    <row r="835" spans="1:19" x14ac:dyDescent="0.25">
      <c r="A835" s="8" t="s">
        <v>16</v>
      </c>
      <c r="B835" s="8" t="s">
        <v>17</v>
      </c>
      <c r="C835" s="8" t="s">
        <v>18</v>
      </c>
      <c r="D835" s="8">
        <v>2014</v>
      </c>
      <c r="E835" s="9" t="s">
        <v>570</v>
      </c>
      <c r="F835" s="10">
        <v>41823</v>
      </c>
      <c r="G835" s="23"/>
      <c r="H835" s="11" t="s">
        <v>487</v>
      </c>
      <c r="I835" s="12">
        <v>-600</v>
      </c>
      <c r="J835" s="54" t="s">
        <v>21</v>
      </c>
      <c r="K835" s="54" t="s">
        <v>56</v>
      </c>
      <c r="L835" s="54" t="s">
        <v>57</v>
      </c>
      <c r="M835" s="13" t="s">
        <v>386</v>
      </c>
      <c r="N835" s="14"/>
      <c r="O835" s="14">
        <f t="shared" ref="O835:O898" si="27">IF(B835="$",I835,I835/N835)</f>
        <v>-600</v>
      </c>
      <c r="P835" s="15">
        <f t="shared" si="26"/>
        <v>41823</v>
      </c>
      <c r="Q835" s="15"/>
      <c r="R835" s="16"/>
      <c r="S835" s="16"/>
    </row>
    <row r="836" spans="1:19" x14ac:dyDescent="0.25">
      <c r="A836" s="8" t="s">
        <v>16</v>
      </c>
      <c r="B836" s="8" t="s">
        <v>17</v>
      </c>
      <c r="C836" s="8" t="s">
        <v>18</v>
      </c>
      <c r="D836" s="8">
        <v>2014</v>
      </c>
      <c r="E836" s="9" t="s">
        <v>570</v>
      </c>
      <c r="F836" s="10">
        <v>41824</v>
      </c>
      <c r="G836" s="23"/>
      <c r="H836" s="13" t="s">
        <v>363</v>
      </c>
      <c r="I836" s="12">
        <v>-225</v>
      </c>
      <c r="J836" s="13" t="s">
        <v>21</v>
      </c>
      <c r="K836" s="13" t="s">
        <v>22</v>
      </c>
      <c r="L836" s="13" t="s">
        <v>23</v>
      </c>
      <c r="M836" s="13"/>
      <c r="N836" s="31"/>
      <c r="O836" s="14">
        <f t="shared" si="27"/>
        <v>-225</v>
      </c>
      <c r="P836" s="15">
        <f t="shared" si="26"/>
        <v>41824</v>
      </c>
      <c r="Q836" s="15"/>
      <c r="R836" s="16"/>
      <c r="S836" s="16"/>
    </row>
    <row r="837" spans="1:19" x14ac:dyDescent="0.25">
      <c r="A837" s="23" t="s">
        <v>16</v>
      </c>
      <c r="B837" s="23" t="s">
        <v>17</v>
      </c>
      <c r="C837" s="23" t="s">
        <v>18</v>
      </c>
      <c r="D837" s="8">
        <v>2014</v>
      </c>
      <c r="E837" s="9" t="s">
        <v>570</v>
      </c>
      <c r="F837" s="10">
        <v>41824</v>
      </c>
      <c r="G837" s="8"/>
      <c r="H837" s="11" t="s">
        <v>399</v>
      </c>
      <c r="I837" s="12">
        <f>-100-25.2</f>
        <v>-125.2</v>
      </c>
      <c r="J837" s="13" t="s">
        <v>21</v>
      </c>
      <c r="K837" s="13" t="s">
        <v>56</v>
      </c>
      <c r="L837" s="13" t="s">
        <v>111</v>
      </c>
      <c r="M837" s="13" t="s">
        <v>28</v>
      </c>
      <c r="N837" s="31"/>
      <c r="O837" s="14">
        <f t="shared" si="27"/>
        <v>-125.2</v>
      </c>
      <c r="P837" s="56">
        <f t="shared" si="26"/>
        <v>41824</v>
      </c>
      <c r="Q837" s="60"/>
      <c r="R837" s="16"/>
      <c r="S837" s="16"/>
    </row>
    <row r="838" spans="1:19" x14ac:dyDescent="0.25">
      <c r="A838" s="23" t="s">
        <v>16</v>
      </c>
      <c r="B838" s="23" t="s">
        <v>17</v>
      </c>
      <c r="C838" s="36" t="s">
        <v>46</v>
      </c>
      <c r="D838" s="8">
        <v>2014</v>
      </c>
      <c r="E838" s="9" t="s">
        <v>570</v>
      </c>
      <c r="F838" s="10">
        <v>41824</v>
      </c>
      <c r="G838" s="23"/>
      <c r="H838" s="17" t="s">
        <v>481</v>
      </c>
      <c r="I838" s="29">
        <v>-20000</v>
      </c>
      <c r="J838" s="13" t="s">
        <v>48</v>
      </c>
      <c r="K838" s="13" t="s">
        <v>326</v>
      </c>
      <c r="L838" s="13"/>
      <c r="M838" s="13" t="s">
        <v>226</v>
      </c>
      <c r="N838" s="14"/>
      <c r="O838" s="14">
        <f t="shared" si="27"/>
        <v>-20000</v>
      </c>
      <c r="P838" s="15">
        <f t="shared" si="26"/>
        <v>41824</v>
      </c>
      <c r="Q838" s="15"/>
      <c r="R838" s="16"/>
      <c r="S838" s="16"/>
    </row>
    <row r="839" spans="1:19" x14ac:dyDescent="0.25">
      <c r="A839" s="8" t="s">
        <v>16</v>
      </c>
      <c r="B839" s="40" t="s">
        <v>17</v>
      </c>
      <c r="C839" s="8" t="s">
        <v>18</v>
      </c>
      <c r="D839" s="8">
        <v>2014</v>
      </c>
      <c r="E839" s="9" t="s">
        <v>570</v>
      </c>
      <c r="F839" s="30">
        <v>41824</v>
      </c>
      <c r="G839" s="8"/>
      <c r="H839" s="17" t="s">
        <v>96</v>
      </c>
      <c r="I839" s="12">
        <v>-5000</v>
      </c>
      <c r="J839" s="13" t="s">
        <v>38</v>
      </c>
      <c r="K839" s="13" t="s">
        <v>93</v>
      </c>
      <c r="L839" s="13" t="s">
        <v>94</v>
      </c>
      <c r="M839" s="13" t="s">
        <v>95</v>
      </c>
      <c r="N839" s="14"/>
      <c r="O839" s="14">
        <f t="shared" si="27"/>
        <v>-5000</v>
      </c>
      <c r="P839" s="15">
        <f t="shared" si="26"/>
        <v>41824</v>
      </c>
      <c r="Q839" s="15"/>
      <c r="R839" s="16"/>
      <c r="S839" s="16"/>
    </row>
    <row r="840" spans="1:19" x14ac:dyDescent="0.25">
      <c r="A840" s="8" t="s">
        <v>16</v>
      </c>
      <c r="B840" s="40" t="s">
        <v>17</v>
      </c>
      <c r="C840" s="8" t="s">
        <v>18</v>
      </c>
      <c r="D840" s="8">
        <v>2014</v>
      </c>
      <c r="E840" s="9" t="s">
        <v>570</v>
      </c>
      <c r="F840" s="10">
        <v>41824</v>
      </c>
      <c r="G840" s="8"/>
      <c r="H840" s="17" t="s">
        <v>583</v>
      </c>
      <c r="I840" s="12">
        <v>-3000</v>
      </c>
      <c r="J840" s="13" t="s">
        <v>38</v>
      </c>
      <c r="K840" s="13" t="s">
        <v>93</v>
      </c>
      <c r="L840" s="13" t="s">
        <v>94</v>
      </c>
      <c r="M840" s="13" t="s">
        <v>584</v>
      </c>
      <c r="N840" s="14"/>
      <c r="O840" s="14">
        <f t="shared" si="27"/>
        <v>-3000</v>
      </c>
      <c r="P840" s="15">
        <f t="shared" si="26"/>
        <v>41824</v>
      </c>
      <c r="Q840" s="15"/>
      <c r="R840" s="16"/>
      <c r="S840" s="16"/>
    </row>
    <row r="841" spans="1:19" x14ac:dyDescent="0.25">
      <c r="A841" s="8" t="s">
        <v>16</v>
      </c>
      <c r="B841" s="8" t="s">
        <v>17</v>
      </c>
      <c r="C841" s="8" t="s">
        <v>18</v>
      </c>
      <c r="D841" s="8">
        <v>2014</v>
      </c>
      <c r="E841" s="9" t="s">
        <v>570</v>
      </c>
      <c r="F841" s="10">
        <v>41824</v>
      </c>
      <c r="G841" s="8"/>
      <c r="H841" s="17" t="s">
        <v>585</v>
      </c>
      <c r="I841" s="12">
        <v>-7500</v>
      </c>
      <c r="J841" s="13" t="s">
        <v>38</v>
      </c>
      <c r="K841" s="13" t="s">
        <v>93</v>
      </c>
      <c r="L841" s="13" t="s">
        <v>94</v>
      </c>
      <c r="M841" s="13" t="s">
        <v>129</v>
      </c>
      <c r="N841" s="14"/>
      <c r="O841" s="14">
        <f t="shared" si="27"/>
        <v>-7500</v>
      </c>
      <c r="P841" s="15">
        <f t="shared" ref="P841:P852" si="28">F841</f>
        <v>41824</v>
      </c>
      <c r="Q841" s="15"/>
      <c r="R841" s="16"/>
      <c r="S841" s="16"/>
    </row>
    <row r="842" spans="1:19" x14ac:dyDescent="0.25">
      <c r="A842" s="8" t="s">
        <v>16</v>
      </c>
      <c r="B842" s="8" t="s">
        <v>17</v>
      </c>
      <c r="C842" s="8" t="s">
        <v>18</v>
      </c>
      <c r="D842" s="8">
        <v>2014</v>
      </c>
      <c r="E842" s="9" t="s">
        <v>570</v>
      </c>
      <c r="F842" s="10">
        <v>41824</v>
      </c>
      <c r="G842" s="8"/>
      <c r="H842" s="17" t="s">
        <v>585</v>
      </c>
      <c r="I842" s="12">
        <f>-4000-600-500-1000-550</f>
        <v>-6650</v>
      </c>
      <c r="J842" s="13" t="s">
        <v>38</v>
      </c>
      <c r="K842" s="13" t="s">
        <v>93</v>
      </c>
      <c r="L842" s="13" t="s">
        <v>94</v>
      </c>
      <c r="M842" s="13" t="s">
        <v>586</v>
      </c>
      <c r="N842" s="14"/>
      <c r="O842" s="14">
        <f t="shared" si="27"/>
        <v>-6650</v>
      </c>
      <c r="P842" s="15">
        <f t="shared" si="28"/>
        <v>41824</v>
      </c>
      <c r="Q842" s="15"/>
      <c r="R842" s="16"/>
      <c r="S842" s="16"/>
    </row>
    <row r="843" spans="1:19" x14ac:dyDescent="0.25">
      <c r="A843" s="8" t="s">
        <v>16</v>
      </c>
      <c r="B843" s="40" t="s">
        <v>17</v>
      </c>
      <c r="C843" s="8" t="s">
        <v>18</v>
      </c>
      <c r="D843" s="8">
        <v>2014</v>
      </c>
      <c r="E843" s="9" t="s">
        <v>570</v>
      </c>
      <c r="F843" s="10">
        <v>41824</v>
      </c>
      <c r="G843" s="8"/>
      <c r="H843" s="17" t="s">
        <v>587</v>
      </c>
      <c r="I843" s="12">
        <v>-1500</v>
      </c>
      <c r="J843" s="13" t="s">
        <v>38</v>
      </c>
      <c r="K843" s="13" t="s">
        <v>93</v>
      </c>
      <c r="L843" s="13" t="s">
        <v>94</v>
      </c>
      <c r="M843" s="13" t="s">
        <v>100</v>
      </c>
      <c r="N843" s="14"/>
      <c r="O843" s="14">
        <f t="shared" si="27"/>
        <v>-1500</v>
      </c>
      <c r="P843" s="15">
        <f t="shared" si="28"/>
        <v>41824</v>
      </c>
      <c r="Q843" s="15"/>
      <c r="R843" s="16"/>
      <c r="S843" s="16"/>
    </row>
    <row r="844" spans="1:19" x14ac:dyDescent="0.25">
      <c r="A844" s="8" t="s">
        <v>16</v>
      </c>
      <c r="B844" s="40" t="s">
        <v>17</v>
      </c>
      <c r="C844" s="8" t="s">
        <v>18</v>
      </c>
      <c r="D844" s="8">
        <v>2014</v>
      </c>
      <c r="E844" s="9" t="s">
        <v>570</v>
      </c>
      <c r="F844" s="10">
        <v>41824</v>
      </c>
      <c r="G844" s="8"/>
      <c r="H844" s="17" t="s">
        <v>588</v>
      </c>
      <c r="I844" s="12">
        <v>-400</v>
      </c>
      <c r="J844" s="13" t="s">
        <v>38</v>
      </c>
      <c r="K844" s="13" t="s">
        <v>93</v>
      </c>
      <c r="L844" s="13" t="s">
        <v>94</v>
      </c>
      <c r="M844" s="13" t="s">
        <v>100</v>
      </c>
      <c r="N844" s="14"/>
      <c r="O844" s="14">
        <f t="shared" si="27"/>
        <v>-400</v>
      </c>
      <c r="P844" s="15">
        <f t="shared" si="28"/>
        <v>41824</v>
      </c>
      <c r="Q844" s="15"/>
      <c r="R844" s="16"/>
      <c r="S844" s="16"/>
    </row>
    <row r="845" spans="1:19" x14ac:dyDescent="0.25">
      <c r="A845" s="8" t="s">
        <v>16</v>
      </c>
      <c r="B845" s="8" t="s">
        <v>17</v>
      </c>
      <c r="C845" s="8" t="s">
        <v>18</v>
      </c>
      <c r="D845" s="8">
        <v>2014</v>
      </c>
      <c r="E845" s="9" t="s">
        <v>570</v>
      </c>
      <c r="F845" s="10">
        <v>41824</v>
      </c>
      <c r="G845" s="8"/>
      <c r="H845" s="13" t="s">
        <v>103</v>
      </c>
      <c r="I845" s="29"/>
      <c r="J845" s="13" t="s">
        <v>38</v>
      </c>
      <c r="K845" s="13" t="s">
        <v>90</v>
      </c>
      <c r="L845" s="13" t="s">
        <v>104</v>
      </c>
      <c r="M845" s="13" t="s">
        <v>105</v>
      </c>
      <c r="N845" s="14"/>
      <c r="O845" s="14">
        <f t="shared" si="27"/>
        <v>0</v>
      </c>
      <c r="P845" s="56">
        <f t="shared" si="28"/>
        <v>41824</v>
      </c>
      <c r="Q845" s="60"/>
      <c r="R845" s="16"/>
      <c r="S845" s="16"/>
    </row>
    <row r="846" spans="1:19" x14ac:dyDescent="0.25">
      <c r="A846" s="8" t="s">
        <v>16</v>
      </c>
      <c r="B846" s="8" t="s">
        <v>17</v>
      </c>
      <c r="C846" s="8" t="s">
        <v>18</v>
      </c>
      <c r="D846" s="8">
        <v>2014</v>
      </c>
      <c r="E846" s="9" t="s">
        <v>570</v>
      </c>
      <c r="F846" s="10">
        <v>41824</v>
      </c>
      <c r="G846" s="8"/>
      <c r="H846" s="13" t="s">
        <v>314</v>
      </c>
      <c r="I846" s="12">
        <v>-9000</v>
      </c>
      <c r="J846" s="13" t="s">
        <v>38</v>
      </c>
      <c r="K846" s="13" t="s">
        <v>90</v>
      </c>
      <c r="L846" s="13" t="s">
        <v>589</v>
      </c>
      <c r="M846" s="13"/>
      <c r="N846" s="14"/>
      <c r="O846" s="14">
        <f t="shared" si="27"/>
        <v>-9000</v>
      </c>
      <c r="P846" s="15">
        <f t="shared" si="28"/>
        <v>41824</v>
      </c>
      <c r="Q846" s="15"/>
      <c r="R846" s="16"/>
      <c r="S846" s="26"/>
    </row>
    <row r="847" spans="1:19" x14ac:dyDescent="0.25">
      <c r="A847" s="8" t="s">
        <v>16</v>
      </c>
      <c r="B847" s="8" t="s">
        <v>17</v>
      </c>
      <c r="C847" s="8" t="s">
        <v>18</v>
      </c>
      <c r="D847" s="8">
        <v>2014</v>
      </c>
      <c r="E847" s="9" t="s">
        <v>570</v>
      </c>
      <c r="F847" s="10">
        <v>41824</v>
      </c>
      <c r="G847" s="8"/>
      <c r="H847" s="13" t="s">
        <v>314</v>
      </c>
      <c r="I847" s="12">
        <v>-2250</v>
      </c>
      <c r="J847" s="13" t="s">
        <v>38</v>
      </c>
      <c r="K847" s="13" t="s">
        <v>90</v>
      </c>
      <c r="L847" s="13" t="s">
        <v>589</v>
      </c>
      <c r="M847" s="13" t="s">
        <v>590</v>
      </c>
      <c r="N847" s="14"/>
      <c r="O847" s="14">
        <f t="shared" si="27"/>
        <v>-2250</v>
      </c>
      <c r="P847" s="15">
        <f t="shared" si="28"/>
        <v>41824</v>
      </c>
      <c r="Q847" s="15"/>
      <c r="R847" s="16"/>
      <c r="S847" s="16"/>
    </row>
    <row r="848" spans="1:19" x14ac:dyDescent="0.25">
      <c r="A848" s="23" t="s">
        <v>16</v>
      </c>
      <c r="B848" s="23" t="s">
        <v>17</v>
      </c>
      <c r="C848" s="23" t="s">
        <v>18</v>
      </c>
      <c r="D848" s="8">
        <v>2014</v>
      </c>
      <c r="E848" s="9" t="s">
        <v>570</v>
      </c>
      <c r="F848" s="10">
        <v>41824</v>
      </c>
      <c r="G848" s="8"/>
      <c r="H848" s="11" t="s">
        <v>341</v>
      </c>
      <c r="I848" s="12">
        <v>-540</v>
      </c>
      <c r="J848" s="13" t="s">
        <v>38</v>
      </c>
      <c r="K848" s="13" t="s">
        <v>90</v>
      </c>
      <c r="L848" s="13" t="s">
        <v>91</v>
      </c>
      <c r="M848" s="13"/>
      <c r="N848" s="31"/>
      <c r="O848" s="14">
        <f t="shared" si="27"/>
        <v>-540</v>
      </c>
      <c r="P848" s="15">
        <f t="shared" si="28"/>
        <v>41824</v>
      </c>
      <c r="Q848" s="15"/>
      <c r="R848" s="26"/>
      <c r="S848" s="26"/>
    </row>
    <row r="849" spans="1:19" x14ac:dyDescent="0.25">
      <c r="A849" s="23" t="s">
        <v>16</v>
      </c>
      <c r="B849" s="23" t="s">
        <v>17</v>
      </c>
      <c r="C849" s="23" t="s">
        <v>18</v>
      </c>
      <c r="D849" s="8">
        <v>2014</v>
      </c>
      <c r="E849" s="9" t="s">
        <v>570</v>
      </c>
      <c r="F849" s="10">
        <v>41824</v>
      </c>
      <c r="G849" s="8"/>
      <c r="H849" s="11" t="s">
        <v>591</v>
      </c>
      <c r="I849" s="12">
        <v>-463</v>
      </c>
      <c r="J849" s="13" t="s">
        <v>38</v>
      </c>
      <c r="K849" s="13" t="s">
        <v>90</v>
      </c>
      <c r="L849" s="13" t="s">
        <v>91</v>
      </c>
      <c r="M849" s="13"/>
      <c r="N849" s="31"/>
      <c r="O849" s="14">
        <f t="shared" si="27"/>
        <v>-463</v>
      </c>
      <c r="P849" s="15">
        <f t="shared" si="28"/>
        <v>41824</v>
      </c>
      <c r="Q849" s="15"/>
      <c r="R849" s="26"/>
      <c r="S849" s="26"/>
    </row>
    <row r="850" spans="1:19" x14ac:dyDescent="0.25">
      <c r="A850" s="23" t="s">
        <v>16</v>
      </c>
      <c r="B850" s="23" t="s">
        <v>17</v>
      </c>
      <c r="C850" s="23" t="s">
        <v>18</v>
      </c>
      <c r="D850" s="8">
        <v>2014</v>
      </c>
      <c r="E850" s="9" t="s">
        <v>570</v>
      </c>
      <c r="F850" s="10">
        <v>41824</v>
      </c>
      <c r="G850" s="8"/>
      <c r="H850" s="11" t="s">
        <v>342</v>
      </c>
      <c r="I850" s="12">
        <v>-540</v>
      </c>
      <c r="J850" s="13" t="s">
        <v>38</v>
      </c>
      <c r="K850" s="13" t="s">
        <v>90</v>
      </c>
      <c r="L850" s="13" t="s">
        <v>91</v>
      </c>
      <c r="M850" s="13"/>
      <c r="N850" s="31"/>
      <c r="O850" s="14">
        <f t="shared" si="27"/>
        <v>-540</v>
      </c>
      <c r="P850" s="15">
        <f t="shared" si="28"/>
        <v>41824</v>
      </c>
      <c r="Q850" s="15"/>
      <c r="R850" s="26"/>
      <c r="S850" s="26"/>
    </row>
    <row r="851" spans="1:19" x14ac:dyDescent="0.25">
      <c r="A851" s="8" t="s">
        <v>16</v>
      </c>
      <c r="B851" s="8" t="s">
        <v>17</v>
      </c>
      <c r="C851" s="36" t="s">
        <v>46</v>
      </c>
      <c r="D851" s="8">
        <v>2014</v>
      </c>
      <c r="E851" s="9" t="s">
        <v>570</v>
      </c>
      <c r="F851" s="10">
        <v>41824</v>
      </c>
      <c r="G851" s="8" t="s">
        <v>249</v>
      </c>
      <c r="H851" s="11" t="s">
        <v>112</v>
      </c>
      <c r="I851" s="12">
        <v>-7500</v>
      </c>
      <c r="J851" s="13" t="s">
        <v>48</v>
      </c>
      <c r="K851" s="13" t="s">
        <v>113</v>
      </c>
      <c r="L851" s="13" t="s">
        <v>114</v>
      </c>
      <c r="M851" s="13"/>
      <c r="N851" s="14"/>
      <c r="O851" s="14">
        <f t="shared" si="27"/>
        <v>-7500</v>
      </c>
      <c r="P851" s="15">
        <f t="shared" si="28"/>
        <v>41824</v>
      </c>
      <c r="Q851" s="15"/>
      <c r="R851" s="26"/>
      <c r="S851" s="26"/>
    </row>
    <row r="852" spans="1:19" x14ac:dyDescent="0.25">
      <c r="A852" s="23" t="s">
        <v>16</v>
      </c>
      <c r="B852" s="23" t="s">
        <v>17</v>
      </c>
      <c r="C852" s="23" t="s">
        <v>18</v>
      </c>
      <c r="D852" s="8">
        <v>2014</v>
      </c>
      <c r="E852" s="9" t="s">
        <v>570</v>
      </c>
      <c r="F852" s="10">
        <v>41824</v>
      </c>
      <c r="G852" s="23"/>
      <c r="H852" s="13" t="s">
        <v>122</v>
      </c>
      <c r="I852" s="12">
        <v>-2000</v>
      </c>
      <c r="J852" s="13" t="s">
        <v>33</v>
      </c>
      <c r="K852" s="13" t="s">
        <v>123</v>
      </c>
      <c r="L852" s="13" t="s">
        <v>124</v>
      </c>
      <c r="M852" s="25" t="s">
        <v>125</v>
      </c>
      <c r="N852" s="31"/>
      <c r="O852" s="14">
        <f t="shared" si="27"/>
        <v>-2000</v>
      </c>
      <c r="P852" s="15">
        <f t="shared" si="28"/>
        <v>41824</v>
      </c>
      <c r="Q852" s="15"/>
      <c r="R852" s="26"/>
      <c r="S852" s="26"/>
    </row>
    <row r="853" spans="1:19" x14ac:dyDescent="0.25">
      <c r="A853" s="8" t="s">
        <v>16</v>
      </c>
      <c r="B853" s="8" t="s">
        <v>17</v>
      </c>
      <c r="C853" s="8" t="s">
        <v>18</v>
      </c>
      <c r="D853" s="8">
        <v>2014</v>
      </c>
      <c r="E853" s="9" t="s">
        <v>570</v>
      </c>
      <c r="F853" s="10">
        <v>41824</v>
      </c>
      <c r="G853" s="8"/>
      <c r="H853" s="11" t="s">
        <v>401</v>
      </c>
      <c r="I853" s="12">
        <v>-2000</v>
      </c>
      <c r="J853" s="13" t="s">
        <v>33</v>
      </c>
      <c r="K853" s="13" t="s">
        <v>34</v>
      </c>
      <c r="L853" s="13" t="s">
        <v>35</v>
      </c>
      <c r="M853" s="13" t="s">
        <v>226</v>
      </c>
      <c r="N853" s="14"/>
      <c r="O853" s="14">
        <f t="shared" si="27"/>
        <v>-2000</v>
      </c>
      <c r="P853" s="15">
        <v>41778</v>
      </c>
      <c r="Q853" s="15"/>
      <c r="R853" s="26"/>
      <c r="S853" s="26"/>
    </row>
    <row r="854" spans="1:19" x14ac:dyDescent="0.25">
      <c r="A854" s="23" t="s">
        <v>16</v>
      </c>
      <c r="B854" s="23" t="s">
        <v>17</v>
      </c>
      <c r="C854" s="8" t="s">
        <v>18</v>
      </c>
      <c r="D854" s="8">
        <v>2014</v>
      </c>
      <c r="E854" s="9" t="s">
        <v>570</v>
      </c>
      <c r="F854" s="10">
        <v>41824</v>
      </c>
      <c r="G854" s="23"/>
      <c r="H854" s="13" t="s">
        <v>592</v>
      </c>
      <c r="I854" s="12">
        <f>-400-132</f>
        <v>-532</v>
      </c>
      <c r="J854" s="13" t="s">
        <v>21</v>
      </c>
      <c r="K854" s="13" t="s">
        <v>25</v>
      </c>
      <c r="L854" s="13" t="s">
        <v>26</v>
      </c>
      <c r="M854" s="13"/>
      <c r="N854" s="14"/>
      <c r="O854" s="14">
        <f t="shared" si="27"/>
        <v>-532</v>
      </c>
      <c r="P854" s="15">
        <f t="shared" ref="P854:P917" si="29">F854</f>
        <v>41824</v>
      </c>
      <c r="Q854" s="15"/>
      <c r="R854" s="16"/>
      <c r="S854" s="16"/>
    </row>
    <row r="855" spans="1:19" x14ac:dyDescent="0.25">
      <c r="A855" s="8" t="s">
        <v>16</v>
      </c>
      <c r="B855" s="8" t="s">
        <v>17</v>
      </c>
      <c r="C855" s="8" t="s">
        <v>18</v>
      </c>
      <c r="D855" s="8">
        <v>2014</v>
      </c>
      <c r="E855" s="9" t="s">
        <v>570</v>
      </c>
      <c r="F855" s="10">
        <v>41824</v>
      </c>
      <c r="G855" s="23"/>
      <c r="H855" s="17" t="s">
        <v>62</v>
      </c>
      <c r="I855" s="12">
        <v>-80</v>
      </c>
      <c r="J855" s="13" t="s">
        <v>21</v>
      </c>
      <c r="K855" s="13" t="s">
        <v>63</v>
      </c>
      <c r="L855" s="13" t="s">
        <v>64</v>
      </c>
      <c r="M855" s="13"/>
      <c r="N855" s="14"/>
      <c r="O855" s="14">
        <f t="shared" si="27"/>
        <v>-80</v>
      </c>
      <c r="P855" s="15">
        <f t="shared" si="29"/>
        <v>41824</v>
      </c>
      <c r="Q855" s="15"/>
      <c r="R855" s="26"/>
      <c r="S855" s="26"/>
    </row>
    <row r="856" spans="1:19" x14ac:dyDescent="0.25">
      <c r="A856" s="23" t="s">
        <v>16</v>
      </c>
      <c r="B856" s="23" t="s">
        <v>17</v>
      </c>
      <c r="C856" s="23" t="s">
        <v>18</v>
      </c>
      <c r="D856" s="8">
        <v>2014</v>
      </c>
      <c r="E856" s="9" t="s">
        <v>570</v>
      </c>
      <c r="F856" s="10">
        <v>41824</v>
      </c>
      <c r="G856" s="23"/>
      <c r="H856" s="13" t="s">
        <v>252</v>
      </c>
      <c r="I856" s="12">
        <v>-50</v>
      </c>
      <c r="J856" s="13" t="s">
        <v>21</v>
      </c>
      <c r="K856" s="13" t="s">
        <v>22</v>
      </c>
      <c r="L856" s="13" t="s">
        <v>71</v>
      </c>
      <c r="M856" s="13" t="s">
        <v>206</v>
      </c>
      <c r="N856" s="31"/>
      <c r="O856" s="14">
        <f t="shared" si="27"/>
        <v>-50</v>
      </c>
      <c r="P856" s="15">
        <f t="shared" si="29"/>
        <v>41824</v>
      </c>
      <c r="Q856" s="15"/>
      <c r="R856" s="26"/>
      <c r="S856" s="26"/>
    </row>
    <row r="857" spans="1:19" x14ac:dyDescent="0.25">
      <c r="A857" s="8" t="s">
        <v>16</v>
      </c>
      <c r="B857" s="8" t="s">
        <v>17</v>
      </c>
      <c r="C857" s="8" t="s">
        <v>18</v>
      </c>
      <c r="D857" s="8">
        <v>2014</v>
      </c>
      <c r="E857" s="9" t="s">
        <v>570</v>
      </c>
      <c r="F857" s="10">
        <v>41824</v>
      </c>
      <c r="G857" s="8"/>
      <c r="H857" s="13" t="s">
        <v>80</v>
      </c>
      <c r="I857" s="12">
        <v>-50</v>
      </c>
      <c r="J857" s="13" t="s">
        <v>21</v>
      </c>
      <c r="K857" s="13" t="s">
        <v>22</v>
      </c>
      <c r="L857" s="13" t="s">
        <v>23</v>
      </c>
      <c r="M857" s="13" t="s">
        <v>28</v>
      </c>
      <c r="N857" s="14"/>
      <c r="O857" s="14">
        <f t="shared" si="27"/>
        <v>-50</v>
      </c>
      <c r="P857" s="15">
        <f t="shared" si="29"/>
        <v>41824</v>
      </c>
      <c r="Q857" s="15"/>
      <c r="R857" s="26"/>
      <c r="S857" s="26"/>
    </row>
    <row r="858" spans="1:19" x14ac:dyDescent="0.25">
      <c r="A858" s="8" t="s">
        <v>16</v>
      </c>
      <c r="B858" s="8" t="s">
        <v>17</v>
      </c>
      <c r="C858" s="36" t="s">
        <v>18</v>
      </c>
      <c r="D858" s="8">
        <v>2014</v>
      </c>
      <c r="E858" s="9" t="s">
        <v>570</v>
      </c>
      <c r="F858" s="10">
        <v>41824</v>
      </c>
      <c r="G858" s="8"/>
      <c r="H858" s="13" t="s">
        <v>506</v>
      </c>
      <c r="I858" s="61">
        <v>-952</v>
      </c>
      <c r="J858" s="13" t="s">
        <v>21</v>
      </c>
      <c r="K858" s="13" t="s">
        <v>63</v>
      </c>
      <c r="L858" s="13" t="s">
        <v>83</v>
      </c>
      <c r="M858" s="13"/>
      <c r="N858" s="14"/>
      <c r="O858" s="14">
        <f t="shared" si="27"/>
        <v>-952</v>
      </c>
      <c r="P858" s="15">
        <f t="shared" si="29"/>
        <v>41824</v>
      </c>
      <c r="Q858" s="15"/>
      <c r="R858" s="26"/>
      <c r="S858" s="26"/>
    </row>
    <row r="859" spans="1:19" x14ac:dyDescent="0.25">
      <c r="A859" s="23" t="s">
        <v>16</v>
      </c>
      <c r="B859" s="23" t="s">
        <v>17</v>
      </c>
      <c r="C859" s="23" t="s">
        <v>18</v>
      </c>
      <c r="D859" s="8">
        <v>2014</v>
      </c>
      <c r="E859" s="9" t="s">
        <v>570</v>
      </c>
      <c r="F859" s="10">
        <v>41824</v>
      </c>
      <c r="G859" s="8"/>
      <c r="H859" s="11" t="s">
        <v>378</v>
      </c>
      <c r="I859" s="61">
        <v>-446</v>
      </c>
      <c r="J859" s="13" t="s">
        <v>38</v>
      </c>
      <c r="K859" s="13" t="s">
        <v>155</v>
      </c>
      <c r="L859" s="13" t="s">
        <v>91</v>
      </c>
      <c r="M859" s="13"/>
      <c r="N859" s="31"/>
      <c r="O859" s="14">
        <f t="shared" si="27"/>
        <v>-446</v>
      </c>
      <c r="P859" s="15">
        <f t="shared" si="29"/>
        <v>41824</v>
      </c>
      <c r="Q859" s="15"/>
      <c r="R859" s="26"/>
      <c r="S859" s="26"/>
    </row>
    <row r="860" spans="1:19" x14ac:dyDescent="0.25">
      <c r="A860" s="23" t="s">
        <v>16</v>
      </c>
      <c r="B860" s="23" t="s">
        <v>17</v>
      </c>
      <c r="C860" s="23" t="s">
        <v>18</v>
      </c>
      <c r="D860" s="8">
        <v>2014</v>
      </c>
      <c r="E860" s="9" t="s">
        <v>570</v>
      </c>
      <c r="F860" s="10">
        <v>41824</v>
      </c>
      <c r="G860" s="8"/>
      <c r="H860" s="11" t="s">
        <v>328</v>
      </c>
      <c r="I860" s="62">
        <v>-47</v>
      </c>
      <c r="J860" s="63" t="s">
        <v>38</v>
      </c>
      <c r="K860" s="63" t="s">
        <v>155</v>
      </c>
      <c r="L860" s="63" t="s">
        <v>91</v>
      </c>
      <c r="M860" s="63"/>
      <c r="N860" s="64"/>
      <c r="O860" s="14">
        <f t="shared" si="27"/>
        <v>-47</v>
      </c>
      <c r="P860" s="60">
        <f t="shared" si="29"/>
        <v>41824</v>
      </c>
      <c r="Q860" s="60"/>
      <c r="R860" s="16"/>
      <c r="S860" s="16"/>
    </row>
    <row r="861" spans="1:19" x14ac:dyDescent="0.25">
      <c r="A861" s="23" t="s">
        <v>16</v>
      </c>
      <c r="B861" s="23" t="s">
        <v>17</v>
      </c>
      <c r="C861" s="23" t="s">
        <v>18</v>
      </c>
      <c r="D861" s="8">
        <v>2014</v>
      </c>
      <c r="E861" s="9" t="s">
        <v>570</v>
      </c>
      <c r="F861" s="10">
        <v>41824</v>
      </c>
      <c r="G861" s="8"/>
      <c r="H861" s="11" t="s">
        <v>593</v>
      </c>
      <c r="I861" s="61">
        <v>-117</v>
      </c>
      <c r="J861" s="13" t="s">
        <v>38</v>
      </c>
      <c r="K861" s="13" t="s">
        <v>155</v>
      </c>
      <c r="L861" s="13" t="s">
        <v>91</v>
      </c>
      <c r="M861" s="13"/>
      <c r="N861" s="31"/>
      <c r="O861" s="14">
        <f t="shared" si="27"/>
        <v>-117</v>
      </c>
      <c r="P861" s="15">
        <f t="shared" si="29"/>
        <v>41824</v>
      </c>
      <c r="Q861" s="56"/>
      <c r="R861" s="16"/>
      <c r="S861" s="16"/>
    </row>
    <row r="862" spans="1:19" x14ac:dyDescent="0.25">
      <c r="A862" s="23" t="s">
        <v>16</v>
      </c>
      <c r="B862" s="23" t="s">
        <v>17</v>
      </c>
      <c r="C862" s="23" t="s">
        <v>18</v>
      </c>
      <c r="D862" s="8">
        <v>2014</v>
      </c>
      <c r="E862" s="9" t="s">
        <v>570</v>
      </c>
      <c r="F862" s="10">
        <v>41824</v>
      </c>
      <c r="G862" s="8"/>
      <c r="H862" s="11" t="s">
        <v>350</v>
      </c>
      <c r="I862" s="61">
        <v>-376</v>
      </c>
      <c r="J862" s="13" t="s">
        <v>38</v>
      </c>
      <c r="K862" s="13" t="s">
        <v>155</v>
      </c>
      <c r="L862" s="13" t="s">
        <v>91</v>
      </c>
      <c r="M862" s="13"/>
      <c r="N862" s="31"/>
      <c r="O862" s="14">
        <f t="shared" si="27"/>
        <v>-376</v>
      </c>
      <c r="P862" s="15">
        <f t="shared" si="29"/>
        <v>41824</v>
      </c>
      <c r="Q862" s="56"/>
      <c r="R862" s="16"/>
      <c r="S862" s="16"/>
    </row>
    <row r="863" spans="1:19" x14ac:dyDescent="0.25">
      <c r="A863" s="23" t="s">
        <v>16</v>
      </c>
      <c r="B863" s="23" t="s">
        <v>17</v>
      </c>
      <c r="C863" s="23" t="s">
        <v>18</v>
      </c>
      <c r="D863" s="8">
        <v>2014</v>
      </c>
      <c r="E863" s="9" t="s">
        <v>570</v>
      </c>
      <c r="F863" s="10">
        <v>41824</v>
      </c>
      <c r="G863" s="8"/>
      <c r="H863" s="11" t="s">
        <v>511</v>
      </c>
      <c r="I863" s="61">
        <v>-48</v>
      </c>
      <c r="J863" s="13" t="s">
        <v>38</v>
      </c>
      <c r="K863" s="13" t="s">
        <v>155</v>
      </c>
      <c r="L863" s="13" t="s">
        <v>91</v>
      </c>
      <c r="M863" s="13"/>
      <c r="N863" s="31"/>
      <c r="O863" s="14">
        <f t="shared" si="27"/>
        <v>-48</v>
      </c>
      <c r="P863" s="15">
        <f t="shared" si="29"/>
        <v>41824</v>
      </c>
      <c r="Q863" s="56"/>
      <c r="R863" s="16"/>
      <c r="S863" s="16"/>
    </row>
    <row r="864" spans="1:19" x14ac:dyDescent="0.25">
      <c r="A864" s="23" t="s">
        <v>16</v>
      </c>
      <c r="B864" s="23" t="s">
        <v>17</v>
      </c>
      <c r="C864" s="23" t="s">
        <v>18</v>
      </c>
      <c r="D864" s="8">
        <v>2014</v>
      </c>
      <c r="E864" s="9" t="s">
        <v>570</v>
      </c>
      <c r="F864" s="10">
        <v>41824</v>
      </c>
      <c r="G864" s="8"/>
      <c r="H864" s="11" t="s">
        <v>346</v>
      </c>
      <c r="I864" s="61">
        <v>-47</v>
      </c>
      <c r="J864" s="13" t="s">
        <v>38</v>
      </c>
      <c r="K864" s="13" t="s">
        <v>155</v>
      </c>
      <c r="L864" s="13" t="s">
        <v>91</v>
      </c>
      <c r="M864" s="13"/>
      <c r="N864" s="31"/>
      <c r="O864" s="14">
        <f t="shared" si="27"/>
        <v>-47</v>
      </c>
      <c r="P864" s="15">
        <f t="shared" si="29"/>
        <v>41824</v>
      </c>
      <c r="Q864" s="56"/>
      <c r="R864" s="16"/>
      <c r="S864" s="16"/>
    </row>
    <row r="865" spans="1:19" x14ac:dyDescent="0.25">
      <c r="A865" s="23" t="s">
        <v>16</v>
      </c>
      <c r="B865" s="23" t="s">
        <v>17</v>
      </c>
      <c r="C865" s="23" t="s">
        <v>18</v>
      </c>
      <c r="D865" s="8">
        <v>2014</v>
      </c>
      <c r="E865" s="9" t="s">
        <v>570</v>
      </c>
      <c r="F865" s="10">
        <v>41824</v>
      </c>
      <c r="G865" s="8"/>
      <c r="H865" s="11" t="s">
        <v>419</v>
      </c>
      <c r="I865" s="12">
        <v>-446</v>
      </c>
      <c r="J865" s="13" t="s">
        <v>38</v>
      </c>
      <c r="K865" s="13" t="s">
        <v>155</v>
      </c>
      <c r="L865" s="13" t="s">
        <v>91</v>
      </c>
      <c r="M865" s="13"/>
      <c r="N865" s="31"/>
      <c r="O865" s="14">
        <f t="shared" si="27"/>
        <v>-446</v>
      </c>
      <c r="P865" s="15">
        <f t="shared" si="29"/>
        <v>41824</v>
      </c>
      <c r="Q865" s="56"/>
      <c r="R865" s="16"/>
      <c r="S865" s="16"/>
    </row>
    <row r="866" spans="1:19" x14ac:dyDescent="0.25">
      <c r="A866" s="23" t="s">
        <v>16</v>
      </c>
      <c r="B866" s="23" t="s">
        <v>17</v>
      </c>
      <c r="C866" s="23" t="s">
        <v>18</v>
      </c>
      <c r="D866" s="8">
        <v>2014</v>
      </c>
      <c r="E866" s="9" t="s">
        <v>570</v>
      </c>
      <c r="F866" s="10">
        <v>41824</v>
      </c>
      <c r="G866" s="8"/>
      <c r="H866" s="11" t="s">
        <v>345</v>
      </c>
      <c r="I866" s="12">
        <v>-49</v>
      </c>
      <c r="J866" s="13" t="s">
        <v>38</v>
      </c>
      <c r="K866" s="13" t="s">
        <v>155</v>
      </c>
      <c r="L866" s="13" t="s">
        <v>91</v>
      </c>
      <c r="M866" s="13"/>
      <c r="N866" s="31"/>
      <c r="O866" s="14">
        <f t="shared" si="27"/>
        <v>-49</v>
      </c>
      <c r="P866" s="15">
        <f t="shared" si="29"/>
        <v>41824</v>
      </c>
      <c r="Q866" s="56"/>
      <c r="R866" s="16"/>
      <c r="S866" s="16"/>
    </row>
    <row r="867" spans="1:19" x14ac:dyDescent="0.25">
      <c r="A867" s="23" t="s">
        <v>16</v>
      </c>
      <c r="B867" s="23" t="s">
        <v>17</v>
      </c>
      <c r="C867" s="23" t="s">
        <v>18</v>
      </c>
      <c r="D867" s="8">
        <v>2014</v>
      </c>
      <c r="E867" s="9" t="s">
        <v>570</v>
      </c>
      <c r="F867" s="10">
        <v>41824</v>
      </c>
      <c r="G867" s="8"/>
      <c r="H867" s="11" t="s">
        <v>420</v>
      </c>
      <c r="I867" s="12">
        <v>-94</v>
      </c>
      <c r="J867" s="13" t="s">
        <v>38</v>
      </c>
      <c r="K867" s="13" t="s">
        <v>155</v>
      </c>
      <c r="L867" s="13" t="s">
        <v>91</v>
      </c>
      <c r="M867" s="13"/>
      <c r="N867" s="31"/>
      <c r="O867" s="14">
        <f t="shared" si="27"/>
        <v>-94</v>
      </c>
      <c r="P867" s="15">
        <f t="shared" si="29"/>
        <v>41824</v>
      </c>
      <c r="Q867" s="56"/>
      <c r="R867" s="16"/>
      <c r="S867" s="16"/>
    </row>
    <row r="868" spans="1:19" x14ac:dyDescent="0.25">
      <c r="A868" s="23" t="s">
        <v>16</v>
      </c>
      <c r="B868" s="23" t="s">
        <v>17</v>
      </c>
      <c r="C868" s="23" t="s">
        <v>18</v>
      </c>
      <c r="D868" s="8">
        <v>2014</v>
      </c>
      <c r="E868" s="9" t="s">
        <v>570</v>
      </c>
      <c r="F868" s="10">
        <v>41824</v>
      </c>
      <c r="G868" s="8"/>
      <c r="H868" s="11" t="s">
        <v>349</v>
      </c>
      <c r="I868" s="12">
        <v>-94</v>
      </c>
      <c r="J868" s="13" t="s">
        <v>38</v>
      </c>
      <c r="K868" s="13" t="s">
        <v>155</v>
      </c>
      <c r="L868" s="13" t="s">
        <v>91</v>
      </c>
      <c r="M868" s="13"/>
      <c r="N868" s="31"/>
      <c r="O868" s="14">
        <f t="shared" si="27"/>
        <v>-94</v>
      </c>
      <c r="P868" s="15">
        <f t="shared" si="29"/>
        <v>41824</v>
      </c>
      <c r="Q868" s="56"/>
      <c r="R868" s="16"/>
      <c r="S868" s="16"/>
    </row>
    <row r="869" spans="1:19" x14ac:dyDescent="0.25">
      <c r="A869" s="23" t="s">
        <v>16</v>
      </c>
      <c r="B869" s="23" t="s">
        <v>17</v>
      </c>
      <c r="C869" s="23" t="s">
        <v>18</v>
      </c>
      <c r="D869" s="8">
        <v>2014</v>
      </c>
      <c r="E869" s="9" t="s">
        <v>570</v>
      </c>
      <c r="F869" s="10">
        <v>41824</v>
      </c>
      <c r="G869" s="23"/>
      <c r="H869" s="13" t="s">
        <v>512</v>
      </c>
      <c r="I869" s="12">
        <v>-100</v>
      </c>
      <c r="J869" s="13" t="s">
        <v>38</v>
      </c>
      <c r="K869" s="13" t="s">
        <v>90</v>
      </c>
      <c r="L869" s="13" t="s">
        <v>91</v>
      </c>
      <c r="M869" s="13"/>
      <c r="N869" s="31"/>
      <c r="O869" s="14">
        <f t="shared" si="27"/>
        <v>-100</v>
      </c>
      <c r="P869" s="15">
        <f t="shared" si="29"/>
        <v>41824</v>
      </c>
      <c r="Q869" s="56"/>
      <c r="R869" s="16"/>
      <c r="S869" s="16"/>
    </row>
    <row r="870" spans="1:19" x14ac:dyDescent="0.25">
      <c r="A870" s="23" t="s">
        <v>16</v>
      </c>
      <c r="B870" s="23" t="s">
        <v>17</v>
      </c>
      <c r="C870" s="23" t="s">
        <v>18</v>
      </c>
      <c r="D870" s="8">
        <v>2014</v>
      </c>
      <c r="E870" s="9" t="s">
        <v>570</v>
      </c>
      <c r="F870" s="10">
        <v>41824</v>
      </c>
      <c r="G870" s="23"/>
      <c r="H870" s="13" t="s">
        <v>513</v>
      </c>
      <c r="I870" s="12">
        <v>-200</v>
      </c>
      <c r="J870" s="13" t="s">
        <v>38</v>
      </c>
      <c r="K870" s="13" t="s">
        <v>90</v>
      </c>
      <c r="L870" s="13" t="s">
        <v>91</v>
      </c>
      <c r="M870" s="13"/>
      <c r="N870" s="31"/>
      <c r="O870" s="14">
        <f t="shared" si="27"/>
        <v>-200</v>
      </c>
      <c r="P870" s="15">
        <f t="shared" si="29"/>
        <v>41824</v>
      </c>
      <c r="Q870" s="56"/>
      <c r="R870" s="16"/>
      <c r="S870" s="16"/>
    </row>
    <row r="871" spans="1:19" x14ac:dyDescent="0.25">
      <c r="A871" s="23" t="s">
        <v>16</v>
      </c>
      <c r="B871" s="65" t="s">
        <v>17</v>
      </c>
      <c r="C871" s="23" t="s">
        <v>18</v>
      </c>
      <c r="D871" s="8">
        <v>2014</v>
      </c>
      <c r="E871" s="9" t="s">
        <v>570</v>
      </c>
      <c r="F871" s="10">
        <v>41824</v>
      </c>
      <c r="G871" s="23"/>
      <c r="H871" s="13" t="s">
        <v>534</v>
      </c>
      <c r="I871" s="12">
        <v>-100</v>
      </c>
      <c r="J871" s="13" t="s">
        <v>38</v>
      </c>
      <c r="K871" s="13" t="s">
        <v>90</v>
      </c>
      <c r="L871" s="13" t="s">
        <v>91</v>
      </c>
      <c r="M871" s="13"/>
      <c r="N871" s="31"/>
      <c r="O871" s="14">
        <f t="shared" si="27"/>
        <v>-100</v>
      </c>
      <c r="P871" s="56">
        <f t="shared" si="29"/>
        <v>41824</v>
      </c>
      <c r="Q871" s="56"/>
      <c r="R871" s="16"/>
      <c r="S871" s="16"/>
    </row>
    <row r="872" spans="1:19" x14ac:dyDescent="0.25">
      <c r="A872" s="23" t="s">
        <v>16</v>
      </c>
      <c r="B872" s="23" t="s">
        <v>17</v>
      </c>
      <c r="C872" s="23" t="s">
        <v>18</v>
      </c>
      <c r="D872" s="8">
        <v>2014</v>
      </c>
      <c r="E872" s="9" t="s">
        <v>570</v>
      </c>
      <c r="F872" s="10">
        <v>41824</v>
      </c>
      <c r="G872" s="23"/>
      <c r="H872" s="13" t="s">
        <v>400</v>
      </c>
      <c r="I872" s="12">
        <v>-2306.12</v>
      </c>
      <c r="J872" s="13" t="s">
        <v>21</v>
      </c>
      <c r="K872" s="13" t="s">
        <v>143</v>
      </c>
      <c r="L872" s="13" t="s">
        <v>205</v>
      </c>
      <c r="M872" s="13" t="s">
        <v>145</v>
      </c>
      <c r="N872" s="31"/>
      <c r="O872" s="14">
        <f t="shared" si="27"/>
        <v>-2306.12</v>
      </c>
      <c r="P872" s="56">
        <f t="shared" si="29"/>
        <v>41824</v>
      </c>
      <c r="Q872" s="56"/>
      <c r="R872" s="16"/>
      <c r="S872" s="16"/>
    </row>
    <row r="873" spans="1:19" x14ac:dyDescent="0.25">
      <c r="A873" s="23" t="s">
        <v>16</v>
      </c>
      <c r="B873" s="23" t="s">
        <v>17</v>
      </c>
      <c r="C873" s="23" t="s">
        <v>51</v>
      </c>
      <c r="D873" s="8">
        <v>2014</v>
      </c>
      <c r="E873" s="9" t="s">
        <v>570</v>
      </c>
      <c r="F873" s="10">
        <v>41824</v>
      </c>
      <c r="G873" s="8">
        <v>11822</v>
      </c>
      <c r="H873" s="11" t="s">
        <v>582</v>
      </c>
      <c r="I873" s="12">
        <v>12000</v>
      </c>
      <c r="J873" s="13" t="s">
        <v>53</v>
      </c>
      <c r="K873" s="13" t="s">
        <v>54</v>
      </c>
      <c r="L873" s="13"/>
      <c r="M873" s="13"/>
      <c r="N873" s="31"/>
      <c r="O873" s="14">
        <f t="shared" si="27"/>
        <v>12000</v>
      </c>
      <c r="P873" s="56">
        <f t="shared" si="29"/>
        <v>41824</v>
      </c>
      <c r="Q873" s="56"/>
      <c r="R873" s="16"/>
      <c r="S873" s="16"/>
    </row>
    <row r="874" spans="1:19" x14ac:dyDescent="0.25">
      <c r="A874" s="23" t="s">
        <v>16</v>
      </c>
      <c r="B874" s="65" t="s">
        <v>17</v>
      </c>
      <c r="C874" s="23" t="s">
        <v>51</v>
      </c>
      <c r="D874" s="8">
        <v>2014</v>
      </c>
      <c r="E874" s="9" t="s">
        <v>570</v>
      </c>
      <c r="F874" s="10">
        <v>41824</v>
      </c>
      <c r="G874" s="8">
        <v>11765</v>
      </c>
      <c r="H874" s="11" t="s">
        <v>594</v>
      </c>
      <c r="I874" s="12">
        <v>1250</v>
      </c>
      <c r="J874" s="13" t="s">
        <v>53</v>
      </c>
      <c r="K874" s="13" t="s">
        <v>54</v>
      </c>
      <c r="L874" s="13"/>
      <c r="M874" s="13"/>
      <c r="N874" s="31"/>
      <c r="O874" s="14">
        <f t="shared" si="27"/>
        <v>1250</v>
      </c>
      <c r="P874" s="56">
        <f t="shared" si="29"/>
        <v>41824</v>
      </c>
      <c r="Q874" s="56"/>
      <c r="R874" s="16"/>
      <c r="S874" s="16"/>
    </row>
    <row r="875" spans="1:19" x14ac:dyDescent="0.25">
      <c r="A875" s="8" t="s">
        <v>16</v>
      </c>
      <c r="B875" s="8" t="s">
        <v>17</v>
      </c>
      <c r="C875" s="8" t="s">
        <v>18</v>
      </c>
      <c r="D875" s="8">
        <v>2014</v>
      </c>
      <c r="E875" s="9" t="s">
        <v>570</v>
      </c>
      <c r="F875" s="10">
        <v>41824</v>
      </c>
      <c r="G875" s="23"/>
      <c r="H875" s="11" t="s">
        <v>269</v>
      </c>
      <c r="I875" s="12">
        <v>-350</v>
      </c>
      <c r="J875" s="54" t="s">
        <v>21</v>
      </c>
      <c r="K875" s="54" t="s">
        <v>56</v>
      </c>
      <c r="L875" s="54" t="s">
        <v>57</v>
      </c>
      <c r="M875" s="13" t="s">
        <v>386</v>
      </c>
      <c r="N875" s="14"/>
      <c r="O875" s="14">
        <f t="shared" si="27"/>
        <v>-350</v>
      </c>
      <c r="P875" s="56">
        <f t="shared" si="29"/>
        <v>41824</v>
      </c>
      <c r="Q875" s="56"/>
      <c r="R875" s="16"/>
      <c r="S875" s="16"/>
    </row>
    <row r="876" spans="1:19" x14ac:dyDescent="0.25">
      <c r="A876" s="8" t="s">
        <v>16</v>
      </c>
      <c r="B876" s="66" t="s">
        <v>17</v>
      </c>
      <c r="C876" s="8" t="s">
        <v>18</v>
      </c>
      <c r="D876" s="8">
        <v>2014</v>
      </c>
      <c r="E876" s="9" t="s">
        <v>570</v>
      </c>
      <c r="F876" s="10">
        <v>41824</v>
      </c>
      <c r="G876" s="23"/>
      <c r="H876" s="11" t="s">
        <v>595</v>
      </c>
      <c r="I876" s="12">
        <v>-200</v>
      </c>
      <c r="J876" s="54" t="s">
        <v>21</v>
      </c>
      <c r="K876" s="54" t="s">
        <v>56</v>
      </c>
      <c r="L876" s="54" t="s">
        <v>57</v>
      </c>
      <c r="M876" s="13" t="s">
        <v>386</v>
      </c>
      <c r="N876" s="14"/>
      <c r="O876" s="14">
        <f t="shared" si="27"/>
        <v>-200</v>
      </c>
      <c r="P876" s="56">
        <f t="shared" si="29"/>
        <v>41824</v>
      </c>
      <c r="Q876" s="56"/>
      <c r="R876" s="16"/>
      <c r="S876" s="16"/>
    </row>
    <row r="877" spans="1:19" x14ac:dyDescent="0.25">
      <c r="A877" s="23" t="s">
        <v>16</v>
      </c>
      <c r="B877" s="65" t="s">
        <v>17</v>
      </c>
      <c r="C877" s="23" t="s">
        <v>18</v>
      </c>
      <c r="D877" s="8">
        <v>2014</v>
      </c>
      <c r="E877" s="9" t="s">
        <v>570</v>
      </c>
      <c r="F877" s="10">
        <v>41824</v>
      </c>
      <c r="G877" s="8"/>
      <c r="H877" s="11" t="s">
        <v>340</v>
      </c>
      <c r="I877" s="12">
        <v>-770</v>
      </c>
      <c r="J877" s="13" t="s">
        <v>21</v>
      </c>
      <c r="K877" s="13" t="s">
        <v>56</v>
      </c>
      <c r="L877" s="13" t="s">
        <v>57</v>
      </c>
      <c r="M877" s="13"/>
      <c r="N877" s="14"/>
      <c r="O877" s="14">
        <f t="shared" si="27"/>
        <v>-770</v>
      </c>
      <c r="P877" s="56">
        <f t="shared" si="29"/>
        <v>41824</v>
      </c>
      <c r="Q877" s="56"/>
      <c r="R877" s="16"/>
      <c r="S877" s="16"/>
    </row>
    <row r="878" spans="1:19" x14ac:dyDescent="0.25">
      <c r="A878" s="23" t="s">
        <v>16</v>
      </c>
      <c r="B878" s="23" t="s">
        <v>17</v>
      </c>
      <c r="C878" s="23" t="s">
        <v>18</v>
      </c>
      <c r="D878" s="8">
        <v>2014</v>
      </c>
      <c r="E878" s="9" t="s">
        <v>570</v>
      </c>
      <c r="F878" s="10">
        <v>41824</v>
      </c>
      <c r="G878" s="8"/>
      <c r="H878" s="11" t="s">
        <v>377</v>
      </c>
      <c r="I878" s="12">
        <v>-440.32</v>
      </c>
      <c r="J878" s="13" t="s">
        <v>21</v>
      </c>
      <c r="K878" s="13" t="s">
        <v>56</v>
      </c>
      <c r="L878" s="13" t="s">
        <v>111</v>
      </c>
      <c r="M878" s="13" t="s">
        <v>28</v>
      </c>
      <c r="N878" s="14"/>
      <c r="O878" s="14">
        <f t="shared" si="27"/>
        <v>-440.32</v>
      </c>
      <c r="P878" s="15">
        <f t="shared" si="29"/>
        <v>41824</v>
      </c>
      <c r="Q878" s="15"/>
      <c r="R878" s="16"/>
      <c r="S878" s="16"/>
    </row>
    <row r="879" spans="1:19" x14ac:dyDescent="0.25">
      <c r="A879" s="23" t="s">
        <v>16</v>
      </c>
      <c r="B879" s="23" t="s">
        <v>17</v>
      </c>
      <c r="C879" s="23" t="s">
        <v>51</v>
      </c>
      <c r="D879" s="8">
        <v>2014</v>
      </c>
      <c r="E879" s="9" t="s">
        <v>570</v>
      </c>
      <c r="F879" s="10">
        <v>41825</v>
      </c>
      <c r="G879" s="8">
        <v>11824</v>
      </c>
      <c r="H879" s="11" t="s">
        <v>596</v>
      </c>
      <c r="I879" s="12">
        <v>14000</v>
      </c>
      <c r="J879" s="13" t="s">
        <v>53</v>
      </c>
      <c r="K879" s="13" t="s">
        <v>54</v>
      </c>
      <c r="L879" s="13"/>
      <c r="M879" s="13"/>
      <c r="N879" s="31"/>
      <c r="O879" s="14">
        <f t="shared" si="27"/>
        <v>14000</v>
      </c>
      <c r="P879" s="15">
        <f t="shared" si="29"/>
        <v>41825</v>
      </c>
      <c r="Q879" s="15"/>
      <c r="R879" s="16"/>
      <c r="S879" s="16"/>
    </row>
    <row r="880" spans="1:19" x14ac:dyDescent="0.25">
      <c r="A880" s="23" t="s">
        <v>16</v>
      </c>
      <c r="B880" s="23" t="s">
        <v>17</v>
      </c>
      <c r="C880" s="23" t="s">
        <v>51</v>
      </c>
      <c r="D880" s="8">
        <v>2014</v>
      </c>
      <c r="E880" s="9" t="s">
        <v>570</v>
      </c>
      <c r="F880" s="10">
        <v>41826</v>
      </c>
      <c r="G880" s="8">
        <v>11708</v>
      </c>
      <c r="H880" s="11" t="s">
        <v>597</v>
      </c>
      <c r="I880" s="12">
        <v>5800</v>
      </c>
      <c r="J880" s="13" t="s">
        <v>53</v>
      </c>
      <c r="K880" s="13" t="s">
        <v>54</v>
      </c>
      <c r="L880" s="13"/>
      <c r="M880" s="13"/>
      <c r="N880" s="31"/>
      <c r="O880" s="14">
        <f t="shared" si="27"/>
        <v>5800</v>
      </c>
      <c r="P880" s="15">
        <f t="shared" si="29"/>
        <v>41826</v>
      </c>
      <c r="Q880" s="15"/>
      <c r="R880" s="16"/>
      <c r="S880" s="16"/>
    </row>
    <row r="881" spans="1:19" x14ac:dyDescent="0.25">
      <c r="A881" s="23" t="s">
        <v>16</v>
      </c>
      <c r="B881" s="23" t="s">
        <v>17</v>
      </c>
      <c r="C881" s="23" t="s">
        <v>51</v>
      </c>
      <c r="D881" s="8">
        <v>2014</v>
      </c>
      <c r="E881" s="9" t="s">
        <v>570</v>
      </c>
      <c r="F881" s="10">
        <v>41826</v>
      </c>
      <c r="G881" s="8">
        <v>11809</v>
      </c>
      <c r="H881" s="11" t="s">
        <v>598</v>
      </c>
      <c r="I881" s="12">
        <v>10000</v>
      </c>
      <c r="J881" s="13" t="s">
        <v>53</v>
      </c>
      <c r="K881" s="13" t="s">
        <v>54</v>
      </c>
      <c r="L881" s="13"/>
      <c r="M881" s="13"/>
      <c r="N881" s="31"/>
      <c r="O881" s="14">
        <f t="shared" si="27"/>
        <v>10000</v>
      </c>
      <c r="P881" s="15">
        <f t="shared" si="29"/>
        <v>41826</v>
      </c>
      <c r="Q881" s="15"/>
      <c r="R881" s="16"/>
      <c r="S881" s="16"/>
    </row>
    <row r="882" spans="1:19" x14ac:dyDescent="0.25">
      <c r="A882" s="8" t="s">
        <v>16</v>
      </c>
      <c r="B882" s="8" t="s">
        <v>17</v>
      </c>
      <c r="C882" s="8" t="s">
        <v>18</v>
      </c>
      <c r="D882" s="8">
        <v>2014</v>
      </c>
      <c r="E882" s="9" t="s">
        <v>570</v>
      </c>
      <c r="F882" s="10">
        <v>41827</v>
      </c>
      <c r="G882" s="23"/>
      <c r="H882" s="11" t="s">
        <v>269</v>
      </c>
      <c r="I882" s="12">
        <v>-400</v>
      </c>
      <c r="J882" s="54" t="s">
        <v>21</v>
      </c>
      <c r="K882" s="54" t="s">
        <v>56</v>
      </c>
      <c r="L882" s="54" t="s">
        <v>57</v>
      </c>
      <c r="M882" s="13" t="s">
        <v>386</v>
      </c>
      <c r="N882" s="14"/>
      <c r="O882" s="14">
        <f t="shared" si="27"/>
        <v>-400</v>
      </c>
      <c r="P882" s="15">
        <f t="shared" si="29"/>
        <v>41827</v>
      </c>
      <c r="Q882" s="15"/>
      <c r="R882" s="16"/>
      <c r="S882" s="16"/>
    </row>
    <row r="883" spans="1:19" x14ac:dyDescent="0.25">
      <c r="A883" s="8" t="s">
        <v>16</v>
      </c>
      <c r="B883" s="8" t="s">
        <v>17</v>
      </c>
      <c r="C883" s="8" t="s">
        <v>18</v>
      </c>
      <c r="D883" s="8">
        <v>2014</v>
      </c>
      <c r="E883" s="9" t="s">
        <v>570</v>
      </c>
      <c r="F883" s="10">
        <v>41827</v>
      </c>
      <c r="G883" s="23"/>
      <c r="H883" s="11" t="s">
        <v>595</v>
      </c>
      <c r="I883" s="12">
        <v>-600</v>
      </c>
      <c r="J883" s="54" t="s">
        <v>21</v>
      </c>
      <c r="K883" s="54" t="s">
        <v>56</v>
      </c>
      <c r="L883" s="54" t="s">
        <v>57</v>
      </c>
      <c r="M883" s="13" t="s">
        <v>386</v>
      </c>
      <c r="N883" s="14"/>
      <c r="O883" s="14">
        <f t="shared" si="27"/>
        <v>-600</v>
      </c>
      <c r="P883" s="15">
        <f t="shared" si="29"/>
        <v>41827</v>
      </c>
      <c r="Q883" s="15"/>
      <c r="R883" s="16"/>
      <c r="S883" s="16"/>
    </row>
    <row r="884" spans="1:19" x14ac:dyDescent="0.25">
      <c r="A884" s="23" t="s">
        <v>16</v>
      </c>
      <c r="B884" s="23" t="s">
        <v>17</v>
      </c>
      <c r="C884" s="23" t="s">
        <v>18</v>
      </c>
      <c r="D884" s="8">
        <v>2014</v>
      </c>
      <c r="E884" s="9" t="s">
        <v>570</v>
      </c>
      <c r="F884" s="10">
        <v>41827</v>
      </c>
      <c r="G884" s="8"/>
      <c r="H884" s="11" t="s">
        <v>399</v>
      </c>
      <c r="I884" s="12">
        <f>-54.18-26.46</f>
        <v>-80.64</v>
      </c>
      <c r="J884" s="13" t="s">
        <v>21</v>
      </c>
      <c r="K884" s="13" t="s">
        <v>56</v>
      </c>
      <c r="L884" s="13" t="s">
        <v>111</v>
      </c>
      <c r="M884" s="13" t="s">
        <v>28</v>
      </c>
      <c r="N884" s="31"/>
      <c r="O884" s="14">
        <f t="shared" si="27"/>
        <v>-80.64</v>
      </c>
      <c r="P884" s="15">
        <f t="shared" si="29"/>
        <v>41827</v>
      </c>
      <c r="Q884" s="15"/>
      <c r="R884" s="16"/>
      <c r="S884" s="16"/>
    </row>
    <row r="885" spans="1:19" x14ac:dyDescent="0.25">
      <c r="A885" s="23" t="s">
        <v>16</v>
      </c>
      <c r="B885" s="8" t="s">
        <v>45</v>
      </c>
      <c r="C885" s="23" t="s">
        <v>51</v>
      </c>
      <c r="D885" s="8">
        <v>2014</v>
      </c>
      <c r="E885" s="9" t="s">
        <v>570</v>
      </c>
      <c r="F885" s="10">
        <v>41828</v>
      </c>
      <c r="G885" s="8">
        <v>11826</v>
      </c>
      <c r="H885" s="11" t="s">
        <v>599</v>
      </c>
      <c r="I885" s="12">
        <f>100*11.5</f>
        <v>1150</v>
      </c>
      <c r="J885" s="13" t="s">
        <v>53</v>
      </c>
      <c r="K885" s="13" t="s">
        <v>54</v>
      </c>
      <c r="L885" s="13"/>
      <c r="M885" s="13"/>
      <c r="N885" s="31">
        <v>11.5</v>
      </c>
      <c r="O885" s="14">
        <f t="shared" si="27"/>
        <v>100</v>
      </c>
      <c r="P885" s="15">
        <f t="shared" si="29"/>
        <v>41828</v>
      </c>
      <c r="Q885" s="15"/>
      <c r="R885" s="16"/>
      <c r="S885" s="16"/>
    </row>
    <row r="886" spans="1:19" x14ac:dyDescent="0.25">
      <c r="A886" s="8" t="s">
        <v>16</v>
      </c>
      <c r="B886" s="8" t="s">
        <v>17</v>
      </c>
      <c r="C886" s="8" t="s">
        <v>18</v>
      </c>
      <c r="D886" s="8">
        <v>2014</v>
      </c>
      <c r="E886" s="9" t="s">
        <v>570</v>
      </c>
      <c r="F886" s="10">
        <v>41828</v>
      </c>
      <c r="G886" s="23"/>
      <c r="H886" s="11" t="s">
        <v>269</v>
      </c>
      <c r="I886" s="12">
        <v>-600</v>
      </c>
      <c r="J886" s="54" t="s">
        <v>21</v>
      </c>
      <c r="K886" s="54" t="s">
        <v>56</v>
      </c>
      <c r="L886" s="54" t="s">
        <v>57</v>
      </c>
      <c r="M886" s="13" t="s">
        <v>386</v>
      </c>
      <c r="N886" s="14"/>
      <c r="O886" s="14">
        <f t="shared" si="27"/>
        <v>-600</v>
      </c>
      <c r="P886" s="15">
        <f t="shared" si="29"/>
        <v>41828</v>
      </c>
      <c r="Q886" s="15"/>
      <c r="R886" s="16"/>
      <c r="S886" s="16"/>
    </row>
    <row r="887" spans="1:19" x14ac:dyDescent="0.25">
      <c r="A887" s="8" t="s">
        <v>16</v>
      </c>
      <c r="B887" s="8" t="s">
        <v>17</v>
      </c>
      <c r="C887" s="8" t="s">
        <v>18</v>
      </c>
      <c r="D887" s="8">
        <v>2014</v>
      </c>
      <c r="E887" s="9" t="s">
        <v>570</v>
      </c>
      <c r="F887" s="10">
        <v>41828</v>
      </c>
      <c r="G887" s="23"/>
      <c r="H887" s="11" t="s">
        <v>595</v>
      </c>
      <c r="I887" s="12">
        <v>-600</v>
      </c>
      <c r="J887" s="54" t="s">
        <v>21</v>
      </c>
      <c r="K887" s="54" t="s">
        <v>56</v>
      </c>
      <c r="L887" s="54" t="s">
        <v>57</v>
      </c>
      <c r="M887" s="13" t="s">
        <v>386</v>
      </c>
      <c r="N887" s="14"/>
      <c r="O887" s="14">
        <f t="shared" si="27"/>
        <v>-600</v>
      </c>
      <c r="P887" s="15">
        <f t="shared" si="29"/>
        <v>41828</v>
      </c>
      <c r="Q887" s="15"/>
      <c r="R887" s="16"/>
      <c r="S887" s="16"/>
    </row>
    <row r="888" spans="1:19" x14ac:dyDescent="0.25">
      <c r="A888" s="8" t="s">
        <v>16</v>
      </c>
      <c r="B888" s="8" t="s">
        <v>17</v>
      </c>
      <c r="C888" s="8" t="s">
        <v>18</v>
      </c>
      <c r="D888" s="8">
        <v>2014</v>
      </c>
      <c r="E888" s="9" t="s">
        <v>570</v>
      </c>
      <c r="F888" s="10">
        <v>41828</v>
      </c>
      <c r="G888" s="23"/>
      <c r="H888" s="11" t="s">
        <v>595</v>
      </c>
      <c r="I888" s="12">
        <v>-800</v>
      </c>
      <c r="J888" s="54" t="s">
        <v>21</v>
      </c>
      <c r="K888" s="54" t="s">
        <v>56</v>
      </c>
      <c r="L888" s="54" t="s">
        <v>57</v>
      </c>
      <c r="M888" s="13" t="s">
        <v>386</v>
      </c>
      <c r="N888" s="14"/>
      <c r="O888" s="14">
        <f t="shared" si="27"/>
        <v>-800</v>
      </c>
      <c r="P888" s="15">
        <f t="shared" si="29"/>
        <v>41828</v>
      </c>
      <c r="Q888" s="15"/>
      <c r="R888" s="16"/>
      <c r="S888" s="16"/>
    </row>
    <row r="889" spans="1:19" x14ac:dyDescent="0.25">
      <c r="A889" s="23" t="s">
        <v>16</v>
      </c>
      <c r="B889" s="23" t="s">
        <v>17</v>
      </c>
      <c r="C889" s="23" t="s">
        <v>18</v>
      </c>
      <c r="D889" s="8">
        <v>2014</v>
      </c>
      <c r="E889" s="9" t="s">
        <v>570</v>
      </c>
      <c r="F889" s="10">
        <v>41828</v>
      </c>
      <c r="G889" s="8"/>
      <c r="H889" s="11" t="s">
        <v>340</v>
      </c>
      <c r="I889" s="12">
        <v>-900</v>
      </c>
      <c r="J889" s="13" t="s">
        <v>21</v>
      </c>
      <c r="K889" s="13" t="s">
        <v>56</v>
      </c>
      <c r="L889" s="13" t="s">
        <v>57</v>
      </c>
      <c r="M889" s="13"/>
      <c r="N889" s="14"/>
      <c r="O889" s="14">
        <f t="shared" si="27"/>
        <v>-900</v>
      </c>
      <c r="P889" s="15">
        <f t="shared" si="29"/>
        <v>41828</v>
      </c>
      <c r="Q889" s="15"/>
      <c r="R889" s="16"/>
      <c r="S889" s="16"/>
    </row>
    <row r="890" spans="1:19" x14ac:dyDescent="0.25">
      <c r="A890" s="8" t="s">
        <v>16</v>
      </c>
      <c r="B890" s="8" t="s">
        <v>17</v>
      </c>
      <c r="C890" s="8" t="s">
        <v>18</v>
      </c>
      <c r="D890" s="8">
        <v>2014</v>
      </c>
      <c r="E890" s="9" t="s">
        <v>570</v>
      </c>
      <c r="F890" s="10">
        <v>41828</v>
      </c>
      <c r="G890" s="8"/>
      <c r="H890" s="17" t="s">
        <v>212</v>
      </c>
      <c r="I890" s="12">
        <v>-2504.6999999999998</v>
      </c>
      <c r="J890" s="13" t="s">
        <v>33</v>
      </c>
      <c r="K890" s="13" t="s">
        <v>34</v>
      </c>
      <c r="L890" s="13" t="s">
        <v>35</v>
      </c>
      <c r="M890" s="13"/>
      <c r="N890" s="14"/>
      <c r="O890" s="14">
        <f t="shared" si="27"/>
        <v>-2504.6999999999998</v>
      </c>
      <c r="P890" s="15">
        <f t="shared" si="29"/>
        <v>41828</v>
      </c>
      <c r="Q890" s="15"/>
      <c r="R890" s="16"/>
      <c r="S890" s="16"/>
    </row>
    <row r="891" spans="1:19" x14ac:dyDescent="0.25">
      <c r="A891" s="23" t="s">
        <v>16</v>
      </c>
      <c r="B891" s="23" t="s">
        <v>17</v>
      </c>
      <c r="C891" s="23" t="s">
        <v>51</v>
      </c>
      <c r="D891" s="8">
        <v>2014</v>
      </c>
      <c r="E891" s="9" t="s">
        <v>570</v>
      </c>
      <c r="F891" s="10">
        <v>41830</v>
      </c>
      <c r="G891" s="8">
        <v>11827</v>
      </c>
      <c r="H891" s="11" t="s">
        <v>600</v>
      </c>
      <c r="I891" s="12">
        <v>2000</v>
      </c>
      <c r="J891" s="13" t="s">
        <v>53</v>
      </c>
      <c r="K891" s="13" t="s">
        <v>54</v>
      </c>
      <c r="L891" s="13"/>
      <c r="M891" s="13"/>
      <c r="N891" s="31"/>
      <c r="O891" s="14">
        <f t="shared" si="27"/>
        <v>2000</v>
      </c>
      <c r="P891" s="15">
        <f t="shared" si="29"/>
        <v>41830</v>
      </c>
      <c r="Q891" s="15"/>
      <c r="R891" s="16"/>
      <c r="S891" s="16"/>
    </row>
    <row r="892" spans="1:19" x14ac:dyDescent="0.25">
      <c r="A892" s="23" t="s">
        <v>16</v>
      </c>
      <c r="B892" s="23" t="s">
        <v>17</v>
      </c>
      <c r="C892" s="23" t="s">
        <v>51</v>
      </c>
      <c r="D892" s="8">
        <v>2014</v>
      </c>
      <c r="E892" s="9" t="s">
        <v>570</v>
      </c>
      <c r="F892" s="10">
        <v>41830</v>
      </c>
      <c r="G892" s="8">
        <v>11740</v>
      </c>
      <c r="H892" s="11" t="s">
        <v>421</v>
      </c>
      <c r="I892" s="12">
        <v>3020</v>
      </c>
      <c r="J892" s="13" t="s">
        <v>53</v>
      </c>
      <c r="K892" s="13" t="s">
        <v>54</v>
      </c>
      <c r="L892" s="13"/>
      <c r="M892" s="13"/>
      <c r="N892" s="31"/>
      <c r="O892" s="14">
        <f t="shared" si="27"/>
        <v>3020</v>
      </c>
      <c r="P892" s="15">
        <f t="shared" si="29"/>
        <v>41830</v>
      </c>
      <c r="Q892" s="15"/>
      <c r="R892" s="16"/>
      <c r="S892" s="16"/>
    </row>
    <row r="893" spans="1:19" x14ac:dyDescent="0.25">
      <c r="A893" s="8" t="s">
        <v>16</v>
      </c>
      <c r="B893" s="8" t="s">
        <v>17</v>
      </c>
      <c r="C893" s="8" t="s">
        <v>18</v>
      </c>
      <c r="D893" s="8">
        <v>2014</v>
      </c>
      <c r="E893" s="9" t="s">
        <v>570</v>
      </c>
      <c r="F893" s="10">
        <v>41830</v>
      </c>
      <c r="G893" s="23"/>
      <c r="H893" s="11" t="s">
        <v>595</v>
      </c>
      <c r="I893" s="12">
        <v>-800</v>
      </c>
      <c r="J893" s="54" t="s">
        <v>21</v>
      </c>
      <c r="K893" s="54" t="s">
        <v>56</v>
      </c>
      <c r="L893" s="54" t="s">
        <v>57</v>
      </c>
      <c r="M893" s="13" t="s">
        <v>386</v>
      </c>
      <c r="N893" s="14"/>
      <c r="O893" s="14">
        <f t="shared" si="27"/>
        <v>-800</v>
      </c>
      <c r="P893" s="15">
        <f t="shared" si="29"/>
        <v>41830</v>
      </c>
      <c r="Q893" s="15"/>
      <c r="R893" s="16"/>
      <c r="S893" s="16"/>
    </row>
    <row r="894" spans="1:19" x14ac:dyDescent="0.25">
      <c r="A894" s="23" t="s">
        <v>16</v>
      </c>
      <c r="B894" s="23" t="s">
        <v>17</v>
      </c>
      <c r="C894" s="23" t="s">
        <v>18</v>
      </c>
      <c r="D894" s="8">
        <v>2014</v>
      </c>
      <c r="E894" s="9" t="s">
        <v>570</v>
      </c>
      <c r="F894" s="10">
        <v>41830</v>
      </c>
      <c r="G894" s="8"/>
      <c r="H894" s="11" t="s">
        <v>340</v>
      </c>
      <c r="I894" s="12">
        <v>-240</v>
      </c>
      <c r="J894" s="13" t="s">
        <v>21</v>
      </c>
      <c r="K894" s="13" t="s">
        <v>56</v>
      </c>
      <c r="L894" s="13" t="s">
        <v>57</v>
      </c>
      <c r="M894" s="13"/>
      <c r="N894" s="14"/>
      <c r="O894" s="14">
        <f t="shared" si="27"/>
        <v>-240</v>
      </c>
      <c r="P894" s="15">
        <f t="shared" si="29"/>
        <v>41830</v>
      </c>
      <c r="Q894" s="15"/>
      <c r="R894" s="16"/>
      <c r="S894" s="16"/>
    </row>
    <row r="895" spans="1:19" x14ac:dyDescent="0.25">
      <c r="A895" s="23" t="s">
        <v>16</v>
      </c>
      <c r="B895" s="23" t="s">
        <v>17</v>
      </c>
      <c r="C895" s="23" t="s">
        <v>18</v>
      </c>
      <c r="D895" s="8">
        <v>2014</v>
      </c>
      <c r="E895" s="9" t="s">
        <v>570</v>
      </c>
      <c r="F895" s="10">
        <v>41830</v>
      </c>
      <c r="G895" s="8"/>
      <c r="H895" s="11" t="s">
        <v>399</v>
      </c>
      <c r="I895" s="12">
        <f>-100-100.01</f>
        <v>-200.01</v>
      </c>
      <c r="J895" s="13" t="s">
        <v>21</v>
      </c>
      <c r="K895" s="13" t="s">
        <v>56</v>
      </c>
      <c r="L895" s="13" t="s">
        <v>111</v>
      </c>
      <c r="M895" s="13" t="s">
        <v>28</v>
      </c>
      <c r="N895" s="31"/>
      <c r="O895" s="14">
        <f t="shared" si="27"/>
        <v>-200.01</v>
      </c>
      <c r="P895" s="15">
        <f t="shared" si="29"/>
        <v>41830</v>
      </c>
      <c r="Q895" s="15"/>
      <c r="R895" s="16"/>
      <c r="S895" s="16"/>
    </row>
    <row r="896" spans="1:19" x14ac:dyDescent="0.25">
      <c r="A896" s="23" t="s">
        <v>16</v>
      </c>
      <c r="B896" s="23" t="s">
        <v>17</v>
      </c>
      <c r="C896" s="23" t="s">
        <v>51</v>
      </c>
      <c r="D896" s="8">
        <v>2014</v>
      </c>
      <c r="E896" s="9" t="s">
        <v>570</v>
      </c>
      <c r="F896" s="30">
        <v>41831</v>
      </c>
      <c r="G896" s="8">
        <v>11830</v>
      </c>
      <c r="H896" s="11" t="s">
        <v>601</v>
      </c>
      <c r="I896" s="12">
        <v>9000</v>
      </c>
      <c r="J896" s="48" t="s">
        <v>53</v>
      </c>
      <c r="K896" s="13" t="s">
        <v>54</v>
      </c>
      <c r="L896" s="13"/>
      <c r="M896" s="13"/>
      <c r="N896" s="31"/>
      <c r="O896" s="14">
        <f t="shared" si="27"/>
        <v>9000</v>
      </c>
      <c r="P896" s="15">
        <f t="shared" si="29"/>
        <v>41831</v>
      </c>
      <c r="Q896" s="15"/>
      <c r="R896" s="16"/>
      <c r="S896" s="16"/>
    </row>
    <row r="897" spans="1:19" x14ac:dyDescent="0.25">
      <c r="A897" s="23" t="s">
        <v>16</v>
      </c>
      <c r="B897" s="23" t="s">
        <v>17</v>
      </c>
      <c r="C897" s="23" t="s">
        <v>18</v>
      </c>
      <c r="D897" s="8">
        <v>2014</v>
      </c>
      <c r="E897" s="9" t="s">
        <v>570</v>
      </c>
      <c r="F897" s="10">
        <v>41831</v>
      </c>
      <c r="G897" s="23"/>
      <c r="H897" s="13" t="s">
        <v>252</v>
      </c>
      <c r="I897" s="12">
        <v>-50</v>
      </c>
      <c r="J897" s="13" t="s">
        <v>21</v>
      </c>
      <c r="K897" s="13" t="s">
        <v>22</v>
      </c>
      <c r="L897" s="13" t="s">
        <v>71</v>
      </c>
      <c r="M897" s="13" t="s">
        <v>206</v>
      </c>
      <c r="N897" s="31"/>
      <c r="O897" s="14">
        <f t="shared" si="27"/>
        <v>-50</v>
      </c>
      <c r="P897" s="15">
        <f t="shared" si="29"/>
        <v>41831</v>
      </c>
      <c r="Q897" s="15"/>
      <c r="R897" s="26"/>
      <c r="S897" s="26"/>
    </row>
    <row r="898" spans="1:19" x14ac:dyDescent="0.25">
      <c r="A898" s="8" t="s">
        <v>16</v>
      </c>
      <c r="B898" s="8" t="s">
        <v>17</v>
      </c>
      <c r="C898" s="8" t="s">
        <v>18</v>
      </c>
      <c r="D898" s="8">
        <v>2014</v>
      </c>
      <c r="E898" s="9" t="s">
        <v>570</v>
      </c>
      <c r="F898" s="10">
        <v>41831</v>
      </c>
      <c r="G898" s="8"/>
      <c r="H898" s="13" t="s">
        <v>80</v>
      </c>
      <c r="I898" s="12">
        <v>-50</v>
      </c>
      <c r="J898" s="13" t="s">
        <v>21</v>
      </c>
      <c r="K898" s="13" t="s">
        <v>22</v>
      </c>
      <c r="L898" s="13" t="s">
        <v>23</v>
      </c>
      <c r="M898" s="13" t="s">
        <v>28</v>
      </c>
      <c r="N898" s="14"/>
      <c r="O898" s="14">
        <f t="shared" si="27"/>
        <v>-50</v>
      </c>
      <c r="P898" s="15">
        <f t="shared" si="29"/>
        <v>41831</v>
      </c>
      <c r="Q898" s="15"/>
      <c r="R898" s="26"/>
      <c r="S898" s="26"/>
    </row>
    <row r="899" spans="1:19" x14ac:dyDescent="0.25">
      <c r="A899" s="8" t="s">
        <v>16</v>
      </c>
      <c r="B899" s="8" t="s">
        <v>17</v>
      </c>
      <c r="C899" s="8" t="s">
        <v>18</v>
      </c>
      <c r="D899" s="8">
        <v>2014</v>
      </c>
      <c r="E899" s="9" t="s">
        <v>570</v>
      </c>
      <c r="F899" s="10">
        <v>41831</v>
      </c>
      <c r="G899" s="23"/>
      <c r="H899" s="11" t="s">
        <v>269</v>
      </c>
      <c r="I899" s="12">
        <v>-200</v>
      </c>
      <c r="J899" s="54" t="s">
        <v>21</v>
      </c>
      <c r="K899" s="54" t="s">
        <v>56</v>
      </c>
      <c r="L899" s="54" t="s">
        <v>57</v>
      </c>
      <c r="M899" s="13" t="s">
        <v>386</v>
      </c>
      <c r="N899" s="14"/>
      <c r="O899" s="14">
        <f t="shared" ref="O899:O962" si="30">IF(B899="$",I899,I899/N899)</f>
        <v>-200</v>
      </c>
      <c r="P899" s="15">
        <f t="shared" si="29"/>
        <v>41831</v>
      </c>
      <c r="Q899" s="15"/>
      <c r="R899" s="35"/>
      <c r="S899" s="16"/>
    </row>
    <row r="900" spans="1:19" x14ac:dyDescent="0.25">
      <c r="A900" s="8" t="s">
        <v>16</v>
      </c>
      <c r="B900" s="8" t="s">
        <v>17</v>
      </c>
      <c r="C900" s="8" t="s">
        <v>18</v>
      </c>
      <c r="D900" s="8">
        <v>2014</v>
      </c>
      <c r="E900" s="9" t="s">
        <v>570</v>
      </c>
      <c r="F900" s="10">
        <v>41831</v>
      </c>
      <c r="G900" s="23"/>
      <c r="H900" s="11" t="s">
        <v>602</v>
      </c>
      <c r="I900" s="12">
        <v>-210</v>
      </c>
      <c r="J900" s="54" t="s">
        <v>21</v>
      </c>
      <c r="K900" s="54" t="s">
        <v>56</v>
      </c>
      <c r="L900" s="54" t="s">
        <v>57</v>
      </c>
      <c r="M900" s="13" t="s">
        <v>386</v>
      </c>
      <c r="N900" s="14"/>
      <c r="O900" s="14">
        <f t="shared" si="30"/>
        <v>-210</v>
      </c>
      <c r="P900" s="15">
        <f t="shared" si="29"/>
        <v>41831</v>
      </c>
      <c r="Q900" s="15"/>
      <c r="R900" s="16"/>
      <c r="S900" s="16"/>
    </row>
    <row r="901" spans="1:19" x14ac:dyDescent="0.25">
      <c r="A901" s="8" t="s">
        <v>16</v>
      </c>
      <c r="B901" s="8" t="s">
        <v>17</v>
      </c>
      <c r="C901" s="8" t="s">
        <v>18</v>
      </c>
      <c r="D901" s="8">
        <v>2014</v>
      </c>
      <c r="E901" s="9" t="s">
        <v>570</v>
      </c>
      <c r="F901" s="10">
        <v>41831</v>
      </c>
      <c r="G901" s="23"/>
      <c r="H901" s="13" t="s">
        <v>363</v>
      </c>
      <c r="I901" s="12">
        <v>-200</v>
      </c>
      <c r="J901" s="13" t="s">
        <v>21</v>
      </c>
      <c r="K901" s="13" t="s">
        <v>22</v>
      </c>
      <c r="L901" s="13" t="s">
        <v>23</v>
      </c>
      <c r="M901" s="13"/>
      <c r="N901" s="31"/>
      <c r="O901" s="14">
        <f t="shared" si="30"/>
        <v>-200</v>
      </c>
      <c r="P901" s="15">
        <f t="shared" si="29"/>
        <v>41831</v>
      </c>
      <c r="Q901" s="15"/>
      <c r="R901" s="16"/>
      <c r="S901" s="16"/>
    </row>
    <row r="902" spans="1:19" x14ac:dyDescent="0.25">
      <c r="A902" s="8" t="s">
        <v>16</v>
      </c>
      <c r="B902" s="8" t="s">
        <v>17</v>
      </c>
      <c r="C902" s="8" t="s">
        <v>18</v>
      </c>
      <c r="D902" s="8">
        <v>2014</v>
      </c>
      <c r="E902" s="9" t="s">
        <v>570</v>
      </c>
      <c r="F902" s="10">
        <v>41831</v>
      </c>
      <c r="G902" s="23"/>
      <c r="H902" s="13" t="s">
        <v>363</v>
      </c>
      <c r="I902" s="12">
        <v>-150</v>
      </c>
      <c r="J902" s="13" t="s">
        <v>21</v>
      </c>
      <c r="K902" s="13" t="s">
        <v>22</v>
      </c>
      <c r="L902" s="13" t="s">
        <v>23</v>
      </c>
      <c r="M902" s="13"/>
      <c r="N902" s="31"/>
      <c r="O902" s="14">
        <f t="shared" si="30"/>
        <v>-150</v>
      </c>
      <c r="P902" s="15">
        <f t="shared" si="29"/>
        <v>41831</v>
      </c>
      <c r="Q902" s="15"/>
      <c r="R902" s="16"/>
      <c r="S902" s="16"/>
    </row>
    <row r="903" spans="1:19" x14ac:dyDescent="0.25">
      <c r="A903" s="23" t="s">
        <v>16</v>
      </c>
      <c r="B903" s="23" t="s">
        <v>17</v>
      </c>
      <c r="C903" s="23" t="s">
        <v>18</v>
      </c>
      <c r="D903" s="8">
        <v>2014</v>
      </c>
      <c r="E903" s="9" t="s">
        <v>570</v>
      </c>
      <c r="F903" s="10">
        <v>41831</v>
      </c>
      <c r="G903" s="8"/>
      <c r="H903" s="11" t="s">
        <v>378</v>
      </c>
      <c r="I903" s="12">
        <v>-493</v>
      </c>
      <c r="J903" s="13" t="s">
        <v>38</v>
      </c>
      <c r="K903" s="32" t="s">
        <v>155</v>
      </c>
      <c r="L903" s="33" t="s">
        <v>91</v>
      </c>
      <c r="M903" s="33"/>
      <c r="N903" s="67"/>
      <c r="O903" s="14">
        <f t="shared" si="30"/>
        <v>-493</v>
      </c>
      <c r="P903" s="15">
        <f t="shared" si="29"/>
        <v>41831</v>
      </c>
      <c r="Q903" s="15"/>
      <c r="R903" s="16"/>
      <c r="S903" s="16"/>
    </row>
    <row r="904" spans="1:19" x14ac:dyDescent="0.25">
      <c r="A904" s="23" t="s">
        <v>16</v>
      </c>
      <c r="B904" s="23" t="s">
        <v>17</v>
      </c>
      <c r="C904" s="23" t="s">
        <v>18</v>
      </c>
      <c r="D904" s="8">
        <v>2014</v>
      </c>
      <c r="E904" s="9" t="s">
        <v>570</v>
      </c>
      <c r="F904" s="10">
        <v>41831</v>
      </c>
      <c r="G904" s="8"/>
      <c r="H904" s="11" t="s">
        <v>328</v>
      </c>
      <c r="I904" s="12">
        <v>-282</v>
      </c>
      <c r="J904" s="13" t="s">
        <v>38</v>
      </c>
      <c r="K904" s="48" t="s">
        <v>155</v>
      </c>
      <c r="L904" s="13" t="s">
        <v>91</v>
      </c>
      <c r="M904" s="13"/>
      <c r="N904" s="31"/>
      <c r="O904" s="14">
        <f t="shared" si="30"/>
        <v>-282</v>
      </c>
      <c r="P904" s="15">
        <f t="shared" si="29"/>
        <v>41831</v>
      </c>
      <c r="Q904" s="15"/>
      <c r="R904" s="16"/>
      <c r="S904" s="16"/>
    </row>
    <row r="905" spans="1:19" x14ac:dyDescent="0.25">
      <c r="A905" s="23" t="s">
        <v>16</v>
      </c>
      <c r="B905" s="23" t="s">
        <v>17</v>
      </c>
      <c r="C905" s="23" t="s">
        <v>18</v>
      </c>
      <c r="D905" s="8">
        <v>2014</v>
      </c>
      <c r="E905" s="9" t="s">
        <v>570</v>
      </c>
      <c r="F905" s="10">
        <v>41831</v>
      </c>
      <c r="G905" s="8"/>
      <c r="H905" s="11" t="s">
        <v>593</v>
      </c>
      <c r="I905" s="12">
        <v>-423</v>
      </c>
      <c r="J905" s="13" t="s">
        <v>38</v>
      </c>
      <c r="K905" s="48" t="s">
        <v>155</v>
      </c>
      <c r="L905" s="13" t="s">
        <v>91</v>
      </c>
      <c r="M905" s="13"/>
      <c r="N905" s="31"/>
      <c r="O905" s="14">
        <f t="shared" si="30"/>
        <v>-423</v>
      </c>
      <c r="P905" s="15">
        <f t="shared" si="29"/>
        <v>41831</v>
      </c>
      <c r="Q905" s="15"/>
      <c r="R905" s="16"/>
      <c r="S905" s="16"/>
    </row>
    <row r="906" spans="1:19" x14ac:dyDescent="0.25">
      <c r="A906" s="23" t="s">
        <v>16</v>
      </c>
      <c r="B906" s="23" t="s">
        <v>17</v>
      </c>
      <c r="C906" s="23" t="s">
        <v>18</v>
      </c>
      <c r="D906" s="8">
        <v>2014</v>
      </c>
      <c r="E906" s="9" t="s">
        <v>570</v>
      </c>
      <c r="F906" s="10">
        <v>41831</v>
      </c>
      <c r="G906" s="8"/>
      <c r="H906" s="11" t="s">
        <v>350</v>
      </c>
      <c r="I906" s="12">
        <v>-540</v>
      </c>
      <c r="J906" s="13" t="s">
        <v>38</v>
      </c>
      <c r="K906" s="48" t="s">
        <v>155</v>
      </c>
      <c r="L906" s="13" t="s">
        <v>91</v>
      </c>
      <c r="M906" s="13"/>
      <c r="N906" s="31"/>
      <c r="O906" s="14">
        <f t="shared" si="30"/>
        <v>-540</v>
      </c>
      <c r="P906" s="15">
        <f t="shared" si="29"/>
        <v>41831</v>
      </c>
      <c r="Q906" s="15"/>
      <c r="R906" s="16"/>
      <c r="S906" s="16"/>
    </row>
    <row r="907" spans="1:19" x14ac:dyDescent="0.25">
      <c r="A907" s="23" t="s">
        <v>16</v>
      </c>
      <c r="B907" s="23" t="s">
        <v>17</v>
      </c>
      <c r="C907" s="23" t="s">
        <v>18</v>
      </c>
      <c r="D907" s="8">
        <v>2014</v>
      </c>
      <c r="E907" s="9" t="s">
        <v>570</v>
      </c>
      <c r="F907" s="10">
        <v>41831</v>
      </c>
      <c r="G907" s="8"/>
      <c r="H907" s="11" t="s">
        <v>511</v>
      </c>
      <c r="I907" s="12">
        <v>-120</v>
      </c>
      <c r="J907" s="13" t="s">
        <v>38</v>
      </c>
      <c r="K907" s="48" t="s">
        <v>155</v>
      </c>
      <c r="L907" s="13" t="s">
        <v>91</v>
      </c>
      <c r="M907" s="13"/>
      <c r="N907" s="31"/>
      <c r="O907" s="14">
        <f t="shared" si="30"/>
        <v>-120</v>
      </c>
      <c r="P907" s="15">
        <f t="shared" si="29"/>
        <v>41831</v>
      </c>
      <c r="Q907" s="15"/>
      <c r="R907" s="26"/>
      <c r="S907" s="26"/>
    </row>
    <row r="908" spans="1:19" x14ac:dyDescent="0.25">
      <c r="A908" s="23" t="s">
        <v>16</v>
      </c>
      <c r="B908" s="23" t="s">
        <v>17</v>
      </c>
      <c r="C908" s="23" t="s">
        <v>18</v>
      </c>
      <c r="D908" s="8">
        <v>2014</v>
      </c>
      <c r="E908" s="9" t="s">
        <v>570</v>
      </c>
      <c r="F908" s="10">
        <v>41831</v>
      </c>
      <c r="G908" s="8"/>
      <c r="H908" s="11" t="s">
        <v>419</v>
      </c>
      <c r="I908" s="12">
        <v>-587</v>
      </c>
      <c r="J908" s="13" t="s">
        <v>38</v>
      </c>
      <c r="K908" s="13" t="s">
        <v>155</v>
      </c>
      <c r="L908" s="13" t="s">
        <v>91</v>
      </c>
      <c r="M908" s="13"/>
      <c r="N908" s="31"/>
      <c r="O908" s="14">
        <f t="shared" si="30"/>
        <v>-587</v>
      </c>
      <c r="P908" s="15">
        <f t="shared" si="29"/>
        <v>41831</v>
      </c>
      <c r="Q908" s="15"/>
      <c r="R908" s="16"/>
      <c r="S908" s="16"/>
    </row>
    <row r="909" spans="1:19" x14ac:dyDescent="0.25">
      <c r="A909" s="23" t="s">
        <v>16</v>
      </c>
      <c r="B909" s="23" t="s">
        <v>17</v>
      </c>
      <c r="C909" s="23" t="s">
        <v>18</v>
      </c>
      <c r="D909" s="8">
        <v>2014</v>
      </c>
      <c r="E909" s="9" t="s">
        <v>570</v>
      </c>
      <c r="F909" s="10">
        <v>41831</v>
      </c>
      <c r="G909" s="8"/>
      <c r="H909" s="11" t="s">
        <v>345</v>
      </c>
      <c r="I909" s="12">
        <v>-73</v>
      </c>
      <c r="J909" s="13" t="s">
        <v>38</v>
      </c>
      <c r="K909" s="13" t="s">
        <v>155</v>
      </c>
      <c r="L909" s="13" t="s">
        <v>91</v>
      </c>
      <c r="M909" s="13"/>
      <c r="N909" s="31"/>
      <c r="O909" s="14">
        <f t="shared" si="30"/>
        <v>-73</v>
      </c>
      <c r="P909" s="15">
        <f t="shared" si="29"/>
        <v>41831</v>
      </c>
      <c r="Q909" s="15"/>
      <c r="R909" s="26"/>
      <c r="S909" s="26"/>
    </row>
    <row r="910" spans="1:19" x14ac:dyDescent="0.25">
      <c r="A910" s="23" t="s">
        <v>16</v>
      </c>
      <c r="B910" s="23" t="s">
        <v>17</v>
      </c>
      <c r="C910" s="23" t="s">
        <v>18</v>
      </c>
      <c r="D910" s="8">
        <v>2014</v>
      </c>
      <c r="E910" s="9" t="s">
        <v>570</v>
      </c>
      <c r="F910" s="10">
        <v>41831</v>
      </c>
      <c r="G910" s="8"/>
      <c r="H910" s="11" t="s">
        <v>420</v>
      </c>
      <c r="I910" s="12">
        <v>-94</v>
      </c>
      <c r="J910" s="13" t="s">
        <v>38</v>
      </c>
      <c r="K910" s="13" t="s">
        <v>155</v>
      </c>
      <c r="L910" s="13" t="s">
        <v>91</v>
      </c>
      <c r="M910" s="13"/>
      <c r="N910" s="31"/>
      <c r="O910" s="14">
        <f t="shared" si="30"/>
        <v>-94</v>
      </c>
      <c r="P910" s="15">
        <f t="shared" si="29"/>
        <v>41831</v>
      </c>
      <c r="Q910" s="15"/>
      <c r="R910" s="26"/>
      <c r="S910" s="26"/>
    </row>
    <row r="911" spans="1:19" x14ac:dyDescent="0.25">
      <c r="A911" s="23" t="s">
        <v>16</v>
      </c>
      <c r="B911" s="23" t="s">
        <v>17</v>
      </c>
      <c r="C911" s="23" t="s">
        <v>18</v>
      </c>
      <c r="D911" s="8">
        <v>2014</v>
      </c>
      <c r="E911" s="9" t="s">
        <v>570</v>
      </c>
      <c r="F911" s="10">
        <v>41831</v>
      </c>
      <c r="G911" s="8"/>
      <c r="H911" s="11" t="s">
        <v>344</v>
      </c>
      <c r="I911" s="12">
        <v>-302</v>
      </c>
      <c r="J911" s="13" t="s">
        <v>38</v>
      </c>
      <c r="K911" s="13" t="s">
        <v>155</v>
      </c>
      <c r="L911" s="13" t="s">
        <v>91</v>
      </c>
      <c r="M911" s="13"/>
      <c r="N911" s="31"/>
      <c r="O911" s="14">
        <f t="shared" si="30"/>
        <v>-302</v>
      </c>
      <c r="P911" s="15">
        <f t="shared" si="29"/>
        <v>41831</v>
      </c>
      <c r="Q911" s="15"/>
      <c r="R911" s="26"/>
      <c r="S911" s="26"/>
    </row>
    <row r="912" spans="1:19" x14ac:dyDescent="0.25">
      <c r="A912" s="23" t="s">
        <v>16</v>
      </c>
      <c r="B912" s="23" t="s">
        <v>17</v>
      </c>
      <c r="C912" s="23" t="s">
        <v>18</v>
      </c>
      <c r="D912" s="8">
        <v>2014</v>
      </c>
      <c r="E912" s="9" t="s">
        <v>570</v>
      </c>
      <c r="F912" s="10">
        <v>41831</v>
      </c>
      <c r="G912" s="8"/>
      <c r="H912" s="11" t="s">
        <v>347</v>
      </c>
      <c r="I912" s="61">
        <v>-71</v>
      </c>
      <c r="J912" s="13" t="s">
        <v>38</v>
      </c>
      <c r="K912" s="13" t="s">
        <v>155</v>
      </c>
      <c r="L912" s="13" t="s">
        <v>91</v>
      </c>
      <c r="M912" s="13"/>
      <c r="N912" s="31"/>
      <c r="O912" s="14">
        <f t="shared" si="30"/>
        <v>-71</v>
      </c>
      <c r="P912" s="15">
        <f t="shared" si="29"/>
        <v>41831</v>
      </c>
      <c r="Q912" s="15"/>
      <c r="R912" s="26"/>
      <c r="S912" s="26"/>
    </row>
    <row r="913" spans="1:19" x14ac:dyDescent="0.25">
      <c r="A913" s="8" t="s">
        <v>16</v>
      </c>
      <c r="B913" s="8" t="s">
        <v>17</v>
      </c>
      <c r="C913" s="8" t="s">
        <v>18</v>
      </c>
      <c r="D913" s="8">
        <v>2014</v>
      </c>
      <c r="E913" s="9" t="s">
        <v>570</v>
      </c>
      <c r="F913" s="10">
        <v>41831</v>
      </c>
      <c r="G913" s="8"/>
      <c r="H913" s="11" t="s">
        <v>603</v>
      </c>
      <c r="I913" s="62">
        <v>-16</v>
      </c>
      <c r="J913" s="13" t="s">
        <v>33</v>
      </c>
      <c r="K913" s="63" t="s">
        <v>224</v>
      </c>
      <c r="L913" s="63" t="s">
        <v>604</v>
      </c>
      <c r="M913" s="63" t="s">
        <v>226</v>
      </c>
      <c r="N913" s="68"/>
      <c r="O913" s="14">
        <f t="shared" si="30"/>
        <v>-16</v>
      </c>
      <c r="P913" s="60">
        <f t="shared" si="29"/>
        <v>41831</v>
      </c>
      <c r="Q913" s="60"/>
      <c r="R913" s="16"/>
      <c r="S913" s="16"/>
    </row>
    <row r="914" spans="1:19" x14ac:dyDescent="0.25">
      <c r="A914" s="23" t="s">
        <v>16</v>
      </c>
      <c r="B914" s="23" t="s">
        <v>17</v>
      </c>
      <c r="C914" s="23" t="s">
        <v>18</v>
      </c>
      <c r="D914" s="8">
        <v>2014</v>
      </c>
      <c r="E914" s="9" t="s">
        <v>570</v>
      </c>
      <c r="F914" s="10">
        <v>41831</v>
      </c>
      <c r="G914" s="23"/>
      <c r="H914" s="13" t="s">
        <v>122</v>
      </c>
      <c r="I914" s="12">
        <v>-5000</v>
      </c>
      <c r="J914" s="13" t="s">
        <v>33</v>
      </c>
      <c r="K914" s="13" t="s">
        <v>123</v>
      </c>
      <c r="L914" s="13" t="s">
        <v>124</v>
      </c>
      <c r="M914" s="25" t="s">
        <v>125</v>
      </c>
      <c r="N914" s="31"/>
      <c r="O914" s="14">
        <f t="shared" si="30"/>
        <v>-5000</v>
      </c>
      <c r="P914" s="15">
        <f t="shared" si="29"/>
        <v>41831</v>
      </c>
      <c r="Q914" s="15"/>
      <c r="R914" s="26"/>
      <c r="S914" s="26"/>
    </row>
    <row r="915" spans="1:19" x14ac:dyDescent="0.25">
      <c r="A915" s="23" t="s">
        <v>16</v>
      </c>
      <c r="B915" s="23" t="s">
        <v>17</v>
      </c>
      <c r="C915" s="23" t="s">
        <v>51</v>
      </c>
      <c r="D915" s="8">
        <v>2014</v>
      </c>
      <c r="E915" s="9" t="s">
        <v>570</v>
      </c>
      <c r="F915" s="10">
        <v>41832</v>
      </c>
      <c r="G915" s="8">
        <v>11834</v>
      </c>
      <c r="H915" s="11" t="s">
        <v>605</v>
      </c>
      <c r="I915" s="61">
        <v>100</v>
      </c>
      <c r="J915" s="13" t="s">
        <v>53</v>
      </c>
      <c r="K915" s="13" t="s">
        <v>54</v>
      </c>
      <c r="L915" s="13"/>
      <c r="M915" s="13"/>
      <c r="N915" s="31"/>
      <c r="O915" s="14">
        <f t="shared" si="30"/>
        <v>100</v>
      </c>
      <c r="P915" s="15">
        <f t="shared" si="29"/>
        <v>41832</v>
      </c>
      <c r="Q915" s="56"/>
      <c r="R915" s="16"/>
      <c r="S915" s="16"/>
    </row>
    <row r="916" spans="1:19" x14ac:dyDescent="0.25">
      <c r="A916" s="23" t="s">
        <v>16</v>
      </c>
      <c r="B916" s="23" t="s">
        <v>17</v>
      </c>
      <c r="C916" s="23" t="s">
        <v>51</v>
      </c>
      <c r="D916" s="8">
        <v>2014</v>
      </c>
      <c r="E916" s="9" t="s">
        <v>570</v>
      </c>
      <c r="F916" s="10">
        <v>41832</v>
      </c>
      <c r="G916" s="8">
        <v>11838</v>
      </c>
      <c r="H916" s="11" t="s">
        <v>606</v>
      </c>
      <c r="I916" s="61">
        <v>700</v>
      </c>
      <c r="J916" s="13" t="s">
        <v>53</v>
      </c>
      <c r="K916" s="13" t="s">
        <v>54</v>
      </c>
      <c r="L916" s="13"/>
      <c r="M916" s="13"/>
      <c r="N916" s="31"/>
      <c r="O916" s="14">
        <f t="shared" si="30"/>
        <v>700</v>
      </c>
      <c r="P916" s="15">
        <f t="shared" si="29"/>
        <v>41832</v>
      </c>
      <c r="Q916" s="56"/>
      <c r="R916" s="16"/>
      <c r="S916" s="16"/>
    </row>
    <row r="917" spans="1:19" x14ac:dyDescent="0.25">
      <c r="A917" s="23" t="s">
        <v>16</v>
      </c>
      <c r="B917" s="23" t="s">
        <v>17</v>
      </c>
      <c r="C917" s="23" t="s">
        <v>51</v>
      </c>
      <c r="D917" s="8">
        <v>2014</v>
      </c>
      <c r="E917" s="9" t="s">
        <v>570</v>
      </c>
      <c r="F917" s="10">
        <v>41832</v>
      </c>
      <c r="G917" s="8">
        <v>11835</v>
      </c>
      <c r="H917" s="11" t="s">
        <v>607</v>
      </c>
      <c r="I917" s="61">
        <v>1000</v>
      </c>
      <c r="J917" s="13" t="s">
        <v>53</v>
      </c>
      <c r="K917" s="13" t="s">
        <v>54</v>
      </c>
      <c r="L917" s="13"/>
      <c r="M917" s="13"/>
      <c r="N917" s="31"/>
      <c r="O917" s="14">
        <f t="shared" si="30"/>
        <v>1000</v>
      </c>
      <c r="P917" s="15">
        <f t="shared" si="29"/>
        <v>41832</v>
      </c>
      <c r="Q917" s="56"/>
      <c r="R917" s="16"/>
      <c r="S917" s="16"/>
    </row>
    <row r="918" spans="1:19" x14ac:dyDescent="0.25">
      <c r="A918" s="23" t="s">
        <v>16</v>
      </c>
      <c r="B918" s="23" t="s">
        <v>17</v>
      </c>
      <c r="C918" s="23" t="s">
        <v>51</v>
      </c>
      <c r="D918" s="8">
        <v>2014</v>
      </c>
      <c r="E918" s="9" t="s">
        <v>570</v>
      </c>
      <c r="F918" s="10">
        <v>41832</v>
      </c>
      <c r="G918" s="8">
        <v>11837</v>
      </c>
      <c r="H918" s="11" t="s">
        <v>608</v>
      </c>
      <c r="I918" s="12">
        <v>1000</v>
      </c>
      <c r="J918" s="13" t="s">
        <v>53</v>
      </c>
      <c r="K918" s="13" t="s">
        <v>54</v>
      </c>
      <c r="L918" s="13"/>
      <c r="M918" s="13"/>
      <c r="N918" s="31"/>
      <c r="O918" s="14">
        <f t="shared" si="30"/>
        <v>1000</v>
      </c>
      <c r="P918" s="15">
        <f t="shared" ref="P918:P981" si="31">F918</f>
        <v>41832</v>
      </c>
      <c r="Q918" s="15"/>
      <c r="R918" s="16"/>
      <c r="S918" s="16"/>
    </row>
    <row r="919" spans="1:19" x14ac:dyDescent="0.25">
      <c r="A919" s="23" t="s">
        <v>16</v>
      </c>
      <c r="B919" s="23" t="s">
        <v>17</v>
      </c>
      <c r="C919" s="23" t="s">
        <v>51</v>
      </c>
      <c r="D919" s="8">
        <v>2014</v>
      </c>
      <c r="E919" s="9" t="s">
        <v>570</v>
      </c>
      <c r="F919" s="10">
        <v>41832</v>
      </c>
      <c r="G919" s="8">
        <v>11833</v>
      </c>
      <c r="H919" s="11" t="s">
        <v>609</v>
      </c>
      <c r="I919" s="12">
        <v>3000</v>
      </c>
      <c r="J919" s="13" t="s">
        <v>53</v>
      </c>
      <c r="K919" s="13" t="s">
        <v>54</v>
      </c>
      <c r="L919" s="13"/>
      <c r="M919" s="13"/>
      <c r="N919" s="31"/>
      <c r="O919" s="14">
        <f t="shared" si="30"/>
        <v>3000</v>
      </c>
      <c r="P919" s="15">
        <f t="shared" si="31"/>
        <v>41832</v>
      </c>
      <c r="Q919" s="15"/>
      <c r="R919" s="16"/>
      <c r="S919" s="16"/>
    </row>
    <row r="920" spans="1:19" x14ac:dyDescent="0.25">
      <c r="A920" s="23" t="s">
        <v>16</v>
      </c>
      <c r="B920" s="23" t="s">
        <v>17</v>
      </c>
      <c r="C920" s="23" t="s">
        <v>51</v>
      </c>
      <c r="D920" s="8">
        <v>2014</v>
      </c>
      <c r="E920" s="9" t="s">
        <v>570</v>
      </c>
      <c r="F920" s="10">
        <v>41832</v>
      </c>
      <c r="G920" s="8">
        <v>11734</v>
      </c>
      <c r="H920" s="11" t="s">
        <v>610</v>
      </c>
      <c r="I920" s="12">
        <v>4000</v>
      </c>
      <c r="J920" s="13" t="s">
        <v>53</v>
      </c>
      <c r="K920" s="13" t="s">
        <v>54</v>
      </c>
      <c r="L920" s="13"/>
      <c r="M920" s="13"/>
      <c r="N920" s="31"/>
      <c r="O920" s="14">
        <f t="shared" si="30"/>
        <v>4000</v>
      </c>
      <c r="P920" s="15">
        <f t="shared" si="31"/>
        <v>41832</v>
      </c>
      <c r="Q920" s="15"/>
      <c r="R920" s="16"/>
      <c r="S920" s="16"/>
    </row>
    <row r="921" spans="1:19" x14ac:dyDescent="0.25">
      <c r="A921" s="23" t="s">
        <v>16</v>
      </c>
      <c r="B921" s="23" t="s">
        <v>17</v>
      </c>
      <c r="C921" s="23" t="s">
        <v>51</v>
      </c>
      <c r="D921" s="8">
        <v>2014</v>
      </c>
      <c r="E921" s="9" t="s">
        <v>570</v>
      </c>
      <c r="F921" s="10">
        <v>41832</v>
      </c>
      <c r="G921" s="8">
        <v>11813</v>
      </c>
      <c r="H921" s="11" t="s">
        <v>611</v>
      </c>
      <c r="I921" s="12">
        <v>10000</v>
      </c>
      <c r="J921" s="13" t="s">
        <v>53</v>
      </c>
      <c r="K921" s="13" t="s">
        <v>54</v>
      </c>
      <c r="L921" s="13"/>
      <c r="M921" s="13"/>
      <c r="N921" s="31"/>
      <c r="O921" s="14">
        <f t="shared" si="30"/>
        <v>10000</v>
      </c>
      <c r="P921" s="15">
        <f t="shared" si="31"/>
        <v>41832</v>
      </c>
      <c r="Q921" s="15"/>
      <c r="R921" s="35"/>
      <c r="S921" s="27"/>
    </row>
    <row r="922" spans="1:19" x14ac:dyDescent="0.25">
      <c r="A922" s="23" t="s">
        <v>16</v>
      </c>
      <c r="B922" s="23" t="s">
        <v>17</v>
      </c>
      <c r="C922" s="23" t="s">
        <v>51</v>
      </c>
      <c r="D922" s="8">
        <v>2014</v>
      </c>
      <c r="E922" s="9" t="s">
        <v>570</v>
      </c>
      <c r="F922" s="10">
        <v>41832</v>
      </c>
      <c r="G922" s="8">
        <v>11836</v>
      </c>
      <c r="H922" s="11" t="s">
        <v>612</v>
      </c>
      <c r="I922" s="12">
        <v>27500</v>
      </c>
      <c r="J922" s="13" t="s">
        <v>53</v>
      </c>
      <c r="K922" s="13" t="s">
        <v>54</v>
      </c>
      <c r="L922" s="13"/>
      <c r="M922" s="13"/>
      <c r="N922" s="31"/>
      <c r="O922" s="14">
        <f t="shared" si="30"/>
        <v>27500</v>
      </c>
      <c r="P922" s="15">
        <f t="shared" si="31"/>
        <v>41832</v>
      </c>
      <c r="Q922" s="15"/>
      <c r="R922" s="16"/>
      <c r="S922" s="16"/>
    </row>
    <row r="923" spans="1:19" x14ac:dyDescent="0.25">
      <c r="A923" s="23" t="s">
        <v>16</v>
      </c>
      <c r="B923" s="23" t="s">
        <v>17</v>
      </c>
      <c r="C923" s="23" t="s">
        <v>18</v>
      </c>
      <c r="D923" s="8">
        <v>2014</v>
      </c>
      <c r="E923" s="9" t="s">
        <v>570</v>
      </c>
      <c r="F923" s="10">
        <v>41832</v>
      </c>
      <c r="G923" s="8"/>
      <c r="H923" s="11" t="s">
        <v>377</v>
      </c>
      <c r="I923" s="12">
        <v>-460</v>
      </c>
      <c r="J923" s="13" t="s">
        <v>21</v>
      </c>
      <c r="K923" s="13" t="s">
        <v>56</v>
      </c>
      <c r="L923" s="13" t="s">
        <v>111</v>
      </c>
      <c r="M923" s="13" t="s">
        <v>28</v>
      </c>
      <c r="N923" s="14"/>
      <c r="O923" s="14">
        <f t="shared" si="30"/>
        <v>-460</v>
      </c>
      <c r="P923" s="15">
        <f t="shared" si="31"/>
        <v>41832</v>
      </c>
      <c r="Q923" s="15"/>
      <c r="R923" s="16"/>
      <c r="S923" s="16"/>
    </row>
    <row r="924" spans="1:19" x14ac:dyDescent="0.25">
      <c r="A924" s="8" t="s">
        <v>16</v>
      </c>
      <c r="B924" s="66" t="s">
        <v>17</v>
      </c>
      <c r="C924" s="8" t="s">
        <v>18</v>
      </c>
      <c r="D924" s="8">
        <v>2014</v>
      </c>
      <c r="E924" s="9" t="s">
        <v>570</v>
      </c>
      <c r="F924" s="10">
        <v>41834</v>
      </c>
      <c r="G924" s="23"/>
      <c r="H924" s="11" t="s">
        <v>595</v>
      </c>
      <c r="I924" s="12">
        <v>-1000</v>
      </c>
      <c r="J924" s="54" t="s">
        <v>21</v>
      </c>
      <c r="K924" s="54" t="s">
        <v>56</v>
      </c>
      <c r="L924" s="54" t="s">
        <v>57</v>
      </c>
      <c r="M924" s="13" t="s">
        <v>386</v>
      </c>
      <c r="N924" s="14"/>
      <c r="O924" s="14">
        <f t="shared" si="30"/>
        <v>-1000</v>
      </c>
      <c r="P924" s="56">
        <f t="shared" si="31"/>
        <v>41834</v>
      </c>
      <c r="Q924" s="56"/>
      <c r="R924" s="16"/>
      <c r="S924" s="16"/>
    </row>
    <row r="925" spans="1:19" x14ac:dyDescent="0.25">
      <c r="A925" s="23" t="s">
        <v>16</v>
      </c>
      <c r="B925" s="65" t="s">
        <v>17</v>
      </c>
      <c r="C925" s="23" t="s">
        <v>18</v>
      </c>
      <c r="D925" s="8">
        <v>2014</v>
      </c>
      <c r="E925" s="9" t="s">
        <v>570</v>
      </c>
      <c r="F925" s="10">
        <v>41834</v>
      </c>
      <c r="G925" s="8"/>
      <c r="H925" s="11" t="s">
        <v>399</v>
      </c>
      <c r="I925" s="12">
        <f>-152-130</f>
        <v>-282</v>
      </c>
      <c r="J925" s="13" t="s">
        <v>21</v>
      </c>
      <c r="K925" s="13" t="s">
        <v>56</v>
      </c>
      <c r="L925" s="13" t="s">
        <v>111</v>
      </c>
      <c r="M925" s="13" t="s">
        <v>28</v>
      </c>
      <c r="N925" s="31"/>
      <c r="O925" s="14">
        <f t="shared" si="30"/>
        <v>-282</v>
      </c>
      <c r="P925" s="56">
        <f t="shared" si="31"/>
        <v>41834</v>
      </c>
      <c r="Q925" s="56"/>
      <c r="R925" s="16"/>
      <c r="S925" s="16"/>
    </row>
    <row r="926" spans="1:19" x14ac:dyDescent="0.25">
      <c r="A926" s="23" t="s">
        <v>16</v>
      </c>
      <c r="B926" s="65" t="s">
        <v>17</v>
      </c>
      <c r="C926" s="23" t="s">
        <v>18</v>
      </c>
      <c r="D926" s="8">
        <v>2014</v>
      </c>
      <c r="E926" s="9" t="s">
        <v>570</v>
      </c>
      <c r="F926" s="10">
        <v>41834</v>
      </c>
      <c r="G926" s="23"/>
      <c r="H926" s="13" t="s">
        <v>233</v>
      </c>
      <c r="I926" s="12">
        <f>-42-182.01-165-42-20-18</f>
        <v>-469.01</v>
      </c>
      <c r="J926" s="13" t="s">
        <v>21</v>
      </c>
      <c r="K926" s="13" t="s">
        <v>22</v>
      </c>
      <c r="L926" s="13" t="s">
        <v>121</v>
      </c>
      <c r="M926" s="13"/>
      <c r="N926" s="31"/>
      <c r="O926" s="14">
        <f t="shared" si="30"/>
        <v>-469.01</v>
      </c>
      <c r="P926" s="56">
        <f t="shared" si="31"/>
        <v>41834</v>
      </c>
      <c r="Q926" s="56"/>
      <c r="R926" s="16"/>
      <c r="S926" s="16"/>
    </row>
    <row r="927" spans="1:19" x14ac:dyDescent="0.25">
      <c r="A927" s="23" t="s">
        <v>16</v>
      </c>
      <c r="B927" s="65" t="s">
        <v>17</v>
      </c>
      <c r="C927" s="23" t="s">
        <v>18</v>
      </c>
      <c r="D927" s="8">
        <v>2014</v>
      </c>
      <c r="E927" s="9" t="s">
        <v>570</v>
      </c>
      <c r="F927" s="10">
        <v>41834</v>
      </c>
      <c r="G927" s="8"/>
      <c r="H927" s="11" t="s">
        <v>335</v>
      </c>
      <c r="I927" s="12">
        <f>-164-169.99-49.89</f>
        <v>-383.88</v>
      </c>
      <c r="J927" s="13" t="s">
        <v>21</v>
      </c>
      <c r="K927" s="13" t="s">
        <v>63</v>
      </c>
      <c r="L927" s="13" t="s">
        <v>83</v>
      </c>
      <c r="M927" s="13"/>
      <c r="N927" s="14"/>
      <c r="O927" s="14">
        <f t="shared" si="30"/>
        <v>-383.88</v>
      </c>
      <c r="P927" s="56">
        <f t="shared" si="31"/>
        <v>41834</v>
      </c>
      <c r="Q927" s="56"/>
      <c r="R927" s="16"/>
      <c r="S927" s="16"/>
    </row>
    <row r="928" spans="1:19" x14ac:dyDescent="0.25">
      <c r="A928" s="8" t="s">
        <v>16</v>
      </c>
      <c r="B928" s="66" t="s">
        <v>17</v>
      </c>
      <c r="C928" s="8" t="s">
        <v>46</v>
      </c>
      <c r="D928" s="8">
        <v>2014</v>
      </c>
      <c r="E928" s="9" t="s">
        <v>570</v>
      </c>
      <c r="F928" s="10">
        <v>41834</v>
      </c>
      <c r="G928" s="8"/>
      <c r="H928" s="17" t="s">
        <v>87</v>
      </c>
      <c r="I928" s="12">
        <v>-20000</v>
      </c>
      <c r="J928" s="13" t="s">
        <v>68</v>
      </c>
      <c r="K928" s="13"/>
      <c r="L928" s="13"/>
      <c r="M928" s="13"/>
      <c r="N928" s="14"/>
      <c r="O928" s="14">
        <f t="shared" si="30"/>
        <v>-20000</v>
      </c>
      <c r="P928" s="56">
        <f t="shared" si="31"/>
        <v>41834</v>
      </c>
      <c r="Q928" s="56"/>
      <c r="R928" s="16"/>
      <c r="S928" s="16"/>
    </row>
    <row r="929" spans="1:19" x14ac:dyDescent="0.25">
      <c r="A929" s="8" t="s">
        <v>16</v>
      </c>
      <c r="B929" s="69" t="s">
        <v>17</v>
      </c>
      <c r="C929" s="41" t="s">
        <v>18</v>
      </c>
      <c r="D929" s="8">
        <v>2014</v>
      </c>
      <c r="E929" s="9" t="s">
        <v>570</v>
      </c>
      <c r="F929" s="10">
        <v>41834</v>
      </c>
      <c r="G929" s="42" t="s">
        <v>36</v>
      </c>
      <c r="H929" s="38" t="s">
        <v>151</v>
      </c>
      <c r="I929" s="43">
        <v>-25000</v>
      </c>
      <c r="J929" s="19" t="s">
        <v>38</v>
      </c>
      <c r="K929" s="19" t="s">
        <v>39</v>
      </c>
      <c r="L929" s="39" t="s">
        <v>40</v>
      </c>
      <c r="M929" s="44"/>
      <c r="N929" s="45"/>
      <c r="O929" s="14">
        <f t="shared" si="30"/>
        <v>-25000</v>
      </c>
      <c r="P929" s="56">
        <f t="shared" si="31"/>
        <v>41834</v>
      </c>
      <c r="Q929" s="56"/>
      <c r="R929" s="16"/>
      <c r="S929" s="16"/>
    </row>
    <row r="930" spans="1:19" x14ac:dyDescent="0.25">
      <c r="A930" s="23" t="s">
        <v>16</v>
      </c>
      <c r="B930" s="65" t="s">
        <v>17</v>
      </c>
      <c r="C930" s="23" t="s">
        <v>51</v>
      </c>
      <c r="D930" s="8">
        <v>2014</v>
      </c>
      <c r="E930" s="9" t="s">
        <v>570</v>
      </c>
      <c r="F930" s="10">
        <v>41834</v>
      </c>
      <c r="G930" s="8">
        <v>11841</v>
      </c>
      <c r="H930" s="11" t="s">
        <v>613</v>
      </c>
      <c r="I930" s="12">
        <v>1100</v>
      </c>
      <c r="J930" s="13" t="s">
        <v>53</v>
      </c>
      <c r="K930" s="13" t="s">
        <v>54</v>
      </c>
      <c r="L930" s="13"/>
      <c r="M930" s="13"/>
      <c r="N930" s="31"/>
      <c r="O930" s="14">
        <f t="shared" si="30"/>
        <v>1100</v>
      </c>
      <c r="P930" s="56">
        <f t="shared" si="31"/>
        <v>41834</v>
      </c>
      <c r="Q930" s="56"/>
      <c r="R930" s="16"/>
      <c r="S930" s="16"/>
    </row>
    <row r="931" spans="1:19" x14ac:dyDescent="0.25">
      <c r="A931" s="23" t="s">
        <v>16</v>
      </c>
      <c r="B931" s="65" t="s">
        <v>17</v>
      </c>
      <c r="C931" s="23" t="s">
        <v>51</v>
      </c>
      <c r="D931" s="8">
        <v>2014</v>
      </c>
      <c r="E931" s="9" t="s">
        <v>570</v>
      </c>
      <c r="F931" s="10">
        <v>41834</v>
      </c>
      <c r="G931" s="8">
        <v>11839</v>
      </c>
      <c r="H931" s="11" t="s">
        <v>614</v>
      </c>
      <c r="I931" s="12">
        <v>2000</v>
      </c>
      <c r="J931" s="13" t="s">
        <v>53</v>
      </c>
      <c r="K931" s="13" t="s">
        <v>54</v>
      </c>
      <c r="L931" s="13"/>
      <c r="M931" s="13"/>
      <c r="N931" s="31"/>
      <c r="O931" s="14">
        <f t="shared" si="30"/>
        <v>2000</v>
      </c>
      <c r="P931" s="56">
        <f t="shared" si="31"/>
        <v>41834</v>
      </c>
      <c r="Q931" s="56"/>
      <c r="R931" s="16"/>
      <c r="S931" s="16"/>
    </row>
    <row r="932" spans="1:19" x14ac:dyDescent="0.25">
      <c r="A932" s="23" t="s">
        <v>16</v>
      </c>
      <c r="B932" s="65" t="s">
        <v>17</v>
      </c>
      <c r="C932" s="23" t="s">
        <v>51</v>
      </c>
      <c r="D932" s="8">
        <v>2014</v>
      </c>
      <c r="E932" s="9" t="s">
        <v>570</v>
      </c>
      <c r="F932" s="10">
        <v>41834</v>
      </c>
      <c r="G932" s="8">
        <v>11840</v>
      </c>
      <c r="H932" s="11" t="s">
        <v>615</v>
      </c>
      <c r="I932" s="12">
        <v>2000</v>
      </c>
      <c r="J932" s="13" t="s">
        <v>53</v>
      </c>
      <c r="K932" s="13" t="s">
        <v>54</v>
      </c>
      <c r="L932" s="13"/>
      <c r="M932" s="13"/>
      <c r="N932" s="31"/>
      <c r="O932" s="14">
        <f t="shared" si="30"/>
        <v>2000</v>
      </c>
      <c r="P932" s="56">
        <f t="shared" si="31"/>
        <v>41834</v>
      </c>
      <c r="Q932" s="56"/>
      <c r="R932" s="16"/>
      <c r="S932" s="16"/>
    </row>
    <row r="933" spans="1:19" x14ac:dyDescent="0.25">
      <c r="A933" s="23" t="s">
        <v>16</v>
      </c>
      <c r="B933" s="65" t="s">
        <v>17</v>
      </c>
      <c r="C933" s="23" t="s">
        <v>51</v>
      </c>
      <c r="D933" s="8">
        <v>2014</v>
      </c>
      <c r="E933" s="9" t="s">
        <v>570</v>
      </c>
      <c r="F933" s="10">
        <v>41834</v>
      </c>
      <c r="G933" s="8">
        <v>11738</v>
      </c>
      <c r="H933" s="11" t="s">
        <v>616</v>
      </c>
      <c r="I933" s="12">
        <v>7000</v>
      </c>
      <c r="J933" s="13" t="s">
        <v>53</v>
      </c>
      <c r="K933" s="13" t="s">
        <v>54</v>
      </c>
      <c r="L933" s="13"/>
      <c r="M933" s="13"/>
      <c r="N933" s="31"/>
      <c r="O933" s="14">
        <f t="shared" si="30"/>
        <v>7000</v>
      </c>
      <c r="P933" s="56">
        <f t="shared" si="31"/>
        <v>41834</v>
      </c>
      <c r="Q933" s="56"/>
      <c r="R933" s="16"/>
      <c r="S933" s="16"/>
    </row>
    <row r="934" spans="1:19" x14ac:dyDescent="0.25">
      <c r="A934" s="23" t="s">
        <v>16</v>
      </c>
      <c r="B934" s="65" t="s">
        <v>17</v>
      </c>
      <c r="C934" s="23" t="s">
        <v>51</v>
      </c>
      <c r="D934" s="8">
        <v>2014</v>
      </c>
      <c r="E934" s="9" t="s">
        <v>570</v>
      </c>
      <c r="F934" s="10">
        <v>41834</v>
      </c>
      <c r="G934" s="8">
        <v>11838</v>
      </c>
      <c r="H934" s="11" t="s">
        <v>606</v>
      </c>
      <c r="I934" s="12">
        <v>700</v>
      </c>
      <c r="J934" s="13" t="s">
        <v>53</v>
      </c>
      <c r="K934" s="13" t="s">
        <v>54</v>
      </c>
      <c r="L934" s="13"/>
      <c r="M934" s="13"/>
      <c r="N934" s="31"/>
      <c r="O934" s="14">
        <f t="shared" si="30"/>
        <v>700</v>
      </c>
      <c r="P934" s="56">
        <f t="shared" si="31"/>
        <v>41834</v>
      </c>
      <c r="Q934" s="56"/>
      <c r="R934" s="16"/>
      <c r="S934" s="16"/>
    </row>
    <row r="935" spans="1:19" x14ac:dyDescent="0.25">
      <c r="A935" s="23" t="s">
        <v>16</v>
      </c>
      <c r="B935" s="23" t="s">
        <v>17</v>
      </c>
      <c r="C935" s="23" t="s">
        <v>18</v>
      </c>
      <c r="D935" s="8">
        <v>2014</v>
      </c>
      <c r="E935" s="9" t="s">
        <v>570</v>
      </c>
      <c r="F935" s="10">
        <v>41834</v>
      </c>
      <c r="G935" s="23"/>
      <c r="H935" s="13" t="s">
        <v>512</v>
      </c>
      <c r="I935" s="12">
        <v>-200</v>
      </c>
      <c r="J935" s="13" t="s">
        <v>38</v>
      </c>
      <c r="K935" s="13" t="s">
        <v>90</v>
      </c>
      <c r="L935" s="13" t="s">
        <v>91</v>
      </c>
      <c r="M935" s="13"/>
      <c r="N935" s="31"/>
      <c r="O935" s="14">
        <f t="shared" si="30"/>
        <v>-200</v>
      </c>
      <c r="P935" s="15">
        <f t="shared" si="31"/>
        <v>41834</v>
      </c>
      <c r="Q935" s="15"/>
      <c r="R935" s="26"/>
      <c r="S935" s="26"/>
    </row>
    <row r="936" spans="1:19" x14ac:dyDescent="0.25">
      <c r="A936" s="23" t="s">
        <v>16</v>
      </c>
      <c r="B936" s="23" t="s">
        <v>17</v>
      </c>
      <c r="C936" s="23" t="s">
        <v>18</v>
      </c>
      <c r="D936" s="8">
        <v>2014</v>
      </c>
      <c r="E936" s="9" t="s">
        <v>570</v>
      </c>
      <c r="F936" s="10">
        <v>41834</v>
      </c>
      <c r="G936" s="23"/>
      <c r="H936" s="13" t="s">
        <v>617</v>
      </c>
      <c r="I936" s="12">
        <v>-190</v>
      </c>
      <c r="J936" s="13" t="s">
        <v>38</v>
      </c>
      <c r="K936" s="13" t="s">
        <v>90</v>
      </c>
      <c r="L936" s="13" t="s">
        <v>91</v>
      </c>
      <c r="M936" s="13"/>
      <c r="N936" s="31"/>
      <c r="O936" s="14">
        <f t="shared" si="30"/>
        <v>-190</v>
      </c>
      <c r="P936" s="15">
        <f t="shared" si="31"/>
        <v>41834</v>
      </c>
      <c r="Q936" s="15"/>
      <c r="R936" s="16"/>
      <c r="S936" s="16"/>
    </row>
    <row r="937" spans="1:19" x14ac:dyDescent="0.25">
      <c r="A937" s="23" t="s">
        <v>16</v>
      </c>
      <c r="B937" s="23" t="s">
        <v>17</v>
      </c>
      <c r="C937" s="23" t="s">
        <v>18</v>
      </c>
      <c r="D937" s="8">
        <v>2014</v>
      </c>
      <c r="E937" s="9" t="s">
        <v>570</v>
      </c>
      <c r="F937" s="10">
        <v>41835</v>
      </c>
      <c r="G937" s="23"/>
      <c r="H937" s="13" t="s">
        <v>122</v>
      </c>
      <c r="I937" s="12">
        <v>-4000</v>
      </c>
      <c r="J937" s="13" t="s">
        <v>33</v>
      </c>
      <c r="K937" s="13" t="s">
        <v>123</v>
      </c>
      <c r="L937" s="13" t="s">
        <v>124</v>
      </c>
      <c r="M937" s="25" t="s">
        <v>125</v>
      </c>
      <c r="N937" s="31"/>
      <c r="O937" s="14">
        <f t="shared" si="30"/>
        <v>-4000</v>
      </c>
      <c r="P937" s="15">
        <f t="shared" si="31"/>
        <v>41835</v>
      </c>
      <c r="Q937" s="15"/>
      <c r="R937" s="35"/>
      <c r="S937" s="16"/>
    </row>
    <row r="938" spans="1:19" x14ac:dyDescent="0.25">
      <c r="A938" s="8" t="s">
        <v>16</v>
      </c>
      <c r="B938" s="8" t="s">
        <v>17</v>
      </c>
      <c r="C938" s="8" t="s">
        <v>18</v>
      </c>
      <c r="D938" s="8">
        <v>2014</v>
      </c>
      <c r="E938" s="9" t="s">
        <v>570</v>
      </c>
      <c r="F938" s="10">
        <v>41835</v>
      </c>
      <c r="G938" s="23"/>
      <c r="H938" s="11" t="s">
        <v>595</v>
      </c>
      <c r="I938" s="12">
        <v>-600</v>
      </c>
      <c r="J938" s="54" t="s">
        <v>21</v>
      </c>
      <c r="K938" s="54" t="s">
        <v>56</v>
      </c>
      <c r="L938" s="54" t="s">
        <v>57</v>
      </c>
      <c r="M938" s="13" t="s">
        <v>386</v>
      </c>
      <c r="N938" s="14"/>
      <c r="O938" s="14">
        <f t="shared" si="30"/>
        <v>-600</v>
      </c>
      <c r="P938" s="15">
        <f t="shared" si="31"/>
        <v>41835</v>
      </c>
      <c r="Q938" s="15"/>
      <c r="R938" s="16"/>
      <c r="S938" s="16"/>
    </row>
    <row r="939" spans="1:19" x14ac:dyDescent="0.25">
      <c r="A939" s="8" t="s">
        <v>16</v>
      </c>
      <c r="B939" s="8" t="s">
        <v>17</v>
      </c>
      <c r="C939" s="8" t="s">
        <v>18</v>
      </c>
      <c r="D939" s="8">
        <v>2014</v>
      </c>
      <c r="E939" s="9" t="s">
        <v>570</v>
      </c>
      <c r="F939" s="10">
        <v>41835</v>
      </c>
      <c r="G939" s="23"/>
      <c r="H939" s="11" t="s">
        <v>269</v>
      </c>
      <c r="I939" s="12">
        <v>-500</v>
      </c>
      <c r="J939" s="54" t="s">
        <v>21</v>
      </c>
      <c r="K939" s="70" t="s">
        <v>56</v>
      </c>
      <c r="L939" s="54" t="s">
        <v>57</v>
      </c>
      <c r="M939" s="13" t="s">
        <v>386</v>
      </c>
      <c r="N939" s="14"/>
      <c r="O939" s="14">
        <f t="shared" si="30"/>
        <v>-500</v>
      </c>
      <c r="P939" s="15">
        <f t="shared" si="31"/>
        <v>41835</v>
      </c>
      <c r="Q939" s="15"/>
      <c r="R939" s="16"/>
      <c r="S939" s="16"/>
    </row>
    <row r="940" spans="1:19" x14ac:dyDescent="0.25">
      <c r="A940" s="8" t="s">
        <v>16</v>
      </c>
      <c r="B940" s="66" t="s">
        <v>17</v>
      </c>
      <c r="C940" s="8" t="s">
        <v>18</v>
      </c>
      <c r="D940" s="8">
        <v>2014</v>
      </c>
      <c r="E940" s="9" t="s">
        <v>570</v>
      </c>
      <c r="F940" s="10">
        <v>41836</v>
      </c>
      <c r="G940" s="23"/>
      <c r="H940" s="11" t="s">
        <v>595</v>
      </c>
      <c r="I940" s="12">
        <v>-500</v>
      </c>
      <c r="J940" s="54" t="s">
        <v>21</v>
      </c>
      <c r="K940" s="54" t="s">
        <v>56</v>
      </c>
      <c r="L940" s="54" t="s">
        <v>57</v>
      </c>
      <c r="M940" s="13" t="s">
        <v>386</v>
      </c>
      <c r="N940" s="14"/>
      <c r="O940" s="14">
        <f t="shared" si="30"/>
        <v>-500</v>
      </c>
      <c r="P940" s="56">
        <f t="shared" si="31"/>
        <v>41836</v>
      </c>
      <c r="Q940" s="56"/>
      <c r="R940" s="16"/>
      <c r="S940" s="16"/>
    </row>
    <row r="941" spans="1:19" x14ac:dyDescent="0.25">
      <c r="A941" s="8" t="s">
        <v>16</v>
      </c>
      <c r="B941" s="8" t="s">
        <v>17</v>
      </c>
      <c r="C941" s="8" t="s">
        <v>18</v>
      </c>
      <c r="D941" s="8">
        <v>2014</v>
      </c>
      <c r="E941" s="9" t="s">
        <v>570</v>
      </c>
      <c r="F941" s="10">
        <v>41836</v>
      </c>
      <c r="G941" s="23"/>
      <c r="H941" s="13" t="s">
        <v>363</v>
      </c>
      <c r="I941" s="12">
        <v>-200</v>
      </c>
      <c r="J941" s="13" t="s">
        <v>21</v>
      </c>
      <c r="K941" s="13" t="s">
        <v>22</v>
      </c>
      <c r="L941" s="13" t="s">
        <v>23</v>
      </c>
      <c r="M941" s="13"/>
      <c r="N941" s="31"/>
      <c r="O941" s="14">
        <f t="shared" si="30"/>
        <v>-200</v>
      </c>
      <c r="P941" s="15">
        <f t="shared" si="31"/>
        <v>41836</v>
      </c>
      <c r="Q941" s="15"/>
      <c r="R941" s="16"/>
      <c r="S941" s="16"/>
    </row>
    <row r="942" spans="1:19" x14ac:dyDescent="0.25">
      <c r="A942" s="23" t="s">
        <v>16</v>
      </c>
      <c r="B942" s="23" t="s">
        <v>17</v>
      </c>
      <c r="C942" s="23" t="s">
        <v>51</v>
      </c>
      <c r="D942" s="8">
        <v>2014</v>
      </c>
      <c r="E942" s="9" t="s">
        <v>570</v>
      </c>
      <c r="F942" s="10">
        <v>41836</v>
      </c>
      <c r="G942" s="8">
        <v>11842</v>
      </c>
      <c r="H942" s="8" t="s">
        <v>618</v>
      </c>
      <c r="I942" s="12">
        <v>3200</v>
      </c>
      <c r="J942" s="13" t="s">
        <v>53</v>
      </c>
      <c r="K942" s="13" t="s">
        <v>54</v>
      </c>
      <c r="L942" s="13"/>
      <c r="M942" s="13"/>
      <c r="N942" s="31"/>
      <c r="O942" s="14">
        <f t="shared" si="30"/>
        <v>3200</v>
      </c>
      <c r="P942" s="15">
        <f t="shared" si="31"/>
        <v>41836</v>
      </c>
      <c r="Q942" s="15"/>
      <c r="R942" s="35"/>
      <c r="S942" s="16"/>
    </row>
    <row r="943" spans="1:19" x14ac:dyDescent="0.25">
      <c r="A943" s="8" t="s">
        <v>16</v>
      </c>
      <c r="B943" s="8" t="s">
        <v>17</v>
      </c>
      <c r="C943" s="8" t="s">
        <v>18</v>
      </c>
      <c r="D943" s="8">
        <v>2014</v>
      </c>
      <c r="E943" s="9" t="s">
        <v>570</v>
      </c>
      <c r="F943" s="10">
        <v>41836</v>
      </c>
      <c r="G943" s="23"/>
      <c r="H943" s="11" t="s">
        <v>269</v>
      </c>
      <c r="I943" s="12">
        <v>-1000</v>
      </c>
      <c r="J943" s="54" t="s">
        <v>21</v>
      </c>
      <c r="K943" s="70" t="s">
        <v>56</v>
      </c>
      <c r="L943" s="54" t="s">
        <v>57</v>
      </c>
      <c r="M943" s="13" t="s">
        <v>386</v>
      </c>
      <c r="N943" s="14"/>
      <c r="O943" s="14">
        <f t="shared" si="30"/>
        <v>-1000</v>
      </c>
      <c r="P943" s="15">
        <f t="shared" si="31"/>
        <v>41836</v>
      </c>
      <c r="Q943" s="15"/>
      <c r="R943" s="16"/>
      <c r="S943" s="16"/>
    </row>
    <row r="944" spans="1:19" x14ac:dyDescent="0.25">
      <c r="A944" s="8" t="s">
        <v>16</v>
      </c>
      <c r="B944" s="8" t="s">
        <v>17</v>
      </c>
      <c r="C944" s="36" t="s">
        <v>46</v>
      </c>
      <c r="D944" s="8">
        <v>2014</v>
      </c>
      <c r="E944" s="9" t="s">
        <v>570</v>
      </c>
      <c r="F944" s="10">
        <v>41837</v>
      </c>
      <c r="G944" s="8"/>
      <c r="H944" s="17" t="s">
        <v>410</v>
      </c>
      <c r="I944" s="12">
        <v>-3050</v>
      </c>
      <c r="J944" s="13" t="s">
        <v>48</v>
      </c>
      <c r="K944" s="48" t="s">
        <v>49</v>
      </c>
      <c r="L944" s="13" t="s">
        <v>50</v>
      </c>
      <c r="M944" s="13"/>
      <c r="N944" s="14"/>
      <c r="O944" s="14">
        <f t="shared" si="30"/>
        <v>-3050</v>
      </c>
      <c r="P944" s="15">
        <f t="shared" si="31"/>
        <v>41837</v>
      </c>
      <c r="Q944" s="15"/>
      <c r="R944" s="16"/>
      <c r="S944" s="16"/>
    </row>
    <row r="945" spans="1:19" x14ac:dyDescent="0.25">
      <c r="A945" s="23" t="s">
        <v>16</v>
      </c>
      <c r="B945" s="23" t="s">
        <v>17</v>
      </c>
      <c r="C945" s="36" t="s">
        <v>46</v>
      </c>
      <c r="D945" s="8">
        <v>2014</v>
      </c>
      <c r="E945" s="9" t="s">
        <v>570</v>
      </c>
      <c r="F945" s="10">
        <v>41837</v>
      </c>
      <c r="G945" s="23"/>
      <c r="H945" s="17" t="s">
        <v>481</v>
      </c>
      <c r="I945" s="57">
        <v>-4400</v>
      </c>
      <c r="J945" s="13" t="s">
        <v>48</v>
      </c>
      <c r="K945" s="13" t="s">
        <v>326</v>
      </c>
      <c r="L945" s="13"/>
      <c r="M945" s="13" t="s">
        <v>226</v>
      </c>
      <c r="N945" s="14"/>
      <c r="O945" s="14">
        <f t="shared" si="30"/>
        <v>-4400</v>
      </c>
      <c r="P945" s="15">
        <f t="shared" si="31"/>
        <v>41837</v>
      </c>
      <c r="Q945" s="15"/>
      <c r="R945" s="16"/>
      <c r="S945" s="16"/>
    </row>
    <row r="946" spans="1:19" x14ac:dyDescent="0.25">
      <c r="A946" s="8" t="s">
        <v>16</v>
      </c>
      <c r="B946" s="8" t="s">
        <v>17</v>
      </c>
      <c r="C946" s="36" t="s">
        <v>18</v>
      </c>
      <c r="D946" s="8">
        <v>2014</v>
      </c>
      <c r="E946" s="9" t="s">
        <v>570</v>
      </c>
      <c r="F946" s="10">
        <v>41837</v>
      </c>
      <c r="G946" s="8"/>
      <c r="H946" s="11" t="s">
        <v>619</v>
      </c>
      <c r="I946" s="12">
        <v>-2000</v>
      </c>
      <c r="J946" s="13" t="s">
        <v>21</v>
      </c>
      <c r="K946" s="13" t="s">
        <v>25</v>
      </c>
      <c r="L946" s="13" t="s">
        <v>26</v>
      </c>
      <c r="M946" s="13"/>
      <c r="N946" s="14"/>
      <c r="O946" s="14">
        <f t="shared" si="30"/>
        <v>-2000</v>
      </c>
      <c r="P946" s="15">
        <f t="shared" si="31"/>
        <v>41837</v>
      </c>
      <c r="Q946" s="15"/>
      <c r="R946" s="16"/>
      <c r="S946" s="16"/>
    </row>
    <row r="947" spans="1:19" x14ac:dyDescent="0.25">
      <c r="A947" s="8" t="s">
        <v>16</v>
      </c>
      <c r="B947" s="8" t="s">
        <v>17</v>
      </c>
      <c r="C947" s="8" t="s">
        <v>18</v>
      </c>
      <c r="D947" s="8">
        <v>2014</v>
      </c>
      <c r="E947" s="9" t="s">
        <v>570</v>
      </c>
      <c r="F947" s="10">
        <v>41837</v>
      </c>
      <c r="G947" s="23"/>
      <c r="H947" s="13" t="s">
        <v>363</v>
      </c>
      <c r="I947" s="12">
        <v>-200</v>
      </c>
      <c r="J947" s="13" t="s">
        <v>21</v>
      </c>
      <c r="K947" s="13" t="s">
        <v>22</v>
      </c>
      <c r="L947" s="13" t="s">
        <v>23</v>
      </c>
      <c r="M947" s="13"/>
      <c r="N947" s="31"/>
      <c r="O947" s="14">
        <f t="shared" si="30"/>
        <v>-200</v>
      </c>
      <c r="P947" s="15">
        <f t="shared" si="31"/>
        <v>41837</v>
      </c>
      <c r="Q947" s="15"/>
      <c r="R947" s="26"/>
      <c r="S947" s="26"/>
    </row>
    <row r="948" spans="1:19" x14ac:dyDescent="0.25">
      <c r="A948" s="23" t="s">
        <v>16</v>
      </c>
      <c r="B948" s="65" t="s">
        <v>17</v>
      </c>
      <c r="C948" s="36" t="s">
        <v>46</v>
      </c>
      <c r="D948" s="8">
        <v>2014</v>
      </c>
      <c r="E948" s="9" t="s">
        <v>570</v>
      </c>
      <c r="F948" s="10">
        <v>41837</v>
      </c>
      <c r="G948" s="23"/>
      <c r="H948" s="17" t="s">
        <v>620</v>
      </c>
      <c r="I948" s="57">
        <v>-2300</v>
      </c>
      <c r="J948" s="13" t="s">
        <v>48</v>
      </c>
      <c r="K948" s="13" t="s">
        <v>326</v>
      </c>
      <c r="L948" s="13"/>
      <c r="M948" s="13" t="s">
        <v>226</v>
      </c>
      <c r="N948" s="14"/>
      <c r="O948" s="14">
        <f t="shared" si="30"/>
        <v>-2300</v>
      </c>
      <c r="P948" s="56">
        <f t="shared" si="31"/>
        <v>41837</v>
      </c>
      <c r="Q948" s="56"/>
      <c r="R948" s="16"/>
      <c r="S948" s="16"/>
    </row>
    <row r="949" spans="1:19" x14ac:dyDescent="0.25">
      <c r="A949" s="23" t="s">
        <v>16</v>
      </c>
      <c r="B949" s="23" t="s">
        <v>17</v>
      </c>
      <c r="C949" s="23" t="s">
        <v>51</v>
      </c>
      <c r="D949" s="8">
        <v>2014</v>
      </c>
      <c r="E949" s="9" t="s">
        <v>570</v>
      </c>
      <c r="F949" s="10">
        <v>41837</v>
      </c>
      <c r="G949" s="8">
        <v>11837</v>
      </c>
      <c r="H949" s="8" t="s">
        <v>608</v>
      </c>
      <c r="I949" s="62">
        <v>3740</v>
      </c>
      <c r="J949" s="13" t="s">
        <v>53</v>
      </c>
      <c r="K949" s="63" t="s">
        <v>54</v>
      </c>
      <c r="L949" s="63"/>
      <c r="M949" s="63"/>
      <c r="N949" s="64"/>
      <c r="O949" s="14">
        <f t="shared" si="30"/>
        <v>3740</v>
      </c>
      <c r="P949" s="60">
        <f t="shared" si="31"/>
        <v>41837</v>
      </c>
      <c r="Q949" s="60"/>
      <c r="R949" s="16"/>
      <c r="S949" s="16"/>
    </row>
    <row r="950" spans="1:19" x14ac:dyDescent="0.25">
      <c r="A950" s="23" t="s">
        <v>16</v>
      </c>
      <c r="B950" s="23" t="s">
        <v>17</v>
      </c>
      <c r="C950" s="23" t="s">
        <v>18</v>
      </c>
      <c r="D950" s="8">
        <v>2014</v>
      </c>
      <c r="E950" s="9" t="s">
        <v>570</v>
      </c>
      <c r="F950" s="10">
        <v>41837</v>
      </c>
      <c r="G950" s="8"/>
      <c r="H950" s="11" t="s">
        <v>340</v>
      </c>
      <c r="I950" s="12">
        <v>-1080</v>
      </c>
      <c r="J950" s="13" t="s">
        <v>21</v>
      </c>
      <c r="K950" s="13" t="s">
        <v>56</v>
      </c>
      <c r="L950" s="13" t="s">
        <v>57</v>
      </c>
      <c r="M950" s="13"/>
      <c r="N950" s="14"/>
      <c r="O950" s="14">
        <f t="shared" si="30"/>
        <v>-1080</v>
      </c>
      <c r="P950" s="15">
        <f t="shared" si="31"/>
        <v>41837</v>
      </c>
      <c r="Q950" s="15"/>
      <c r="R950" s="16"/>
      <c r="S950" s="16"/>
    </row>
    <row r="951" spans="1:19" x14ac:dyDescent="0.25">
      <c r="A951" s="8" t="s">
        <v>16</v>
      </c>
      <c r="B951" s="8" t="s">
        <v>17</v>
      </c>
      <c r="C951" s="8" t="s">
        <v>18</v>
      </c>
      <c r="D951" s="8">
        <v>2014</v>
      </c>
      <c r="E951" s="9" t="s">
        <v>570</v>
      </c>
      <c r="F951" s="10">
        <v>41837</v>
      </c>
      <c r="G951" s="23"/>
      <c r="H951" s="11" t="s">
        <v>595</v>
      </c>
      <c r="I951" s="12">
        <v>-1000</v>
      </c>
      <c r="J951" s="54" t="s">
        <v>21</v>
      </c>
      <c r="K951" s="54" t="s">
        <v>56</v>
      </c>
      <c r="L951" s="54" t="s">
        <v>57</v>
      </c>
      <c r="M951" s="13" t="s">
        <v>386</v>
      </c>
      <c r="N951" s="14"/>
      <c r="O951" s="14">
        <f t="shared" si="30"/>
        <v>-1000</v>
      </c>
      <c r="P951" s="15">
        <f t="shared" si="31"/>
        <v>41837</v>
      </c>
      <c r="Q951" s="15"/>
      <c r="R951" s="16"/>
      <c r="S951" s="16"/>
    </row>
    <row r="952" spans="1:19" x14ac:dyDescent="0.25">
      <c r="A952" s="8" t="s">
        <v>16</v>
      </c>
      <c r="B952" s="8" t="s">
        <v>17</v>
      </c>
      <c r="C952" s="36" t="s">
        <v>18</v>
      </c>
      <c r="D952" s="8">
        <v>2014</v>
      </c>
      <c r="E952" s="9" t="s">
        <v>570</v>
      </c>
      <c r="F952" s="30">
        <v>41838</v>
      </c>
      <c r="G952" s="8"/>
      <c r="H952" s="17" t="s">
        <v>526</v>
      </c>
      <c r="I952" s="12">
        <v>-47.74</v>
      </c>
      <c r="J952" s="13" t="s">
        <v>21</v>
      </c>
      <c r="K952" s="13" t="s">
        <v>143</v>
      </c>
      <c r="L952" s="13" t="s">
        <v>144</v>
      </c>
      <c r="M952" s="13" t="s">
        <v>145</v>
      </c>
      <c r="N952" s="14"/>
      <c r="O952" s="14">
        <f t="shared" si="30"/>
        <v>-47.74</v>
      </c>
      <c r="P952" s="15">
        <f t="shared" si="31"/>
        <v>41838</v>
      </c>
      <c r="Q952" s="15"/>
      <c r="R952" s="16"/>
      <c r="S952" s="16"/>
    </row>
    <row r="953" spans="1:19" x14ac:dyDescent="0.25">
      <c r="A953" s="8" t="s">
        <v>16</v>
      </c>
      <c r="B953" s="8" t="s">
        <v>17</v>
      </c>
      <c r="C953" s="8" t="s">
        <v>18</v>
      </c>
      <c r="D953" s="8">
        <v>2014</v>
      </c>
      <c r="E953" s="9" t="s">
        <v>570</v>
      </c>
      <c r="F953" s="10">
        <v>41838</v>
      </c>
      <c r="G953" s="8"/>
      <c r="H953" s="17" t="s">
        <v>621</v>
      </c>
      <c r="I953" s="12">
        <v>-58.05</v>
      </c>
      <c r="J953" s="13" t="s">
        <v>21</v>
      </c>
      <c r="K953" s="32" t="s">
        <v>143</v>
      </c>
      <c r="L953" s="33" t="s">
        <v>144</v>
      </c>
      <c r="M953" s="33" t="s">
        <v>28</v>
      </c>
      <c r="N953" s="71"/>
      <c r="O953" s="14">
        <f t="shared" si="30"/>
        <v>-58.05</v>
      </c>
      <c r="P953" s="15">
        <f t="shared" si="31"/>
        <v>41838</v>
      </c>
      <c r="Q953" s="15"/>
      <c r="R953" s="16"/>
      <c r="S953" s="16"/>
    </row>
    <row r="954" spans="1:19" x14ac:dyDescent="0.25">
      <c r="A954" s="23" t="s">
        <v>16</v>
      </c>
      <c r="B954" s="23" t="s">
        <v>17</v>
      </c>
      <c r="C954" s="23" t="s">
        <v>18</v>
      </c>
      <c r="D954" s="8">
        <v>2014</v>
      </c>
      <c r="E954" s="9" t="s">
        <v>570</v>
      </c>
      <c r="F954" s="10">
        <v>41838</v>
      </c>
      <c r="G954" s="23"/>
      <c r="H954" s="13" t="s">
        <v>122</v>
      </c>
      <c r="I954" s="12">
        <v>-5000</v>
      </c>
      <c r="J954" s="13" t="s">
        <v>33</v>
      </c>
      <c r="K954" s="48" t="s">
        <v>123</v>
      </c>
      <c r="L954" s="13" t="s">
        <v>124</v>
      </c>
      <c r="M954" s="25" t="s">
        <v>125</v>
      </c>
      <c r="N954" s="31"/>
      <c r="O954" s="14">
        <f t="shared" si="30"/>
        <v>-5000</v>
      </c>
      <c r="P954" s="15">
        <f t="shared" si="31"/>
        <v>41838</v>
      </c>
      <c r="Q954" s="15"/>
      <c r="R954" s="16"/>
      <c r="S954" s="16"/>
    </row>
    <row r="955" spans="1:19" x14ac:dyDescent="0.25">
      <c r="A955" s="23" t="s">
        <v>16</v>
      </c>
      <c r="B955" s="23" t="s">
        <v>17</v>
      </c>
      <c r="C955" s="23" t="s">
        <v>18</v>
      </c>
      <c r="D955" s="8">
        <v>2014</v>
      </c>
      <c r="E955" s="9" t="s">
        <v>570</v>
      </c>
      <c r="F955" s="10">
        <v>41838</v>
      </c>
      <c r="G955" s="8"/>
      <c r="H955" s="11" t="s">
        <v>399</v>
      </c>
      <c r="I955" s="12">
        <f>-20-50-50-150-152-50-150</f>
        <v>-622</v>
      </c>
      <c r="J955" s="13" t="s">
        <v>21</v>
      </c>
      <c r="K955" s="13" t="s">
        <v>56</v>
      </c>
      <c r="L955" s="13" t="s">
        <v>111</v>
      </c>
      <c r="M955" s="13" t="s">
        <v>28</v>
      </c>
      <c r="N955" s="31"/>
      <c r="O955" s="14">
        <f t="shared" si="30"/>
        <v>-622</v>
      </c>
      <c r="P955" s="15">
        <f t="shared" si="31"/>
        <v>41838</v>
      </c>
      <c r="Q955" s="15"/>
      <c r="R955" s="16"/>
      <c r="S955" s="16"/>
    </row>
    <row r="956" spans="1:19" x14ac:dyDescent="0.25">
      <c r="A956" s="8" t="s">
        <v>16</v>
      </c>
      <c r="B956" s="8" t="s">
        <v>17</v>
      </c>
      <c r="C956" s="8" t="s">
        <v>18</v>
      </c>
      <c r="D956" s="8">
        <v>2014</v>
      </c>
      <c r="E956" s="9" t="s">
        <v>570</v>
      </c>
      <c r="F956" s="10">
        <v>41838</v>
      </c>
      <c r="G956" s="8"/>
      <c r="H956" s="11" t="s">
        <v>603</v>
      </c>
      <c r="I956" s="12">
        <f>-95-30</f>
        <v>-125</v>
      </c>
      <c r="J956" s="13" t="s">
        <v>33</v>
      </c>
      <c r="K956" s="13" t="s">
        <v>224</v>
      </c>
      <c r="L956" s="13" t="s">
        <v>604</v>
      </c>
      <c r="M956" s="13" t="s">
        <v>226</v>
      </c>
      <c r="N956" s="14"/>
      <c r="O956" s="14">
        <f t="shared" si="30"/>
        <v>-125</v>
      </c>
      <c r="P956" s="15">
        <f t="shared" si="31"/>
        <v>41838</v>
      </c>
      <c r="Q956" s="15"/>
      <c r="R956" s="26"/>
      <c r="S956" s="26"/>
    </row>
    <row r="957" spans="1:19" x14ac:dyDescent="0.25">
      <c r="A957" s="8" t="s">
        <v>16</v>
      </c>
      <c r="B957" s="8" t="s">
        <v>17</v>
      </c>
      <c r="C957" s="8" t="s">
        <v>18</v>
      </c>
      <c r="D957" s="8">
        <v>2014</v>
      </c>
      <c r="E957" s="9" t="s">
        <v>570</v>
      </c>
      <c r="F957" s="10">
        <v>41838</v>
      </c>
      <c r="G957" s="8"/>
      <c r="H957" s="13" t="s">
        <v>153</v>
      </c>
      <c r="I957" s="12">
        <f>-360-72</f>
        <v>-432</v>
      </c>
      <c r="J957" s="13" t="s">
        <v>33</v>
      </c>
      <c r="K957" s="13" t="s">
        <v>34</v>
      </c>
      <c r="L957" s="13" t="s">
        <v>76</v>
      </c>
      <c r="M957" s="13"/>
      <c r="N957" s="14"/>
      <c r="O957" s="14">
        <f t="shared" si="30"/>
        <v>-432</v>
      </c>
      <c r="P957" s="15">
        <f t="shared" si="31"/>
        <v>41838</v>
      </c>
      <c r="Q957" s="15"/>
      <c r="R957" s="26"/>
      <c r="S957" s="26"/>
    </row>
    <row r="958" spans="1:19" x14ac:dyDescent="0.25">
      <c r="A958" s="23" t="s">
        <v>16</v>
      </c>
      <c r="B958" s="23" t="s">
        <v>17</v>
      </c>
      <c r="C958" s="23" t="s">
        <v>18</v>
      </c>
      <c r="D958" s="8">
        <v>2014</v>
      </c>
      <c r="E958" s="9" t="s">
        <v>570</v>
      </c>
      <c r="F958" s="10">
        <v>41838</v>
      </c>
      <c r="G958" s="8"/>
      <c r="H958" s="11" t="s">
        <v>378</v>
      </c>
      <c r="I958" s="12">
        <f>-210-634</f>
        <v>-844</v>
      </c>
      <c r="J958" s="13" t="s">
        <v>38</v>
      </c>
      <c r="K958" s="13" t="s">
        <v>155</v>
      </c>
      <c r="L958" s="13" t="s">
        <v>91</v>
      </c>
      <c r="M958" s="13"/>
      <c r="N958" s="31"/>
      <c r="O958" s="14">
        <f t="shared" si="30"/>
        <v>-844</v>
      </c>
      <c r="P958" s="15">
        <f t="shared" si="31"/>
        <v>41838</v>
      </c>
      <c r="Q958" s="56"/>
      <c r="R958" s="16"/>
      <c r="S958" s="16"/>
    </row>
    <row r="959" spans="1:19" x14ac:dyDescent="0.25">
      <c r="A959" s="23" t="s">
        <v>16</v>
      </c>
      <c r="B959" s="23" t="s">
        <v>17</v>
      </c>
      <c r="C959" s="23" t="s">
        <v>18</v>
      </c>
      <c r="D959" s="8">
        <v>2014</v>
      </c>
      <c r="E959" s="9" t="s">
        <v>570</v>
      </c>
      <c r="F959" s="10">
        <v>41838</v>
      </c>
      <c r="G959" s="8"/>
      <c r="H959" s="11" t="s">
        <v>350</v>
      </c>
      <c r="I959" s="12">
        <v>-518</v>
      </c>
      <c r="J959" s="13" t="s">
        <v>38</v>
      </c>
      <c r="K959" s="13" t="s">
        <v>155</v>
      </c>
      <c r="L959" s="13" t="s">
        <v>91</v>
      </c>
      <c r="M959" s="13"/>
      <c r="N959" s="31"/>
      <c r="O959" s="14">
        <f t="shared" si="30"/>
        <v>-518</v>
      </c>
      <c r="P959" s="15">
        <f t="shared" si="31"/>
        <v>41838</v>
      </c>
      <c r="Q959" s="56"/>
      <c r="R959" s="16"/>
      <c r="S959" s="16"/>
    </row>
    <row r="960" spans="1:19" x14ac:dyDescent="0.25">
      <c r="A960" s="23" t="s">
        <v>16</v>
      </c>
      <c r="B960" s="23" t="s">
        <v>17</v>
      </c>
      <c r="C960" s="23" t="s">
        <v>18</v>
      </c>
      <c r="D960" s="8">
        <v>2014</v>
      </c>
      <c r="E960" s="9" t="s">
        <v>570</v>
      </c>
      <c r="F960" s="10">
        <v>41838</v>
      </c>
      <c r="G960" s="8"/>
      <c r="H960" s="11" t="s">
        <v>419</v>
      </c>
      <c r="I960" s="12">
        <v>-564</v>
      </c>
      <c r="J960" s="13" t="s">
        <v>38</v>
      </c>
      <c r="K960" s="13" t="s">
        <v>155</v>
      </c>
      <c r="L960" s="13" t="s">
        <v>91</v>
      </c>
      <c r="M960" s="13"/>
      <c r="N960" s="31"/>
      <c r="O960" s="14">
        <f t="shared" si="30"/>
        <v>-564</v>
      </c>
      <c r="P960" s="15">
        <f t="shared" si="31"/>
        <v>41838</v>
      </c>
      <c r="Q960" s="15"/>
      <c r="R960" s="26"/>
      <c r="S960" s="26"/>
    </row>
    <row r="961" spans="1:19" x14ac:dyDescent="0.25">
      <c r="A961" s="23" t="s">
        <v>16</v>
      </c>
      <c r="B961" s="23" t="s">
        <v>17</v>
      </c>
      <c r="C961" s="23" t="s">
        <v>18</v>
      </c>
      <c r="D961" s="8">
        <v>2014</v>
      </c>
      <c r="E961" s="9" t="s">
        <v>570</v>
      </c>
      <c r="F961" s="10">
        <v>41838</v>
      </c>
      <c r="G961" s="8"/>
      <c r="H961" s="11" t="s">
        <v>420</v>
      </c>
      <c r="I961" s="12">
        <f>-210-564</f>
        <v>-774</v>
      </c>
      <c r="J961" s="13" t="s">
        <v>38</v>
      </c>
      <c r="K961" s="13" t="s">
        <v>155</v>
      </c>
      <c r="L961" s="13" t="s">
        <v>91</v>
      </c>
      <c r="M961" s="13"/>
      <c r="N961" s="31"/>
      <c r="O961" s="14">
        <f t="shared" si="30"/>
        <v>-774</v>
      </c>
      <c r="P961" s="15">
        <f t="shared" si="31"/>
        <v>41838</v>
      </c>
      <c r="Q961" s="15"/>
      <c r="R961" s="16"/>
      <c r="S961" s="16"/>
    </row>
    <row r="962" spans="1:19" x14ac:dyDescent="0.25">
      <c r="A962" s="23" t="s">
        <v>16</v>
      </c>
      <c r="B962" s="23" t="s">
        <v>17</v>
      </c>
      <c r="C962" s="23" t="s">
        <v>18</v>
      </c>
      <c r="D962" s="8">
        <v>2014</v>
      </c>
      <c r="E962" s="9" t="s">
        <v>570</v>
      </c>
      <c r="F962" s="10">
        <v>41838</v>
      </c>
      <c r="G962" s="8"/>
      <c r="H962" s="11" t="s">
        <v>344</v>
      </c>
      <c r="I962" s="12">
        <v>-188</v>
      </c>
      <c r="J962" s="13" t="s">
        <v>38</v>
      </c>
      <c r="K962" s="13" t="s">
        <v>155</v>
      </c>
      <c r="L962" s="13" t="s">
        <v>91</v>
      </c>
      <c r="M962" s="13"/>
      <c r="N962" s="31"/>
      <c r="O962" s="14">
        <f t="shared" si="30"/>
        <v>-188</v>
      </c>
      <c r="P962" s="15">
        <f t="shared" si="31"/>
        <v>41838</v>
      </c>
      <c r="Q962" s="15"/>
      <c r="R962" s="16"/>
      <c r="S962" s="16"/>
    </row>
    <row r="963" spans="1:19" x14ac:dyDescent="0.25">
      <c r="A963" s="8" t="s">
        <v>16</v>
      </c>
      <c r="B963" s="8" t="s">
        <v>17</v>
      </c>
      <c r="C963" s="8" t="s">
        <v>18</v>
      </c>
      <c r="D963" s="8">
        <v>2014</v>
      </c>
      <c r="E963" s="9" t="s">
        <v>570</v>
      </c>
      <c r="F963" s="10">
        <v>41838</v>
      </c>
      <c r="G963" s="8"/>
      <c r="H963" s="11" t="s">
        <v>530</v>
      </c>
      <c r="I963" s="12">
        <v>-4000</v>
      </c>
      <c r="J963" s="13" t="s">
        <v>21</v>
      </c>
      <c r="K963" s="13" t="s">
        <v>143</v>
      </c>
      <c r="L963" s="13" t="s">
        <v>193</v>
      </c>
      <c r="M963" s="13" t="s">
        <v>194</v>
      </c>
      <c r="N963" s="31"/>
      <c r="O963" s="14">
        <f t="shared" ref="O963:O1026" si="32">IF(B963="$",I963,I963/N963)</f>
        <v>-4000</v>
      </c>
      <c r="P963" s="15">
        <f t="shared" si="31"/>
        <v>41838</v>
      </c>
      <c r="Q963" s="15"/>
      <c r="R963" s="16"/>
      <c r="S963" s="16"/>
    </row>
    <row r="964" spans="1:19" x14ac:dyDescent="0.25">
      <c r="A964" s="23" t="s">
        <v>16</v>
      </c>
      <c r="B964" s="23" t="s">
        <v>17</v>
      </c>
      <c r="C964" s="23" t="s">
        <v>18</v>
      </c>
      <c r="D964" s="8">
        <v>2014</v>
      </c>
      <c r="E964" s="9" t="s">
        <v>570</v>
      </c>
      <c r="F964" s="10">
        <v>41838</v>
      </c>
      <c r="G964" s="8"/>
      <c r="H964" s="11" t="s">
        <v>340</v>
      </c>
      <c r="I964" s="12">
        <f>-1140-240</f>
        <v>-1380</v>
      </c>
      <c r="J964" s="13" t="s">
        <v>21</v>
      </c>
      <c r="K964" s="13" t="s">
        <v>56</v>
      </c>
      <c r="L964" s="13" t="s">
        <v>57</v>
      </c>
      <c r="M964" s="13"/>
      <c r="N964" s="14"/>
      <c r="O964" s="14">
        <f t="shared" si="32"/>
        <v>-1380</v>
      </c>
      <c r="P964" s="15">
        <f t="shared" si="31"/>
        <v>41838</v>
      </c>
      <c r="Q964" s="15"/>
      <c r="R964" s="16"/>
      <c r="S964" s="16"/>
    </row>
    <row r="965" spans="1:19" x14ac:dyDescent="0.25">
      <c r="A965" s="8" t="s">
        <v>16</v>
      </c>
      <c r="B965" s="8" t="s">
        <v>17</v>
      </c>
      <c r="C965" s="8" t="s">
        <v>18</v>
      </c>
      <c r="D965" s="8">
        <v>2014</v>
      </c>
      <c r="E965" s="9" t="s">
        <v>570</v>
      </c>
      <c r="F965" s="10">
        <v>41838</v>
      </c>
      <c r="G965" s="23"/>
      <c r="H965" s="11" t="s">
        <v>595</v>
      </c>
      <c r="I965" s="12">
        <v>-800</v>
      </c>
      <c r="J965" s="54" t="s">
        <v>21</v>
      </c>
      <c r="K965" s="54" t="s">
        <v>56</v>
      </c>
      <c r="L965" s="54" t="s">
        <v>57</v>
      </c>
      <c r="M965" s="13" t="s">
        <v>386</v>
      </c>
      <c r="N965" s="14"/>
      <c r="O965" s="14">
        <f t="shared" si="32"/>
        <v>-800</v>
      </c>
      <c r="P965" s="15">
        <f t="shared" si="31"/>
        <v>41838</v>
      </c>
      <c r="Q965" s="15"/>
      <c r="R965" s="16"/>
      <c r="S965" s="16"/>
    </row>
    <row r="966" spans="1:19" x14ac:dyDescent="0.25">
      <c r="A966" s="23" t="s">
        <v>16</v>
      </c>
      <c r="B966" s="23" t="s">
        <v>17</v>
      </c>
      <c r="C966" s="23" t="s">
        <v>18</v>
      </c>
      <c r="D966" s="8">
        <v>2014</v>
      </c>
      <c r="E966" s="9" t="s">
        <v>570</v>
      </c>
      <c r="F966" s="10">
        <v>41838</v>
      </c>
      <c r="G966" s="23"/>
      <c r="H966" s="13" t="s">
        <v>252</v>
      </c>
      <c r="I966" s="12">
        <v>-50</v>
      </c>
      <c r="J966" s="13" t="s">
        <v>21</v>
      </c>
      <c r="K966" s="13" t="s">
        <v>22</v>
      </c>
      <c r="L966" s="13" t="s">
        <v>71</v>
      </c>
      <c r="M966" s="13" t="s">
        <v>206</v>
      </c>
      <c r="N966" s="31"/>
      <c r="O966" s="14">
        <f t="shared" si="32"/>
        <v>-50</v>
      </c>
      <c r="P966" s="15">
        <f t="shared" si="31"/>
        <v>41838</v>
      </c>
      <c r="Q966" s="15"/>
      <c r="R966" s="26"/>
      <c r="S966" s="26"/>
    </row>
    <row r="967" spans="1:19" x14ac:dyDescent="0.25">
      <c r="A967" s="8" t="s">
        <v>16</v>
      </c>
      <c r="B967" s="8" t="s">
        <v>17</v>
      </c>
      <c r="C967" s="8" t="s">
        <v>18</v>
      </c>
      <c r="D967" s="8">
        <v>2014</v>
      </c>
      <c r="E967" s="9" t="s">
        <v>570</v>
      </c>
      <c r="F967" s="10">
        <v>41838</v>
      </c>
      <c r="G967" s="8"/>
      <c r="H967" s="13" t="s">
        <v>80</v>
      </c>
      <c r="I967" s="12">
        <v>-50</v>
      </c>
      <c r="J967" s="13" t="s">
        <v>21</v>
      </c>
      <c r="K967" s="13" t="s">
        <v>22</v>
      </c>
      <c r="L967" s="13" t="s">
        <v>23</v>
      </c>
      <c r="M967" s="13" t="s">
        <v>28</v>
      </c>
      <c r="N967" s="14"/>
      <c r="O967" s="14">
        <f t="shared" si="32"/>
        <v>-50</v>
      </c>
      <c r="P967" s="15">
        <f t="shared" si="31"/>
        <v>41838</v>
      </c>
      <c r="Q967" s="15"/>
      <c r="R967" s="26"/>
      <c r="S967" s="26"/>
    </row>
    <row r="968" spans="1:19" x14ac:dyDescent="0.25">
      <c r="A968" s="23" t="s">
        <v>16</v>
      </c>
      <c r="B968" s="23" t="s">
        <v>17</v>
      </c>
      <c r="C968" s="23" t="s">
        <v>51</v>
      </c>
      <c r="D968" s="8">
        <v>2014</v>
      </c>
      <c r="E968" s="9" t="s">
        <v>570</v>
      </c>
      <c r="F968" s="10">
        <v>41838</v>
      </c>
      <c r="G968" s="8">
        <v>11821</v>
      </c>
      <c r="H968" s="8" t="s">
        <v>622</v>
      </c>
      <c r="I968" s="12">
        <v>350</v>
      </c>
      <c r="J968" s="13" t="s">
        <v>53</v>
      </c>
      <c r="K968" s="13" t="s">
        <v>54</v>
      </c>
      <c r="L968" s="13"/>
      <c r="M968" s="13"/>
      <c r="N968" s="31"/>
      <c r="O968" s="14">
        <f t="shared" si="32"/>
        <v>350</v>
      </c>
      <c r="P968" s="15">
        <f t="shared" si="31"/>
        <v>41838</v>
      </c>
      <c r="Q968" s="15"/>
      <c r="R968" s="16"/>
      <c r="S968" s="16"/>
    </row>
    <row r="969" spans="1:19" x14ac:dyDescent="0.25">
      <c r="A969" s="23" t="s">
        <v>16</v>
      </c>
      <c r="B969" s="23" t="s">
        <v>17</v>
      </c>
      <c r="C969" s="23" t="s">
        <v>18</v>
      </c>
      <c r="D969" s="8">
        <v>2014</v>
      </c>
      <c r="E969" s="9" t="s">
        <v>570</v>
      </c>
      <c r="F969" s="10">
        <v>41839</v>
      </c>
      <c r="G969" s="23"/>
      <c r="H969" s="13" t="s">
        <v>122</v>
      </c>
      <c r="I969" s="12">
        <v>-4000</v>
      </c>
      <c r="J969" s="13" t="s">
        <v>33</v>
      </c>
      <c r="K969" s="13" t="s">
        <v>123</v>
      </c>
      <c r="L969" s="13" t="s">
        <v>124</v>
      </c>
      <c r="M969" s="25" t="s">
        <v>125</v>
      </c>
      <c r="N969" s="31"/>
      <c r="O969" s="14">
        <f t="shared" si="32"/>
        <v>-4000</v>
      </c>
      <c r="P969" s="15">
        <f t="shared" si="31"/>
        <v>41839</v>
      </c>
      <c r="Q969" s="15"/>
      <c r="R969" s="16"/>
      <c r="S969" s="16"/>
    </row>
    <row r="970" spans="1:19" x14ac:dyDescent="0.25">
      <c r="A970" s="8" t="s">
        <v>16</v>
      </c>
      <c r="B970" s="8" t="s">
        <v>17</v>
      </c>
      <c r="C970" s="36" t="s">
        <v>18</v>
      </c>
      <c r="D970" s="8">
        <v>2014</v>
      </c>
      <c r="E970" s="9" t="s">
        <v>570</v>
      </c>
      <c r="F970" s="10">
        <v>41839</v>
      </c>
      <c r="G970" s="8"/>
      <c r="H970" s="11" t="s">
        <v>148</v>
      </c>
      <c r="I970" s="12">
        <v>-250</v>
      </c>
      <c r="J970" s="13" t="s">
        <v>21</v>
      </c>
      <c r="K970" s="13" t="s">
        <v>22</v>
      </c>
      <c r="L970" s="13" t="s">
        <v>23</v>
      </c>
      <c r="M970" s="13"/>
      <c r="N970" s="14"/>
      <c r="O970" s="14">
        <f t="shared" si="32"/>
        <v>-250</v>
      </c>
      <c r="P970" s="15">
        <f t="shared" si="31"/>
        <v>41839</v>
      </c>
      <c r="Q970" s="15"/>
      <c r="R970" s="16"/>
      <c r="S970" s="16"/>
    </row>
    <row r="971" spans="1:19" x14ac:dyDescent="0.25">
      <c r="A971" s="23" t="s">
        <v>16</v>
      </c>
      <c r="B971" s="66" t="s">
        <v>17</v>
      </c>
      <c r="C971" s="36" t="s">
        <v>51</v>
      </c>
      <c r="D971" s="8">
        <v>2014</v>
      </c>
      <c r="E971" s="9" t="s">
        <v>570</v>
      </c>
      <c r="F971" s="10">
        <v>41839</v>
      </c>
      <c r="G971" s="8">
        <v>11684</v>
      </c>
      <c r="H971" s="11" t="s">
        <v>520</v>
      </c>
      <c r="I971" s="12">
        <v>900</v>
      </c>
      <c r="J971" s="13" t="s">
        <v>53</v>
      </c>
      <c r="K971" s="13" t="s">
        <v>54</v>
      </c>
      <c r="L971" s="13"/>
      <c r="M971" s="13"/>
      <c r="N971" s="14"/>
      <c r="O971" s="14">
        <f t="shared" si="32"/>
        <v>900</v>
      </c>
      <c r="P971" s="15">
        <f t="shared" si="31"/>
        <v>41839</v>
      </c>
      <c r="Q971" s="15">
        <v>450</v>
      </c>
      <c r="R971" s="16"/>
      <c r="S971" s="16"/>
    </row>
    <row r="972" spans="1:19" x14ac:dyDescent="0.25">
      <c r="A972" s="8" t="s">
        <v>16</v>
      </c>
      <c r="B972" s="65" t="s">
        <v>17</v>
      </c>
      <c r="C972" s="23" t="s">
        <v>51</v>
      </c>
      <c r="D972" s="8">
        <v>2014</v>
      </c>
      <c r="E972" s="9" t="s">
        <v>570</v>
      </c>
      <c r="F972" s="10">
        <v>41839</v>
      </c>
      <c r="G972" s="8">
        <v>11845</v>
      </c>
      <c r="H972" s="8" t="s">
        <v>623</v>
      </c>
      <c r="I972" s="12">
        <v>1200</v>
      </c>
      <c r="J972" s="13" t="s">
        <v>53</v>
      </c>
      <c r="K972" s="13" t="s">
        <v>54</v>
      </c>
      <c r="L972" s="13"/>
      <c r="M972" s="13"/>
      <c r="N972" s="31"/>
      <c r="O972" s="14">
        <f t="shared" si="32"/>
        <v>1200</v>
      </c>
      <c r="P972" s="15">
        <f t="shared" si="31"/>
        <v>41839</v>
      </c>
      <c r="Q972" s="56"/>
      <c r="R972" s="16"/>
      <c r="S972" s="16"/>
    </row>
    <row r="973" spans="1:19" x14ac:dyDescent="0.25">
      <c r="A973" s="23" t="s">
        <v>16</v>
      </c>
      <c r="B973" s="23" t="s">
        <v>17</v>
      </c>
      <c r="C973" s="23" t="s">
        <v>51</v>
      </c>
      <c r="D973" s="8">
        <v>2014</v>
      </c>
      <c r="E973" s="9" t="s">
        <v>570</v>
      </c>
      <c r="F973" s="10">
        <v>41839</v>
      </c>
      <c r="G973" s="8">
        <v>11806</v>
      </c>
      <c r="H973" s="8" t="s">
        <v>557</v>
      </c>
      <c r="I973" s="12">
        <v>11000</v>
      </c>
      <c r="J973" s="13" t="s">
        <v>53</v>
      </c>
      <c r="K973" s="13" t="s">
        <v>54</v>
      </c>
      <c r="L973" s="13"/>
      <c r="M973" s="13"/>
      <c r="N973" s="31"/>
      <c r="O973" s="14">
        <f t="shared" si="32"/>
        <v>11000</v>
      </c>
      <c r="P973" s="15">
        <f t="shared" si="31"/>
        <v>41839</v>
      </c>
      <c r="Q973" s="56"/>
      <c r="R973" s="16"/>
      <c r="S973" s="16"/>
    </row>
    <row r="974" spans="1:19" x14ac:dyDescent="0.25">
      <c r="A974" s="23" t="s">
        <v>16</v>
      </c>
      <c r="B974" s="65" t="s">
        <v>17</v>
      </c>
      <c r="C974" s="23" t="s">
        <v>51</v>
      </c>
      <c r="D974" s="8">
        <v>2014</v>
      </c>
      <c r="E974" s="9" t="s">
        <v>570</v>
      </c>
      <c r="F974" s="10">
        <v>41839</v>
      </c>
      <c r="G974" s="8">
        <v>11835</v>
      </c>
      <c r="H974" s="8" t="s">
        <v>607</v>
      </c>
      <c r="I974" s="12">
        <v>3400</v>
      </c>
      <c r="J974" s="13" t="s">
        <v>53</v>
      </c>
      <c r="K974" s="13" t="s">
        <v>54</v>
      </c>
      <c r="L974" s="13"/>
      <c r="M974" s="13"/>
      <c r="N974" s="31"/>
      <c r="O974" s="14">
        <f t="shared" si="32"/>
        <v>3400</v>
      </c>
      <c r="P974" s="15">
        <f t="shared" si="31"/>
        <v>41839</v>
      </c>
      <c r="Q974" s="56"/>
      <c r="R974" s="16"/>
      <c r="S974" s="16"/>
    </row>
    <row r="975" spans="1:19" x14ac:dyDescent="0.25">
      <c r="A975" s="23" t="s">
        <v>16</v>
      </c>
      <c r="B975" s="23" t="s">
        <v>17</v>
      </c>
      <c r="C975" s="23" t="s">
        <v>51</v>
      </c>
      <c r="D975" s="8">
        <v>2014</v>
      </c>
      <c r="E975" s="9" t="s">
        <v>570</v>
      </c>
      <c r="F975" s="10">
        <v>41839</v>
      </c>
      <c r="G975" s="8">
        <v>11777</v>
      </c>
      <c r="H975" s="8" t="s">
        <v>497</v>
      </c>
      <c r="I975" s="12">
        <v>1500</v>
      </c>
      <c r="J975" s="13" t="s">
        <v>53</v>
      </c>
      <c r="K975" s="13" t="s">
        <v>54</v>
      </c>
      <c r="L975" s="13"/>
      <c r="M975" s="13"/>
      <c r="N975" s="31"/>
      <c r="O975" s="14">
        <f t="shared" si="32"/>
        <v>1500</v>
      </c>
      <c r="P975" s="15">
        <f t="shared" si="31"/>
        <v>41839</v>
      </c>
      <c r="Q975" s="56"/>
      <c r="R975" s="16"/>
      <c r="S975" s="16"/>
    </row>
    <row r="976" spans="1:19" x14ac:dyDescent="0.25">
      <c r="A976" s="23" t="s">
        <v>16</v>
      </c>
      <c r="B976" s="65" t="s">
        <v>17</v>
      </c>
      <c r="C976" s="23" t="s">
        <v>51</v>
      </c>
      <c r="D976" s="8">
        <v>2014</v>
      </c>
      <c r="E976" s="9" t="s">
        <v>570</v>
      </c>
      <c r="F976" s="10">
        <v>41839</v>
      </c>
      <c r="G976" s="8">
        <v>11849</v>
      </c>
      <c r="H976" s="8" t="s">
        <v>624</v>
      </c>
      <c r="I976" s="12">
        <v>500</v>
      </c>
      <c r="J976" s="13" t="s">
        <v>53</v>
      </c>
      <c r="K976" s="13" t="s">
        <v>54</v>
      </c>
      <c r="L976" s="13"/>
      <c r="M976" s="13"/>
      <c r="N976" s="31"/>
      <c r="O976" s="14">
        <f t="shared" si="32"/>
        <v>500</v>
      </c>
      <c r="P976" s="15">
        <f t="shared" si="31"/>
        <v>41839</v>
      </c>
      <c r="Q976" s="56"/>
      <c r="R976" s="16"/>
      <c r="S976" s="16"/>
    </row>
    <row r="977" spans="1:19" x14ac:dyDescent="0.25">
      <c r="A977" s="23" t="s">
        <v>16</v>
      </c>
      <c r="B977" s="65" t="s">
        <v>17</v>
      </c>
      <c r="C977" s="23" t="s">
        <v>51</v>
      </c>
      <c r="D977" s="8">
        <v>2014</v>
      </c>
      <c r="E977" s="9" t="s">
        <v>570</v>
      </c>
      <c r="F977" s="10">
        <v>41841</v>
      </c>
      <c r="G977" s="8">
        <v>11851</v>
      </c>
      <c r="H977" s="8" t="s">
        <v>625</v>
      </c>
      <c r="I977" s="12">
        <v>3000</v>
      </c>
      <c r="J977" s="13" t="s">
        <v>53</v>
      </c>
      <c r="K977" s="13" t="s">
        <v>54</v>
      </c>
      <c r="L977" s="13"/>
      <c r="M977" s="13"/>
      <c r="N977" s="31"/>
      <c r="O977" s="14">
        <f t="shared" si="32"/>
        <v>3000</v>
      </c>
      <c r="P977" s="15">
        <f t="shared" si="31"/>
        <v>41841</v>
      </c>
      <c r="Q977" s="56"/>
      <c r="R977" s="16"/>
      <c r="S977" s="16"/>
    </row>
    <row r="978" spans="1:19" x14ac:dyDescent="0.25">
      <c r="A978" s="23" t="s">
        <v>16</v>
      </c>
      <c r="B978" s="65" t="s">
        <v>17</v>
      </c>
      <c r="C978" s="23" t="s">
        <v>51</v>
      </c>
      <c r="D978" s="8">
        <v>2014</v>
      </c>
      <c r="E978" s="9" t="s">
        <v>570</v>
      </c>
      <c r="F978" s="10">
        <v>41841</v>
      </c>
      <c r="G978" s="8">
        <v>11568</v>
      </c>
      <c r="H978" s="11" t="s">
        <v>137</v>
      </c>
      <c r="I978" s="12">
        <v>200</v>
      </c>
      <c r="J978" s="13" t="s">
        <v>53</v>
      </c>
      <c r="K978" s="13" t="s">
        <v>54</v>
      </c>
      <c r="L978" s="13"/>
      <c r="M978" s="13"/>
      <c r="N978" s="31"/>
      <c r="O978" s="14">
        <f t="shared" si="32"/>
        <v>200</v>
      </c>
      <c r="P978" s="15">
        <f t="shared" si="31"/>
        <v>41841</v>
      </c>
      <c r="Q978" s="56"/>
      <c r="R978" s="11"/>
      <c r="S978" s="11"/>
    </row>
    <row r="979" spans="1:19" x14ac:dyDescent="0.25">
      <c r="A979" s="23" t="s">
        <v>16</v>
      </c>
      <c r="B979" s="23" t="s">
        <v>17</v>
      </c>
      <c r="C979" s="23" t="s">
        <v>18</v>
      </c>
      <c r="D979" s="8">
        <v>2014</v>
      </c>
      <c r="E979" s="9" t="s">
        <v>570</v>
      </c>
      <c r="F979" s="10">
        <v>41841</v>
      </c>
      <c r="G979" s="8"/>
      <c r="H979" s="11" t="s">
        <v>399</v>
      </c>
      <c r="I979" s="12">
        <f>-80-95-90</f>
        <v>-265</v>
      </c>
      <c r="J979" s="13" t="s">
        <v>21</v>
      </c>
      <c r="K979" s="13" t="s">
        <v>56</v>
      </c>
      <c r="L979" s="13" t="s">
        <v>111</v>
      </c>
      <c r="M979" s="13" t="s">
        <v>28</v>
      </c>
      <c r="N979" s="31"/>
      <c r="O979" s="14">
        <f t="shared" si="32"/>
        <v>-265</v>
      </c>
      <c r="P979" s="15">
        <f t="shared" si="31"/>
        <v>41841</v>
      </c>
      <c r="Q979" s="15"/>
      <c r="R979" s="16"/>
      <c r="S979" s="16"/>
    </row>
    <row r="980" spans="1:19" x14ac:dyDescent="0.25">
      <c r="A980" s="8" t="s">
        <v>16</v>
      </c>
      <c r="B980" s="8" t="s">
        <v>17</v>
      </c>
      <c r="C980" s="8" t="s">
        <v>18</v>
      </c>
      <c r="D980" s="8">
        <v>2014</v>
      </c>
      <c r="E980" s="9" t="s">
        <v>570</v>
      </c>
      <c r="F980" s="10">
        <v>41841</v>
      </c>
      <c r="G980" s="23"/>
      <c r="H980" s="11" t="s">
        <v>595</v>
      </c>
      <c r="I980" s="12">
        <v>-400</v>
      </c>
      <c r="J980" s="54" t="s">
        <v>21</v>
      </c>
      <c r="K980" s="54" t="s">
        <v>56</v>
      </c>
      <c r="L980" s="54" t="s">
        <v>57</v>
      </c>
      <c r="M980" s="13" t="s">
        <v>386</v>
      </c>
      <c r="N980" s="14"/>
      <c r="O980" s="14">
        <f t="shared" si="32"/>
        <v>-400</v>
      </c>
      <c r="P980" s="15">
        <f t="shared" si="31"/>
        <v>41841</v>
      </c>
      <c r="Q980" s="15"/>
      <c r="R980" s="16"/>
      <c r="S980" s="16"/>
    </row>
    <row r="981" spans="1:19" x14ac:dyDescent="0.25">
      <c r="A981" s="8" t="s">
        <v>16</v>
      </c>
      <c r="B981" s="8" t="s">
        <v>17</v>
      </c>
      <c r="C981" s="8" t="s">
        <v>18</v>
      </c>
      <c r="D981" s="8">
        <v>2014</v>
      </c>
      <c r="E981" s="9" t="s">
        <v>570</v>
      </c>
      <c r="F981" s="10">
        <v>41841</v>
      </c>
      <c r="G981" s="23"/>
      <c r="H981" s="11" t="s">
        <v>269</v>
      </c>
      <c r="I981" s="12">
        <v>-600</v>
      </c>
      <c r="J981" s="54" t="s">
        <v>21</v>
      </c>
      <c r="K981" s="70" t="s">
        <v>56</v>
      </c>
      <c r="L981" s="54" t="s">
        <v>57</v>
      </c>
      <c r="M981" s="13" t="s">
        <v>386</v>
      </c>
      <c r="N981" s="14"/>
      <c r="O981" s="14">
        <f t="shared" si="32"/>
        <v>-600</v>
      </c>
      <c r="P981" s="15">
        <f t="shared" si="31"/>
        <v>41841</v>
      </c>
      <c r="Q981" s="15"/>
      <c r="R981" s="16"/>
      <c r="S981" s="16"/>
    </row>
    <row r="982" spans="1:19" x14ac:dyDescent="0.25">
      <c r="A982" s="23" t="s">
        <v>16</v>
      </c>
      <c r="B982" s="23" t="s">
        <v>17</v>
      </c>
      <c r="C982" s="23" t="s">
        <v>18</v>
      </c>
      <c r="D982" s="8">
        <v>2014</v>
      </c>
      <c r="E982" s="9" t="s">
        <v>570</v>
      </c>
      <c r="F982" s="10">
        <v>41842</v>
      </c>
      <c r="G982" s="8" t="s">
        <v>357</v>
      </c>
      <c r="H982" s="11" t="s">
        <v>406</v>
      </c>
      <c r="I982" s="12">
        <v>-120</v>
      </c>
      <c r="J982" s="13" t="s">
        <v>21</v>
      </c>
      <c r="K982" s="13" t="s">
        <v>143</v>
      </c>
      <c r="L982" s="13" t="s">
        <v>173</v>
      </c>
      <c r="M982" s="13"/>
      <c r="N982" s="14"/>
      <c r="O982" s="14">
        <f t="shared" si="32"/>
        <v>-120</v>
      </c>
      <c r="P982" s="15">
        <f t="shared" ref="P982:P1045" si="33">F982</f>
        <v>41842</v>
      </c>
      <c r="Q982" s="56"/>
      <c r="R982" s="11"/>
      <c r="S982" s="11"/>
    </row>
    <row r="983" spans="1:19" x14ac:dyDescent="0.25">
      <c r="A983" s="8" t="s">
        <v>16</v>
      </c>
      <c r="B983" s="8" t="s">
        <v>17</v>
      </c>
      <c r="C983" s="8" t="s">
        <v>18</v>
      </c>
      <c r="D983" s="8">
        <v>2014</v>
      </c>
      <c r="E983" s="9" t="s">
        <v>570</v>
      </c>
      <c r="F983" s="10">
        <v>41842</v>
      </c>
      <c r="G983" s="8"/>
      <c r="H983" s="17" t="s">
        <v>626</v>
      </c>
      <c r="I983" s="12">
        <v>-70</v>
      </c>
      <c r="J983" s="13" t="s">
        <v>21</v>
      </c>
      <c r="K983" s="13" t="s">
        <v>25</v>
      </c>
      <c r="L983" s="13" t="s">
        <v>26</v>
      </c>
      <c r="M983" s="13"/>
      <c r="N983" s="14"/>
      <c r="O983" s="14">
        <f t="shared" si="32"/>
        <v>-70</v>
      </c>
      <c r="P983" s="15">
        <f t="shared" si="33"/>
        <v>41842</v>
      </c>
      <c r="Q983" s="56"/>
      <c r="R983" s="11"/>
      <c r="S983" s="11"/>
    </row>
    <row r="984" spans="1:19" x14ac:dyDescent="0.25">
      <c r="A984" s="23" t="s">
        <v>16</v>
      </c>
      <c r="B984" s="23" t="s">
        <v>17</v>
      </c>
      <c r="C984" s="23" t="s">
        <v>18</v>
      </c>
      <c r="D984" s="8">
        <v>2014</v>
      </c>
      <c r="E984" s="9" t="s">
        <v>570</v>
      </c>
      <c r="F984" s="10">
        <v>41842</v>
      </c>
      <c r="G984" s="23"/>
      <c r="H984" s="13" t="s">
        <v>627</v>
      </c>
      <c r="I984" s="12">
        <v>-44</v>
      </c>
      <c r="J984" s="13" t="s">
        <v>21</v>
      </c>
      <c r="K984" s="13" t="s">
        <v>22</v>
      </c>
      <c r="L984" s="13" t="s">
        <v>71</v>
      </c>
      <c r="M984" s="13"/>
      <c r="N984" s="14"/>
      <c r="O984" s="14">
        <f t="shared" si="32"/>
        <v>-44</v>
      </c>
      <c r="P984" s="15">
        <f t="shared" si="33"/>
        <v>41842</v>
      </c>
      <c r="Q984" s="56"/>
      <c r="R984" s="11"/>
      <c r="S984" s="11"/>
    </row>
    <row r="985" spans="1:19" x14ac:dyDescent="0.25">
      <c r="A985" s="8" t="s">
        <v>16</v>
      </c>
      <c r="B985" s="8" t="s">
        <v>17</v>
      </c>
      <c r="C985" s="8" t="s">
        <v>46</v>
      </c>
      <c r="D985" s="8">
        <v>2014</v>
      </c>
      <c r="E985" s="9" t="s">
        <v>570</v>
      </c>
      <c r="F985" s="10">
        <v>41842</v>
      </c>
      <c r="G985" s="8"/>
      <c r="H985" s="17" t="s">
        <v>87</v>
      </c>
      <c r="I985" s="12">
        <v>-30000</v>
      </c>
      <c r="J985" s="13" t="s">
        <v>68</v>
      </c>
      <c r="K985" s="13"/>
      <c r="L985" s="13"/>
      <c r="M985" s="13"/>
      <c r="N985" s="14"/>
      <c r="O985" s="14">
        <f t="shared" si="32"/>
        <v>-30000</v>
      </c>
      <c r="P985" s="15">
        <f t="shared" si="33"/>
        <v>41842</v>
      </c>
      <c r="Q985" s="56"/>
      <c r="R985" s="11"/>
      <c r="S985" s="11"/>
    </row>
    <row r="986" spans="1:19" x14ac:dyDescent="0.25">
      <c r="A986" s="8" t="s">
        <v>16</v>
      </c>
      <c r="B986" s="8" t="s">
        <v>45</v>
      </c>
      <c r="C986" s="8" t="s">
        <v>18</v>
      </c>
      <c r="D986" s="8">
        <v>2014</v>
      </c>
      <c r="E986" s="9" t="s">
        <v>570</v>
      </c>
      <c r="F986" s="10">
        <v>41842</v>
      </c>
      <c r="G986" s="23"/>
      <c r="H986" s="11" t="s">
        <v>628</v>
      </c>
      <c r="I986" s="12">
        <v>-1150</v>
      </c>
      <c r="J986" s="13" t="s">
        <v>21</v>
      </c>
      <c r="K986" s="13" t="s">
        <v>629</v>
      </c>
      <c r="L986" s="13" t="s">
        <v>630</v>
      </c>
      <c r="M986" s="13"/>
      <c r="N986" s="14">
        <v>11.5</v>
      </c>
      <c r="O986" s="14">
        <f t="shared" si="32"/>
        <v>-100</v>
      </c>
      <c r="P986" s="15">
        <f t="shared" si="33"/>
        <v>41842</v>
      </c>
      <c r="Q986" s="15"/>
      <c r="R986" s="35"/>
      <c r="S986" s="24"/>
    </row>
    <row r="987" spans="1:19" x14ac:dyDescent="0.25">
      <c r="A987" s="8" t="s">
        <v>16</v>
      </c>
      <c r="B987" s="8" t="s">
        <v>17</v>
      </c>
      <c r="C987" s="8" t="s">
        <v>18</v>
      </c>
      <c r="D987" s="8">
        <v>2014</v>
      </c>
      <c r="E987" s="9" t="s">
        <v>570</v>
      </c>
      <c r="F987" s="10">
        <v>41842</v>
      </c>
      <c r="G987" s="8"/>
      <c r="H987" s="11" t="s">
        <v>628</v>
      </c>
      <c r="I987" s="12">
        <v>1220</v>
      </c>
      <c r="J987" s="13" t="s">
        <v>21</v>
      </c>
      <c r="K987" s="13" t="s">
        <v>629</v>
      </c>
      <c r="L987" s="13" t="s">
        <v>630</v>
      </c>
      <c r="M987" s="13"/>
      <c r="N987" s="14">
        <v>12.2</v>
      </c>
      <c r="O987" s="14">
        <f t="shared" si="32"/>
        <v>1220</v>
      </c>
      <c r="P987" s="15">
        <f t="shared" si="33"/>
        <v>41842</v>
      </c>
      <c r="Q987" s="15"/>
      <c r="R987" s="35"/>
      <c r="S987" s="16"/>
    </row>
    <row r="988" spans="1:19" x14ac:dyDescent="0.25">
      <c r="A988" s="8" t="s">
        <v>16</v>
      </c>
      <c r="B988" s="8" t="s">
        <v>17</v>
      </c>
      <c r="C988" s="8" t="s">
        <v>18</v>
      </c>
      <c r="D988" s="8">
        <v>2014</v>
      </c>
      <c r="E988" s="9" t="s">
        <v>570</v>
      </c>
      <c r="F988" s="10">
        <v>41842</v>
      </c>
      <c r="G988" s="8"/>
      <c r="H988" s="11" t="s">
        <v>530</v>
      </c>
      <c r="I988" s="12">
        <v>-2000</v>
      </c>
      <c r="J988" s="13" t="s">
        <v>21</v>
      </c>
      <c r="K988" s="13" t="s">
        <v>143</v>
      </c>
      <c r="L988" s="13" t="s">
        <v>193</v>
      </c>
      <c r="M988" s="13" t="s">
        <v>194</v>
      </c>
      <c r="N988" s="31"/>
      <c r="O988" s="14">
        <f t="shared" si="32"/>
        <v>-2000</v>
      </c>
      <c r="P988" s="15">
        <f t="shared" si="33"/>
        <v>41842</v>
      </c>
      <c r="Q988" s="15"/>
      <c r="R988" s="16"/>
      <c r="S988" s="16"/>
    </row>
    <row r="989" spans="1:19" x14ac:dyDescent="0.25">
      <c r="A989" s="23" t="s">
        <v>16</v>
      </c>
      <c r="B989" s="65" t="s">
        <v>17</v>
      </c>
      <c r="C989" s="23" t="s">
        <v>51</v>
      </c>
      <c r="D989" s="8">
        <v>2014</v>
      </c>
      <c r="E989" s="9" t="s">
        <v>570</v>
      </c>
      <c r="F989" s="10">
        <v>41842</v>
      </c>
      <c r="G989" s="8">
        <v>11853</v>
      </c>
      <c r="H989" s="11" t="s">
        <v>631</v>
      </c>
      <c r="I989" s="12">
        <v>900</v>
      </c>
      <c r="J989" s="13" t="s">
        <v>53</v>
      </c>
      <c r="K989" s="13" t="s">
        <v>54</v>
      </c>
      <c r="L989" s="13"/>
      <c r="M989" s="13"/>
      <c r="N989" s="31"/>
      <c r="O989" s="14">
        <f t="shared" si="32"/>
        <v>900</v>
      </c>
      <c r="P989" s="15">
        <f t="shared" si="33"/>
        <v>41842</v>
      </c>
      <c r="Q989" s="56"/>
      <c r="R989" s="11"/>
      <c r="S989" s="11"/>
    </row>
    <row r="990" spans="1:19" x14ac:dyDescent="0.25">
      <c r="A990" s="23" t="s">
        <v>16</v>
      </c>
      <c r="B990" s="65" t="s">
        <v>17</v>
      </c>
      <c r="C990" s="23" t="s">
        <v>51</v>
      </c>
      <c r="D990" s="8">
        <v>2014</v>
      </c>
      <c r="E990" s="9" t="s">
        <v>570</v>
      </c>
      <c r="F990" s="10">
        <v>41842</v>
      </c>
      <c r="G990" s="8">
        <v>11600</v>
      </c>
      <c r="H990" s="11" t="s">
        <v>632</v>
      </c>
      <c r="I990" s="12">
        <v>2000</v>
      </c>
      <c r="J990" s="13" t="s">
        <v>53</v>
      </c>
      <c r="K990" s="13" t="s">
        <v>54</v>
      </c>
      <c r="L990" s="13"/>
      <c r="M990" s="13"/>
      <c r="N990" s="31"/>
      <c r="O990" s="14">
        <f t="shared" si="32"/>
        <v>2000</v>
      </c>
      <c r="P990" s="15">
        <f t="shared" si="33"/>
        <v>41842</v>
      </c>
      <c r="Q990" s="56"/>
      <c r="R990" s="11"/>
      <c r="S990" s="11"/>
    </row>
    <row r="991" spans="1:19" x14ac:dyDescent="0.25">
      <c r="A991" s="23" t="s">
        <v>16</v>
      </c>
      <c r="B991" s="65" t="s">
        <v>17</v>
      </c>
      <c r="C991" s="23" t="s">
        <v>51</v>
      </c>
      <c r="D991" s="8">
        <v>2014</v>
      </c>
      <c r="E991" s="9" t="s">
        <v>570</v>
      </c>
      <c r="F991" s="10">
        <v>41842</v>
      </c>
      <c r="G991" s="8">
        <v>11786</v>
      </c>
      <c r="H991" s="11" t="s">
        <v>633</v>
      </c>
      <c r="I991" s="12">
        <v>1200</v>
      </c>
      <c r="J991" s="13" t="s">
        <v>53</v>
      </c>
      <c r="K991" s="13" t="s">
        <v>54</v>
      </c>
      <c r="L991" s="13"/>
      <c r="M991" s="13"/>
      <c r="N991" s="31"/>
      <c r="O991" s="14">
        <f t="shared" si="32"/>
        <v>1200</v>
      </c>
      <c r="P991" s="15">
        <f t="shared" si="33"/>
        <v>41842</v>
      </c>
      <c r="Q991" s="56"/>
      <c r="R991" s="11"/>
      <c r="S991" s="11"/>
    </row>
    <row r="992" spans="1:19" x14ac:dyDescent="0.25">
      <c r="A992" s="23" t="s">
        <v>16</v>
      </c>
      <c r="B992" s="65" t="s">
        <v>17</v>
      </c>
      <c r="C992" s="23" t="s">
        <v>51</v>
      </c>
      <c r="D992" s="8">
        <v>2014</v>
      </c>
      <c r="E992" s="9" t="s">
        <v>570</v>
      </c>
      <c r="F992" s="10">
        <v>41842</v>
      </c>
      <c r="G992" s="8">
        <v>11854</v>
      </c>
      <c r="H992" s="11" t="s">
        <v>634</v>
      </c>
      <c r="I992" s="12">
        <v>2000</v>
      </c>
      <c r="J992" s="13" t="s">
        <v>53</v>
      </c>
      <c r="K992" s="13" t="s">
        <v>54</v>
      </c>
      <c r="L992" s="13"/>
      <c r="M992" s="13"/>
      <c r="N992" s="31"/>
      <c r="O992" s="14">
        <f t="shared" si="32"/>
        <v>2000</v>
      </c>
      <c r="P992" s="15">
        <f t="shared" si="33"/>
        <v>41842</v>
      </c>
      <c r="Q992" s="56"/>
      <c r="R992" s="11"/>
      <c r="S992" s="11"/>
    </row>
    <row r="993" spans="1:19" x14ac:dyDescent="0.25">
      <c r="A993" s="23" t="s">
        <v>16</v>
      </c>
      <c r="B993" s="23" t="s">
        <v>17</v>
      </c>
      <c r="C993" s="36" t="s">
        <v>46</v>
      </c>
      <c r="D993" s="8">
        <v>2014</v>
      </c>
      <c r="E993" s="9" t="s">
        <v>570</v>
      </c>
      <c r="F993" s="10">
        <v>41842</v>
      </c>
      <c r="G993" s="23"/>
      <c r="H993" s="17" t="s">
        <v>635</v>
      </c>
      <c r="I993" s="12">
        <v>-2625</v>
      </c>
      <c r="J993" s="13" t="s">
        <v>48</v>
      </c>
      <c r="K993" s="13" t="s">
        <v>326</v>
      </c>
      <c r="L993" s="13"/>
      <c r="M993" s="13" t="s">
        <v>226</v>
      </c>
      <c r="N993" s="14"/>
      <c r="O993" s="14">
        <f t="shared" si="32"/>
        <v>-2625</v>
      </c>
      <c r="P993" s="15">
        <f t="shared" si="33"/>
        <v>41842</v>
      </c>
      <c r="Q993" s="15"/>
      <c r="R993" s="16"/>
      <c r="S993" s="16"/>
    </row>
    <row r="994" spans="1:19" x14ac:dyDescent="0.25">
      <c r="A994" s="23" t="s">
        <v>16</v>
      </c>
      <c r="B994" s="23" t="s">
        <v>17</v>
      </c>
      <c r="C994" s="36" t="s">
        <v>46</v>
      </c>
      <c r="D994" s="8">
        <v>2014</v>
      </c>
      <c r="E994" s="9" t="s">
        <v>570</v>
      </c>
      <c r="F994" s="10">
        <v>41842</v>
      </c>
      <c r="G994" s="23"/>
      <c r="H994" s="17" t="s">
        <v>636</v>
      </c>
      <c r="I994" s="12">
        <v>-400</v>
      </c>
      <c r="J994" s="13" t="s">
        <v>48</v>
      </c>
      <c r="K994" s="13" t="s">
        <v>326</v>
      </c>
      <c r="L994" s="13"/>
      <c r="M994" s="13" t="s">
        <v>226</v>
      </c>
      <c r="N994" s="14"/>
      <c r="O994" s="14">
        <f t="shared" si="32"/>
        <v>-400</v>
      </c>
      <c r="P994" s="15">
        <f t="shared" si="33"/>
        <v>41842</v>
      </c>
      <c r="Q994" s="15"/>
      <c r="R994" s="16"/>
      <c r="S994" s="16"/>
    </row>
    <row r="995" spans="1:19" x14ac:dyDescent="0.25">
      <c r="A995" s="23" t="s">
        <v>16</v>
      </c>
      <c r="B995" s="23" t="s">
        <v>17</v>
      </c>
      <c r="C995" s="23" t="s">
        <v>18</v>
      </c>
      <c r="D995" s="8">
        <v>2014</v>
      </c>
      <c r="E995" s="9" t="s">
        <v>570</v>
      </c>
      <c r="F995" s="10">
        <v>41842</v>
      </c>
      <c r="G995" s="8"/>
      <c r="H995" s="11" t="s">
        <v>637</v>
      </c>
      <c r="I995" s="12">
        <v>-800</v>
      </c>
      <c r="J995" s="13" t="s">
        <v>169</v>
      </c>
      <c r="K995" s="13" t="s">
        <v>170</v>
      </c>
      <c r="L995" s="13" t="s">
        <v>171</v>
      </c>
      <c r="M995" s="13"/>
      <c r="N995" s="14"/>
      <c r="O995" s="14">
        <f t="shared" si="32"/>
        <v>-800</v>
      </c>
      <c r="P995" s="15">
        <f t="shared" si="33"/>
        <v>41842</v>
      </c>
      <c r="Q995" s="15"/>
      <c r="R995" s="16"/>
      <c r="S995" s="16"/>
    </row>
    <row r="996" spans="1:19" x14ac:dyDescent="0.25">
      <c r="A996" s="23" t="s">
        <v>16</v>
      </c>
      <c r="B996" s="23" t="s">
        <v>17</v>
      </c>
      <c r="C996" s="23" t="s">
        <v>18</v>
      </c>
      <c r="D996" s="8">
        <v>2014</v>
      </c>
      <c r="E996" s="9" t="s">
        <v>570</v>
      </c>
      <c r="F996" s="10">
        <v>41842</v>
      </c>
      <c r="G996" s="8"/>
      <c r="H996" s="11" t="s">
        <v>340</v>
      </c>
      <c r="I996" s="12">
        <v>-1308</v>
      </c>
      <c r="J996" s="13" t="s">
        <v>21</v>
      </c>
      <c r="K996" s="13" t="s">
        <v>56</v>
      </c>
      <c r="L996" s="13" t="s">
        <v>57</v>
      </c>
      <c r="M996" s="13"/>
      <c r="N996" s="14"/>
      <c r="O996" s="14">
        <f t="shared" si="32"/>
        <v>-1308</v>
      </c>
      <c r="P996" s="15">
        <f t="shared" si="33"/>
        <v>41842</v>
      </c>
      <c r="Q996" s="15"/>
      <c r="R996" s="16"/>
      <c r="S996" s="16"/>
    </row>
    <row r="997" spans="1:19" x14ac:dyDescent="0.25">
      <c r="A997" s="8" t="s">
        <v>16</v>
      </c>
      <c r="B997" s="8" t="s">
        <v>17</v>
      </c>
      <c r="C997" s="8" t="s">
        <v>18</v>
      </c>
      <c r="D997" s="8">
        <v>2014</v>
      </c>
      <c r="E997" s="9" t="s">
        <v>570</v>
      </c>
      <c r="F997" s="10">
        <v>41842</v>
      </c>
      <c r="G997" s="23"/>
      <c r="H997" s="11" t="s">
        <v>595</v>
      </c>
      <c r="I997" s="12">
        <v>-1300</v>
      </c>
      <c r="J997" s="54" t="s">
        <v>21</v>
      </c>
      <c r="K997" s="54" t="s">
        <v>56</v>
      </c>
      <c r="L997" s="54" t="s">
        <v>57</v>
      </c>
      <c r="M997" s="13" t="s">
        <v>386</v>
      </c>
      <c r="N997" s="14"/>
      <c r="O997" s="14">
        <f t="shared" si="32"/>
        <v>-1300</v>
      </c>
      <c r="P997" s="15">
        <f t="shared" si="33"/>
        <v>41842</v>
      </c>
      <c r="Q997" s="15"/>
      <c r="R997" s="16"/>
      <c r="S997" s="16"/>
    </row>
    <row r="998" spans="1:19" x14ac:dyDescent="0.25">
      <c r="A998" s="23" t="s">
        <v>16</v>
      </c>
      <c r="B998" s="65" t="s">
        <v>17</v>
      </c>
      <c r="C998" s="23" t="s">
        <v>51</v>
      </c>
      <c r="D998" s="8">
        <v>2014</v>
      </c>
      <c r="E998" s="9" t="s">
        <v>570</v>
      </c>
      <c r="F998" s="10">
        <v>41478</v>
      </c>
      <c r="G998" s="8">
        <v>11855</v>
      </c>
      <c r="H998" s="11" t="s">
        <v>638</v>
      </c>
      <c r="I998" s="12">
        <v>500</v>
      </c>
      <c r="J998" s="13" t="s">
        <v>53</v>
      </c>
      <c r="K998" s="13" t="s">
        <v>54</v>
      </c>
      <c r="L998" s="13"/>
      <c r="M998" s="13"/>
      <c r="N998" s="31"/>
      <c r="O998" s="14">
        <f t="shared" si="32"/>
        <v>500</v>
      </c>
      <c r="P998" s="15">
        <f t="shared" si="33"/>
        <v>41478</v>
      </c>
      <c r="Q998" s="56"/>
      <c r="R998" s="11"/>
      <c r="S998" s="11"/>
    </row>
    <row r="999" spans="1:19" x14ac:dyDescent="0.25">
      <c r="A999" s="23" t="s">
        <v>16</v>
      </c>
      <c r="B999" s="65" t="s">
        <v>17</v>
      </c>
      <c r="C999" s="23" t="s">
        <v>51</v>
      </c>
      <c r="D999" s="8">
        <v>2014</v>
      </c>
      <c r="E999" s="9" t="s">
        <v>570</v>
      </c>
      <c r="F999" s="10">
        <v>41843</v>
      </c>
      <c r="G999" s="8">
        <v>11856</v>
      </c>
      <c r="H999" s="11" t="s">
        <v>639</v>
      </c>
      <c r="I999" s="12">
        <v>7000</v>
      </c>
      <c r="J999" s="13" t="s">
        <v>53</v>
      </c>
      <c r="K999" s="13" t="s">
        <v>54</v>
      </c>
      <c r="L999" s="13"/>
      <c r="M999" s="13"/>
      <c r="N999" s="31"/>
      <c r="O999" s="14">
        <f t="shared" si="32"/>
        <v>7000</v>
      </c>
      <c r="P999" s="15">
        <f t="shared" si="33"/>
        <v>41843</v>
      </c>
      <c r="Q999" s="56"/>
      <c r="R999" s="11"/>
      <c r="S999" s="11"/>
    </row>
    <row r="1000" spans="1:19" x14ac:dyDescent="0.25">
      <c r="A1000" s="23" t="s">
        <v>16</v>
      </c>
      <c r="B1000" s="65" t="s">
        <v>17</v>
      </c>
      <c r="C1000" s="23" t="s">
        <v>51</v>
      </c>
      <c r="D1000" s="8">
        <v>2014</v>
      </c>
      <c r="E1000" s="9" t="s">
        <v>570</v>
      </c>
      <c r="F1000" s="10">
        <v>41843</v>
      </c>
      <c r="G1000" s="8">
        <v>11855</v>
      </c>
      <c r="H1000" s="11" t="s">
        <v>638</v>
      </c>
      <c r="I1000" s="12">
        <v>11000</v>
      </c>
      <c r="J1000" s="13" t="s">
        <v>53</v>
      </c>
      <c r="K1000" s="13" t="s">
        <v>54</v>
      </c>
      <c r="L1000" s="13"/>
      <c r="M1000" s="13"/>
      <c r="N1000" s="31"/>
      <c r="O1000" s="14">
        <f t="shared" si="32"/>
        <v>11000</v>
      </c>
      <c r="P1000" s="15">
        <f t="shared" si="33"/>
        <v>41843</v>
      </c>
      <c r="Q1000" s="56"/>
      <c r="R1000" s="11"/>
      <c r="S1000" s="11"/>
    </row>
    <row r="1001" spans="1:19" x14ac:dyDescent="0.25">
      <c r="A1001" s="8" t="s">
        <v>16</v>
      </c>
      <c r="B1001" s="8" t="s">
        <v>17</v>
      </c>
      <c r="C1001" s="8" t="s">
        <v>18</v>
      </c>
      <c r="D1001" s="8">
        <v>2014</v>
      </c>
      <c r="E1001" s="9" t="s">
        <v>570</v>
      </c>
      <c r="F1001" s="10">
        <v>41843</v>
      </c>
      <c r="G1001" s="23"/>
      <c r="H1001" s="11" t="s">
        <v>595</v>
      </c>
      <c r="I1001" s="12">
        <v>-800</v>
      </c>
      <c r="J1001" s="54" t="s">
        <v>21</v>
      </c>
      <c r="K1001" s="54" t="s">
        <v>56</v>
      </c>
      <c r="L1001" s="54" t="s">
        <v>57</v>
      </c>
      <c r="M1001" s="13" t="s">
        <v>386</v>
      </c>
      <c r="N1001" s="14"/>
      <c r="O1001" s="14">
        <f t="shared" si="32"/>
        <v>-800</v>
      </c>
      <c r="P1001" s="15">
        <f t="shared" si="33"/>
        <v>41843</v>
      </c>
      <c r="Q1001" s="15"/>
      <c r="R1001" s="16"/>
      <c r="S1001" s="16"/>
    </row>
    <row r="1002" spans="1:19" x14ac:dyDescent="0.25">
      <c r="A1002" s="8" t="s">
        <v>16</v>
      </c>
      <c r="B1002" s="8" t="s">
        <v>17</v>
      </c>
      <c r="C1002" s="8" t="s">
        <v>18</v>
      </c>
      <c r="D1002" s="8">
        <v>2014</v>
      </c>
      <c r="E1002" s="9" t="s">
        <v>570</v>
      </c>
      <c r="F1002" s="10">
        <v>41843</v>
      </c>
      <c r="G1002" s="23"/>
      <c r="H1002" s="11" t="s">
        <v>269</v>
      </c>
      <c r="I1002" s="12">
        <v>-850</v>
      </c>
      <c r="J1002" s="54" t="s">
        <v>21</v>
      </c>
      <c r="K1002" s="70" t="s">
        <v>56</v>
      </c>
      <c r="L1002" s="54" t="s">
        <v>57</v>
      </c>
      <c r="M1002" s="13" t="s">
        <v>386</v>
      </c>
      <c r="N1002" s="14"/>
      <c r="O1002" s="14">
        <f t="shared" si="32"/>
        <v>-850</v>
      </c>
      <c r="P1002" s="15">
        <f t="shared" si="33"/>
        <v>41843</v>
      </c>
      <c r="Q1002" s="15"/>
      <c r="R1002" s="16"/>
      <c r="S1002" s="16"/>
    </row>
    <row r="1003" spans="1:19" x14ac:dyDescent="0.25">
      <c r="A1003" s="23" t="s">
        <v>16</v>
      </c>
      <c r="B1003" s="65" t="s">
        <v>17</v>
      </c>
      <c r="C1003" s="23" t="s">
        <v>51</v>
      </c>
      <c r="D1003" s="8">
        <v>2014</v>
      </c>
      <c r="E1003" s="9" t="s">
        <v>570</v>
      </c>
      <c r="F1003" s="10">
        <v>41844</v>
      </c>
      <c r="G1003" s="8">
        <v>11857</v>
      </c>
      <c r="H1003" s="11" t="s">
        <v>640</v>
      </c>
      <c r="I1003" s="12">
        <v>500</v>
      </c>
      <c r="J1003" s="13" t="s">
        <v>53</v>
      </c>
      <c r="K1003" s="13" t="s">
        <v>54</v>
      </c>
      <c r="L1003" s="13"/>
      <c r="M1003" s="13"/>
      <c r="N1003" s="31"/>
      <c r="O1003" s="14">
        <f t="shared" si="32"/>
        <v>500</v>
      </c>
      <c r="P1003" s="15">
        <f t="shared" si="33"/>
        <v>41844</v>
      </c>
      <c r="Q1003" s="56"/>
      <c r="R1003" s="11"/>
      <c r="S1003" s="11"/>
    </row>
    <row r="1004" spans="1:19" x14ac:dyDescent="0.25">
      <c r="A1004" s="23" t="s">
        <v>16</v>
      </c>
      <c r="B1004" s="65" t="s">
        <v>17</v>
      </c>
      <c r="C1004" s="23" t="s">
        <v>51</v>
      </c>
      <c r="D1004" s="8">
        <v>2014</v>
      </c>
      <c r="E1004" s="9" t="s">
        <v>570</v>
      </c>
      <c r="F1004" s="10">
        <v>41844</v>
      </c>
      <c r="G1004" s="8">
        <v>11809</v>
      </c>
      <c r="H1004" s="11" t="s">
        <v>598</v>
      </c>
      <c r="I1004" s="12">
        <v>10400</v>
      </c>
      <c r="J1004" s="13" t="s">
        <v>53</v>
      </c>
      <c r="K1004" s="13" t="s">
        <v>54</v>
      </c>
      <c r="L1004" s="13"/>
      <c r="M1004" s="13"/>
      <c r="N1004" s="31"/>
      <c r="O1004" s="14">
        <f t="shared" si="32"/>
        <v>10400</v>
      </c>
      <c r="P1004" s="15">
        <f t="shared" si="33"/>
        <v>41844</v>
      </c>
      <c r="Q1004" s="56"/>
      <c r="R1004" s="11"/>
      <c r="S1004" s="11"/>
    </row>
    <row r="1005" spans="1:19" x14ac:dyDescent="0.25">
      <c r="A1005" s="8" t="s">
        <v>16</v>
      </c>
      <c r="B1005" s="8" t="s">
        <v>17</v>
      </c>
      <c r="C1005" s="8" t="s">
        <v>18</v>
      </c>
      <c r="D1005" s="8">
        <v>2014</v>
      </c>
      <c r="E1005" s="9" t="s">
        <v>570</v>
      </c>
      <c r="F1005" s="10">
        <v>41844</v>
      </c>
      <c r="G1005" s="23"/>
      <c r="H1005" s="13" t="s">
        <v>641</v>
      </c>
      <c r="I1005" s="12">
        <v>-3000</v>
      </c>
      <c r="J1005" s="13" t="s">
        <v>33</v>
      </c>
      <c r="K1005" s="13" t="s">
        <v>317</v>
      </c>
      <c r="L1005" s="13" t="s">
        <v>318</v>
      </c>
      <c r="M1005" s="13"/>
      <c r="N1005" s="14"/>
      <c r="O1005" s="14">
        <f t="shared" si="32"/>
        <v>-3000</v>
      </c>
      <c r="P1005" s="15">
        <f t="shared" si="33"/>
        <v>41844</v>
      </c>
      <c r="Q1005" s="15"/>
      <c r="R1005" s="16"/>
      <c r="S1005" s="16"/>
    </row>
    <row r="1006" spans="1:19" x14ac:dyDescent="0.25">
      <c r="A1006" s="23" t="s">
        <v>16</v>
      </c>
      <c r="B1006" s="23" t="s">
        <v>17</v>
      </c>
      <c r="C1006" s="23" t="s">
        <v>18</v>
      </c>
      <c r="D1006" s="8">
        <v>2014</v>
      </c>
      <c r="E1006" s="9" t="s">
        <v>570</v>
      </c>
      <c r="F1006" s="10">
        <v>41844</v>
      </c>
      <c r="G1006" s="8"/>
      <c r="H1006" s="11" t="s">
        <v>168</v>
      </c>
      <c r="I1006" s="12">
        <v>-3000</v>
      </c>
      <c r="J1006" s="13" t="s">
        <v>169</v>
      </c>
      <c r="K1006" s="13" t="s">
        <v>170</v>
      </c>
      <c r="L1006" s="13" t="s">
        <v>171</v>
      </c>
      <c r="M1006" s="13"/>
      <c r="N1006" s="14"/>
      <c r="O1006" s="14">
        <f t="shared" si="32"/>
        <v>-3000</v>
      </c>
      <c r="P1006" s="15">
        <f t="shared" si="33"/>
        <v>41844</v>
      </c>
      <c r="Q1006" s="15"/>
      <c r="R1006" s="16"/>
      <c r="S1006" s="16"/>
    </row>
    <row r="1007" spans="1:19" x14ac:dyDescent="0.25">
      <c r="A1007" s="8" t="s">
        <v>16</v>
      </c>
      <c r="B1007" s="8" t="s">
        <v>17</v>
      </c>
      <c r="C1007" s="8" t="s">
        <v>18</v>
      </c>
      <c r="D1007" s="8">
        <v>2014</v>
      </c>
      <c r="E1007" s="9" t="s">
        <v>570</v>
      </c>
      <c r="F1007" s="10">
        <v>41844</v>
      </c>
      <c r="G1007" s="23"/>
      <c r="H1007" s="13" t="s">
        <v>642</v>
      </c>
      <c r="I1007" s="12">
        <v>-200</v>
      </c>
      <c r="J1007" s="13" t="s">
        <v>21</v>
      </c>
      <c r="K1007" s="13" t="s">
        <v>22</v>
      </c>
      <c r="L1007" s="13" t="s">
        <v>23</v>
      </c>
      <c r="M1007" s="13"/>
      <c r="N1007" s="31"/>
      <c r="O1007" s="14">
        <f t="shared" si="32"/>
        <v>-200</v>
      </c>
      <c r="P1007" s="15">
        <f t="shared" si="33"/>
        <v>41844</v>
      </c>
      <c r="Q1007" s="15"/>
      <c r="R1007" s="26"/>
      <c r="S1007" s="26"/>
    </row>
    <row r="1008" spans="1:19" x14ac:dyDescent="0.25">
      <c r="A1008" s="8" t="s">
        <v>16</v>
      </c>
      <c r="B1008" s="8" t="s">
        <v>17</v>
      </c>
      <c r="C1008" s="8" t="s">
        <v>18</v>
      </c>
      <c r="D1008" s="8">
        <v>2014</v>
      </c>
      <c r="E1008" s="9" t="s">
        <v>570</v>
      </c>
      <c r="F1008" s="10">
        <v>41844</v>
      </c>
      <c r="G1008" s="23"/>
      <c r="H1008" s="13" t="s">
        <v>643</v>
      </c>
      <c r="I1008" s="12">
        <v>-200</v>
      </c>
      <c r="J1008" s="13" t="s">
        <v>21</v>
      </c>
      <c r="K1008" s="13" t="s">
        <v>22</v>
      </c>
      <c r="L1008" s="13" t="s">
        <v>23</v>
      </c>
      <c r="M1008" s="13"/>
      <c r="N1008" s="31"/>
      <c r="O1008" s="14">
        <f t="shared" si="32"/>
        <v>-200</v>
      </c>
      <c r="P1008" s="15">
        <f t="shared" si="33"/>
        <v>41844</v>
      </c>
      <c r="Q1008" s="15"/>
      <c r="R1008" s="26"/>
      <c r="S1008" s="26"/>
    </row>
    <row r="1009" spans="1:19" x14ac:dyDescent="0.25">
      <c r="A1009" s="8" t="s">
        <v>16</v>
      </c>
      <c r="B1009" s="8" t="s">
        <v>17</v>
      </c>
      <c r="C1009" s="8" t="s">
        <v>18</v>
      </c>
      <c r="D1009" s="8">
        <v>2014</v>
      </c>
      <c r="E1009" s="9" t="s">
        <v>570</v>
      </c>
      <c r="F1009" s="10">
        <v>41844</v>
      </c>
      <c r="G1009" s="23"/>
      <c r="H1009" s="11" t="s">
        <v>595</v>
      </c>
      <c r="I1009" s="12">
        <f>-550-93</f>
        <v>-643</v>
      </c>
      <c r="J1009" s="54" t="s">
        <v>21</v>
      </c>
      <c r="K1009" s="54" t="s">
        <v>56</v>
      </c>
      <c r="L1009" s="54" t="s">
        <v>57</v>
      </c>
      <c r="M1009" s="13" t="s">
        <v>386</v>
      </c>
      <c r="N1009" s="14"/>
      <c r="O1009" s="14">
        <f t="shared" si="32"/>
        <v>-643</v>
      </c>
      <c r="P1009" s="15">
        <f t="shared" si="33"/>
        <v>41844</v>
      </c>
      <c r="Q1009" s="15"/>
      <c r="R1009" s="16"/>
      <c r="S1009" s="16"/>
    </row>
    <row r="1010" spans="1:19" x14ac:dyDescent="0.25">
      <c r="A1010" s="23" t="s">
        <v>16</v>
      </c>
      <c r="B1010" s="65" t="s">
        <v>17</v>
      </c>
      <c r="C1010" s="23" t="s">
        <v>51</v>
      </c>
      <c r="D1010" s="8">
        <v>2014</v>
      </c>
      <c r="E1010" s="9" t="s">
        <v>570</v>
      </c>
      <c r="F1010" s="30">
        <v>41845</v>
      </c>
      <c r="G1010" s="8">
        <v>11840</v>
      </c>
      <c r="H1010" s="11" t="s">
        <v>615</v>
      </c>
      <c r="I1010" s="12">
        <v>10000</v>
      </c>
      <c r="J1010" s="13" t="s">
        <v>53</v>
      </c>
      <c r="K1010" s="13" t="s">
        <v>54</v>
      </c>
      <c r="L1010" s="13"/>
      <c r="M1010" s="13"/>
      <c r="N1010" s="31"/>
      <c r="O1010" s="14">
        <f t="shared" si="32"/>
        <v>10000</v>
      </c>
      <c r="P1010" s="15">
        <f t="shared" si="33"/>
        <v>41845</v>
      </c>
      <c r="Q1010" s="56"/>
      <c r="R1010" s="11"/>
      <c r="S1010" s="11"/>
    </row>
    <row r="1011" spans="1:19" x14ac:dyDescent="0.25">
      <c r="A1011" s="23" t="s">
        <v>16</v>
      </c>
      <c r="B1011" s="65" t="s">
        <v>17</v>
      </c>
      <c r="C1011" s="23" t="s">
        <v>51</v>
      </c>
      <c r="D1011" s="8">
        <v>2014</v>
      </c>
      <c r="E1011" s="9" t="s">
        <v>570</v>
      </c>
      <c r="F1011" s="10">
        <v>41845</v>
      </c>
      <c r="G1011" s="8">
        <v>11859</v>
      </c>
      <c r="H1011" s="11" t="s">
        <v>644</v>
      </c>
      <c r="I1011" s="12">
        <v>6000</v>
      </c>
      <c r="J1011" s="13" t="s">
        <v>53</v>
      </c>
      <c r="K1011" s="13" t="s">
        <v>54</v>
      </c>
      <c r="L1011" s="13"/>
      <c r="M1011" s="13"/>
      <c r="N1011" s="31"/>
      <c r="O1011" s="14">
        <f t="shared" si="32"/>
        <v>6000</v>
      </c>
      <c r="P1011" s="15">
        <f t="shared" si="33"/>
        <v>41845</v>
      </c>
      <c r="Q1011" s="56"/>
      <c r="R1011" s="11"/>
      <c r="S1011" s="11"/>
    </row>
    <row r="1012" spans="1:19" x14ac:dyDescent="0.25">
      <c r="A1012" s="23" t="s">
        <v>16</v>
      </c>
      <c r="B1012" s="65" t="s">
        <v>17</v>
      </c>
      <c r="C1012" s="23" t="s">
        <v>51</v>
      </c>
      <c r="D1012" s="8">
        <v>2014</v>
      </c>
      <c r="E1012" s="9" t="s">
        <v>570</v>
      </c>
      <c r="F1012" s="10">
        <v>41845</v>
      </c>
      <c r="G1012" s="8">
        <v>11860</v>
      </c>
      <c r="H1012" s="11" t="s">
        <v>645</v>
      </c>
      <c r="I1012" s="12">
        <v>900</v>
      </c>
      <c r="J1012" s="13" t="s">
        <v>53</v>
      </c>
      <c r="K1012" s="13" t="s">
        <v>54</v>
      </c>
      <c r="L1012" s="13"/>
      <c r="M1012" s="13"/>
      <c r="N1012" s="31"/>
      <c r="O1012" s="14">
        <f t="shared" si="32"/>
        <v>900</v>
      </c>
      <c r="P1012" s="15">
        <f t="shared" si="33"/>
        <v>41845</v>
      </c>
      <c r="Q1012" s="56"/>
      <c r="R1012" s="11"/>
      <c r="S1012" s="11"/>
    </row>
    <row r="1013" spans="1:19" x14ac:dyDescent="0.25">
      <c r="A1013" s="23" t="s">
        <v>16</v>
      </c>
      <c r="B1013" s="23" t="s">
        <v>17</v>
      </c>
      <c r="C1013" s="23" t="s">
        <v>18</v>
      </c>
      <c r="D1013" s="8">
        <v>2014</v>
      </c>
      <c r="E1013" s="9" t="s">
        <v>570</v>
      </c>
      <c r="F1013" s="10">
        <v>41845</v>
      </c>
      <c r="G1013" s="23"/>
      <c r="H1013" s="13" t="s">
        <v>252</v>
      </c>
      <c r="I1013" s="12">
        <v>-50</v>
      </c>
      <c r="J1013" s="13" t="s">
        <v>21</v>
      </c>
      <c r="K1013" s="13" t="s">
        <v>22</v>
      </c>
      <c r="L1013" s="13" t="s">
        <v>71</v>
      </c>
      <c r="M1013" s="13" t="s">
        <v>206</v>
      </c>
      <c r="N1013" s="31"/>
      <c r="O1013" s="14">
        <f t="shared" si="32"/>
        <v>-50</v>
      </c>
      <c r="P1013" s="15">
        <f t="shared" si="33"/>
        <v>41845</v>
      </c>
      <c r="Q1013" s="15"/>
      <c r="R1013" s="26"/>
      <c r="S1013" s="26"/>
    </row>
    <row r="1014" spans="1:19" x14ac:dyDescent="0.25">
      <c r="A1014" s="8" t="s">
        <v>16</v>
      </c>
      <c r="B1014" s="8" t="s">
        <v>17</v>
      </c>
      <c r="C1014" s="8" t="s">
        <v>18</v>
      </c>
      <c r="D1014" s="8">
        <v>2014</v>
      </c>
      <c r="E1014" s="9" t="s">
        <v>570</v>
      </c>
      <c r="F1014" s="10">
        <v>41845</v>
      </c>
      <c r="G1014" s="8"/>
      <c r="H1014" s="13" t="s">
        <v>80</v>
      </c>
      <c r="I1014" s="12">
        <v>-50</v>
      </c>
      <c r="J1014" s="13" t="s">
        <v>21</v>
      </c>
      <c r="K1014" s="13" t="s">
        <v>22</v>
      </c>
      <c r="L1014" s="13" t="s">
        <v>23</v>
      </c>
      <c r="M1014" s="13" t="s">
        <v>28</v>
      </c>
      <c r="N1014" s="14"/>
      <c r="O1014" s="14">
        <f t="shared" si="32"/>
        <v>-50</v>
      </c>
      <c r="P1014" s="15">
        <f t="shared" si="33"/>
        <v>41845</v>
      </c>
      <c r="Q1014" s="15"/>
      <c r="R1014" s="26"/>
      <c r="S1014" s="26"/>
    </row>
    <row r="1015" spans="1:19" x14ac:dyDescent="0.25">
      <c r="A1015" s="23" t="s">
        <v>16</v>
      </c>
      <c r="B1015" s="23" t="s">
        <v>17</v>
      </c>
      <c r="C1015" s="23" t="s">
        <v>18</v>
      </c>
      <c r="D1015" s="8">
        <v>2014</v>
      </c>
      <c r="E1015" s="9" t="s">
        <v>570</v>
      </c>
      <c r="F1015" s="10">
        <v>41845</v>
      </c>
      <c r="G1015" s="8"/>
      <c r="H1015" s="11" t="s">
        <v>378</v>
      </c>
      <c r="I1015" s="12">
        <v>-564</v>
      </c>
      <c r="J1015" s="13" t="s">
        <v>38</v>
      </c>
      <c r="K1015" s="13" t="s">
        <v>155</v>
      </c>
      <c r="L1015" s="13" t="s">
        <v>91</v>
      </c>
      <c r="M1015" s="13"/>
      <c r="N1015" s="31"/>
      <c r="O1015" s="14">
        <f t="shared" si="32"/>
        <v>-564</v>
      </c>
      <c r="P1015" s="15">
        <f t="shared" si="33"/>
        <v>41845</v>
      </c>
      <c r="Q1015" s="56"/>
      <c r="R1015" s="16"/>
      <c r="S1015" s="16"/>
    </row>
    <row r="1016" spans="1:19" x14ac:dyDescent="0.25">
      <c r="A1016" s="23" t="s">
        <v>16</v>
      </c>
      <c r="B1016" s="23" t="s">
        <v>17</v>
      </c>
      <c r="C1016" s="23" t="s">
        <v>18</v>
      </c>
      <c r="D1016" s="8">
        <v>2014</v>
      </c>
      <c r="E1016" s="9" t="s">
        <v>570</v>
      </c>
      <c r="F1016" s="10">
        <v>41845</v>
      </c>
      <c r="G1016" s="8"/>
      <c r="H1016" s="11" t="s">
        <v>350</v>
      </c>
      <c r="I1016" s="12">
        <v>-400</v>
      </c>
      <c r="J1016" s="13" t="s">
        <v>38</v>
      </c>
      <c r="K1016" s="13" t="s">
        <v>155</v>
      </c>
      <c r="L1016" s="13" t="s">
        <v>91</v>
      </c>
      <c r="M1016" s="13"/>
      <c r="N1016" s="31"/>
      <c r="O1016" s="14">
        <f t="shared" si="32"/>
        <v>-400</v>
      </c>
      <c r="P1016" s="15">
        <f t="shared" si="33"/>
        <v>41845</v>
      </c>
      <c r="Q1016" s="56"/>
      <c r="R1016" s="16"/>
      <c r="S1016" s="16"/>
    </row>
    <row r="1017" spans="1:19" x14ac:dyDescent="0.25">
      <c r="A1017" s="23" t="s">
        <v>16</v>
      </c>
      <c r="B1017" s="23" t="s">
        <v>17</v>
      </c>
      <c r="C1017" s="23" t="s">
        <v>18</v>
      </c>
      <c r="D1017" s="8">
        <v>2014</v>
      </c>
      <c r="E1017" s="9" t="s">
        <v>570</v>
      </c>
      <c r="F1017" s="10">
        <v>41845</v>
      </c>
      <c r="G1017" s="8"/>
      <c r="H1017" s="11" t="s">
        <v>419</v>
      </c>
      <c r="I1017" s="12">
        <v>-423</v>
      </c>
      <c r="J1017" s="13" t="s">
        <v>38</v>
      </c>
      <c r="K1017" s="13" t="s">
        <v>155</v>
      </c>
      <c r="L1017" s="13" t="s">
        <v>91</v>
      </c>
      <c r="M1017" s="13"/>
      <c r="N1017" s="31"/>
      <c r="O1017" s="14">
        <f t="shared" si="32"/>
        <v>-423</v>
      </c>
      <c r="P1017" s="15">
        <f t="shared" si="33"/>
        <v>41845</v>
      </c>
      <c r="Q1017" s="15"/>
      <c r="R1017" s="26"/>
      <c r="S1017" s="26"/>
    </row>
    <row r="1018" spans="1:19" x14ac:dyDescent="0.25">
      <c r="A1018" s="23" t="s">
        <v>16</v>
      </c>
      <c r="B1018" s="23" t="s">
        <v>17</v>
      </c>
      <c r="C1018" s="23" t="s">
        <v>18</v>
      </c>
      <c r="D1018" s="8">
        <v>2014</v>
      </c>
      <c r="E1018" s="9" t="s">
        <v>570</v>
      </c>
      <c r="F1018" s="10">
        <v>41845</v>
      </c>
      <c r="G1018" s="8"/>
      <c r="H1018" s="11" t="s">
        <v>420</v>
      </c>
      <c r="I1018" s="12">
        <v>-70</v>
      </c>
      <c r="J1018" s="13" t="s">
        <v>38</v>
      </c>
      <c r="K1018" s="13" t="s">
        <v>155</v>
      </c>
      <c r="L1018" s="13" t="s">
        <v>91</v>
      </c>
      <c r="M1018" s="13"/>
      <c r="N1018" s="31"/>
      <c r="O1018" s="14">
        <f t="shared" si="32"/>
        <v>-70</v>
      </c>
      <c r="P1018" s="15">
        <f t="shared" si="33"/>
        <v>41845</v>
      </c>
      <c r="Q1018" s="15"/>
      <c r="R1018" s="16"/>
      <c r="S1018" s="16"/>
    </row>
    <row r="1019" spans="1:19" x14ac:dyDescent="0.25">
      <c r="A1019" s="23" t="s">
        <v>16</v>
      </c>
      <c r="B1019" s="23" t="s">
        <v>17</v>
      </c>
      <c r="C1019" s="23" t="s">
        <v>18</v>
      </c>
      <c r="D1019" s="8">
        <v>2014</v>
      </c>
      <c r="E1019" s="9" t="s">
        <v>570</v>
      </c>
      <c r="F1019" s="10">
        <v>41845</v>
      </c>
      <c r="G1019" s="8"/>
      <c r="H1019" s="11" t="s">
        <v>646</v>
      </c>
      <c r="I1019" s="12">
        <v>-752</v>
      </c>
      <c r="J1019" s="13" t="s">
        <v>38</v>
      </c>
      <c r="K1019" s="13" t="s">
        <v>155</v>
      </c>
      <c r="L1019" s="13" t="s">
        <v>91</v>
      </c>
      <c r="M1019" s="13"/>
      <c r="N1019" s="31"/>
      <c r="O1019" s="14">
        <f t="shared" si="32"/>
        <v>-752</v>
      </c>
      <c r="P1019" s="15">
        <f t="shared" si="33"/>
        <v>41845</v>
      </c>
      <c r="Q1019" s="15"/>
      <c r="R1019" s="16"/>
      <c r="S1019" s="16"/>
    </row>
    <row r="1020" spans="1:19" x14ac:dyDescent="0.25">
      <c r="A1020" s="8" t="s">
        <v>16</v>
      </c>
      <c r="B1020" s="8" t="s">
        <v>17</v>
      </c>
      <c r="C1020" s="36" t="s">
        <v>18</v>
      </c>
      <c r="D1020" s="8">
        <v>2014</v>
      </c>
      <c r="E1020" s="9" t="s">
        <v>570</v>
      </c>
      <c r="F1020" s="10">
        <v>41845</v>
      </c>
      <c r="G1020" s="8"/>
      <c r="H1020" s="17" t="s">
        <v>443</v>
      </c>
      <c r="I1020" s="12">
        <v>-3038.32</v>
      </c>
      <c r="J1020" s="13" t="s">
        <v>33</v>
      </c>
      <c r="K1020" s="13" t="s">
        <v>224</v>
      </c>
      <c r="L1020" s="13" t="s">
        <v>231</v>
      </c>
      <c r="M1020" s="13"/>
      <c r="N1020" s="14"/>
      <c r="O1020" s="14">
        <f t="shared" si="32"/>
        <v>-3038.32</v>
      </c>
      <c r="P1020" s="15">
        <f t="shared" si="33"/>
        <v>41845</v>
      </c>
      <c r="Q1020" s="15"/>
      <c r="R1020" s="16"/>
      <c r="S1020" s="16"/>
    </row>
    <row r="1021" spans="1:19" x14ac:dyDescent="0.25">
      <c r="A1021" s="8" t="s">
        <v>16</v>
      </c>
      <c r="B1021" s="8" t="s">
        <v>17</v>
      </c>
      <c r="C1021" s="36" t="s">
        <v>46</v>
      </c>
      <c r="D1021" s="8">
        <v>2014</v>
      </c>
      <c r="E1021" s="9" t="s">
        <v>570</v>
      </c>
      <c r="F1021" s="10">
        <v>41845</v>
      </c>
      <c r="G1021" s="8"/>
      <c r="H1021" s="17" t="s">
        <v>508</v>
      </c>
      <c r="I1021" s="12">
        <v>-10000</v>
      </c>
      <c r="J1021" s="13" t="s">
        <v>48</v>
      </c>
      <c r="K1021" s="13" t="s">
        <v>49</v>
      </c>
      <c r="L1021" s="13" t="s">
        <v>50</v>
      </c>
      <c r="M1021" s="13"/>
      <c r="N1021" s="14"/>
      <c r="O1021" s="14">
        <f t="shared" si="32"/>
        <v>-10000</v>
      </c>
      <c r="P1021" s="15">
        <f t="shared" si="33"/>
        <v>41845</v>
      </c>
      <c r="Q1021" s="15"/>
      <c r="R1021" s="16"/>
      <c r="S1021" s="16"/>
    </row>
    <row r="1022" spans="1:19" x14ac:dyDescent="0.25">
      <c r="A1022" s="23" t="s">
        <v>16</v>
      </c>
      <c r="B1022" s="23" t="s">
        <v>17</v>
      </c>
      <c r="C1022" s="23" t="s">
        <v>18</v>
      </c>
      <c r="D1022" s="8">
        <v>2014</v>
      </c>
      <c r="E1022" s="9" t="s">
        <v>570</v>
      </c>
      <c r="F1022" s="10">
        <v>41845</v>
      </c>
      <c r="G1022" s="8"/>
      <c r="H1022" s="11" t="s">
        <v>399</v>
      </c>
      <c r="I1022" s="12">
        <f>-49-70-50-190-320</f>
        <v>-679</v>
      </c>
      <c r="J1022" s="13" t="s">
        <v>21</v>
      </c>
      <c r="K1022" s="13" t="s">
        <v>56</v>
      </c>
      <c r="L1022" s="13" t="s">
        <v>111</v>
      </c>
      <c r="M1022" s="13" t="s">
        <v>28</v>
      </c>
      <c r="N1022" s="31"/>
      <c r="O1022" s="14">
        <f t="shared" si="32"/>
        <v>-679</v>
      </c>
      <c r="P1022" s="15">
        <f t="shared" si="33"/>
        <v>41845</v>
      </c>
      <c r="Q1022" s="15"/>
      <c r="R1022" s="16"/>
      <c r="S1022" s="16"/>
    </row>
    <row r="1023" spans="1:19" x14ac:dyDescent="0.25">
      <c r="A1023" s="23" t="s">
        <v>16</v>
      </c>
      <c r="B1023" s="23" t="s">
        <v>17</v>
      </c>
      <c r="C1023" s="23" t="s">
        <v>18</v>
      </c>
      <c r="D1023" s="8">
        <v>2014</v>
      </c>
      <c r="E1023" s="9" t="s">
        <v>570</v>
      </c>
      <c r="F1023" s="10">
        <v>41845</v>
      </c>
      <c r="G1023" s="8"/>
      <c r="H1023" s="11" t="s">
        <v>377</v>
      </c>
      <c r="I1023" s="12">
        <v>-505</v>
      </c>
      <c r="J1023" s="13" t="s">
        <v>21</v>
      </c>
      <c r="K1023" s="13" t="s">
        <v>56</v>
      </c>
      <c r="L1023" s="13" t="s">
        <v>111</v>
      </c>
      <c r="M1023" s="13" t="s">
        <v>28</v>
      </c>
      <c r="N1023" s="14"/>
      <c r="O1023" s="14">
        <f t="shared" si="32"/>
        <v>-505</v>
      </c>
      <c r="P1023" s="15">
        <f t="shared" si="33"/>
        <v>41845</v>
      </c>
      <c r="Q1023" s="15"/>
      <c r="R1023" s="16"/>
      <c r="S1023" s="16"/>
    </row>
    <row r="1024" spans="1:19" x14ac:dyDescent="0.25">
      <c r="A1024" s="23" t="s">
        <v>16</v>
      </c>
      <c r="B1024" s="65" t="s">
        <v>17</v>
      </c>
      <c r="C1024" s="23" t="s">
        <v>18</v>
      </c>
      <c r="D1024" s="8">
        <v>2014</v>
      </c>
      <c r="E1024" s="9" t="s">
        <v>570</v>
      </c>
      <c r="F1024" s="10">
        <v>41845</v>
      </c>
      <c r="G1024" s="23"/>
      <c r="H1024" s="13" t="s">
        <v>233</v>
      </c>
      <c r="I1024" s="12">
        <f>-14-30</f>
        <v>-44</v>
      </c>
      <c r="J1024" s="13" t="s">
        <v>21</v>
      </c>
      <c r="K1024" s="13" t="s">
        <v>22</v>
      </c>
      <c r="L1024" s="13" t="s">
        <v>121</v>
      </c>
      <c r="M1024" s="13"/>
      <c r="N1024" s="31"/>
      <c r="O1024" s="14">
        <f t="shared" si="32"/>
        <v>-44</v>
      </c>
      <c r="P1024" s="15">
        <f t="shared" si="33"/>
        <v>41845</v>
      </c>
      <c r="Q1024" s="56"/>
      <c r="R1024" s="16"/>
      <c r="S1024" s="16"/>
    </row>
    <row r="1025" spans="1:19" x14ac:dyDescent="0.25">
      <c r="A1025" s="23" t="s">
        <v>16</v>
      </c>
      <c r="B1025" s="23" t="s">
        <v>17</v>
      </c>
      <c r="C1025" s="23" t="s">
        <v>18</v>
      </c>
      <c r="D1025" s="8">
        <v>2014</v>
      </c>
      <c r="E1025" s="9" t="s">
        <v>570</v>
      </c>
      <c r="F1025" s="10">
        <v>41845</v>
      </c>
      <c r="G1025" s="23"/>
      <c r="H1025" s="13" t="s">
        <v>627</v>
      </c>
      <c r="I1025" s="12">
        <f>-48-17-38</f>
        <v>-103</v>
      </c>
      <c r="J1025" s="13" t="s">
        <v>21</v>
      </c>
      <c r="K1025" s="13" t="s">
        <v>22</v>
      </c>
      <c r="L1025" s="13" t="s">
        <v>71</v>
      </c>
      <c r="M1025" s="13"/>
      <c r="N1025" s="14"/>
      <c r="O1025" s="14">
        <f t="shared" si="32"/>
        <v>-103</v>
      </c>
      <c r="P1025" s="15">
        <f t="shared" si="33"/>
        <v>41845</v>
      </c>
      <c r="Q1025" s="56"/>
      <c r="R1025" s="11"/>
      <c r="S1025" s="11"/>
    </row>
    <row r="1026" spans="1:19" x14ac:dyDescent="0.25">
      <c r="A1026" s="8" t="s">
        <v>16</v>
      </c>
      <c r="B1026" s="8" t="s">
        <v>17</v>
      </c>
      <c r="C1026" s="8" t="s">
        <v>18</v>
      </c>
      <c r="D1026" s="8">
        <v>2014</v>
      </c>
      <c r="E1026" s="9" t="s">
        <v>570</v>
      </c>
      <c r="F1026" s="10">
        <v>41845</v>
      </c>
      <c r="G1026" s="23"/>
      <c r="H1026" s="17" t="s">
        <v>62</v>
      </c>
      <c r="I1026" s="12">
        <f>-95-35-40-35-50-180-100-130</f>
        <v>-665</v>
      </c>
      <c r="J1026" s="13" t="s">
        <v>21</v>
      </c>
      <c r="K1026" s="13" t="s">
        <v>63</v>
      </c>
      <c r="L1026" s="13" t="s">
        <v>64</v>
      </c>
      <c r="M1026" s="13"/>
      <c r="N1026" s="14"/>
      <c r="O1026" s="14">
        <f t="shared" si="32"/>
        <v>-665</v>
      </c>
      <c r="P1026" s="15">
        <f t="shared" si="33"/>
        <v>41845</v>
      </c>
      <c r="Q1026" s="15"/>
      <c r="R1026" s="16"/>
      <c r="S1026" s="16"/>
    </row>
    <row r="1027" spans="1:19" x14ac:dyDescent="0.25">
      <c r="A1027" s="8" t="s">
        <v>16</v>
      </c>
      <c r="B1027" s="8" t="s">
        <v>17</v>
      </c>
      <c r="C1027" s="8" t="s">
        <v>18</v>
      </c>
      <c r="D1027" s="8">
        <v>2014</v>
      </c>
      <c r="E1027" s="9" t="s">
        <v>570</v>
      </c>
      <c r="F1027" s="10">
        <v>41845</v>
      </c>
      <c r="G1027" s="23"/>
      <c r="H1027" s="11" t="s">
        <v>595</v>
      </c>
      <c r="I1027" s="12">
        <v>-600</v>
      </c>
      <c r="J1027" s="54" t="s">
        <v>21</v>
      </c>
      <c r="K1027" s="54" t="s">
        <v>56</v>
      </c>
      <c r="L1027" s="54" t="s">
        <v>57</v>
      </c>
      <c r="M1027" s="13" t="s">
        <v>386</v>
      </c>
      <c r="N1027" s="14"/>
      <c r="O1027" s="14">
        <f t="shared" ref="O1027:O1090" si="34">IF(B1027="$",I1027,I1027/N1027)</f>
        <v>-600</v>
      </c>
      <c r="P1027" s="15">
        <f t="shared" si="33"/>
        <v>41845</v>
      </c>
      <c r="Q1027" s="15"/>
      <c r="R1027" s="16"/>
      <c r="S1027" s="16"/>
    </row>
    <row r="1028" spans="1:19" x14ac:dyDescent="0.25">
      <c r="A1028" s="23" t="s">
        <v>16</v>
      </c>
      <c r="B1028" s="23" t="s">
        <v>17</v>
      </c>
      <c r="C1028" s="23" t="s">
        <v>18</v>
      </c>
      <c r="D1028" s="8">
        <v>2014</v>
      </c>
      <c r="E1028" s="9" t="s">
        <v>570</v>
      </c>
      <c r="F1028" s="10">
        <v>41845</v>
      </c>
      <c r="G1028" s="23"/>
      <c r="H1028" s="13" t="s">
        <v>513</v>
      </c>
      <c r="I1028" s="12">
        <f>-300-150</f>
        <v>-450</v>
      </c>
      <c r="J1028" s="13" t="s">
        <v>38</v>
      </c>
      <c r="K1028" s="13" t="s">
        <v>90</v>
      </c>
      <c r="L1028" s="13" t="s">
        <v>91</v>
      </c>
      <c r="M1028" s="13"/>
      <c r="N1028" s="31"/>
      <c r="O1028" s="14">
        <f t="shared" si="34"/>
        <v>-450</v>
      </c>
      <c r="P1028" s="15">
        <f t="shared" si="33"/>
        <v>41845</v>
      </c>
      <c r="Q1028" s="56"/>
      <c r="R1028" s="16"/>
      <c r="S1028" s="16"/>
    </row>
    <row r="1029" spans="1:19" x14ac:dyDescent="0.25">
      <c r="A1029" s="23" t="s">
        <v>16</v>
      </c>
      <c r="B1029" s="65" t="s">
        <v>17</v>
      </c>
      <c r="C1029" s="23" t="s">
        <v>51</v>
      </c>
      <c r="D1029" s="8">
        <v>2014</v>
      </c>
      <c r="E1029" s="9" t="s">
        <v>570</v>
      </c>
      <c r="F1029" s="10">
        <v>41846</v>
      </c>
      <c r="G1029" s="8">
        <v>11861</v>
      </c>
      <c r="H1029" s="11" t="s">
        <v>647</v>
      </c>
      <c r="I1029" s="12">
        <v>2000</v>
      </c>
      <c r="J1029" s="13" t="s">
        <v>53</v>
      </c>
      <c r="K1029" s="13" t="s">
        <v>54</v>
      </c>
      <c r="L1029" s="13"/>
      <c r="M1029" s="13"/>
      <c r="N1029" s="31"/>
      <c r="O1029" s="14">
        <f t="shared" si="34"/>
        <v>2000</v>
      </c>
      <c r="P1029" s="15">
        <f t="shared" si="33"/>
        <v>41846</v>
      </c>
      <c r="Q1029" s="56"/>
      <c r="R1029" s="11"/>
      <c r="S1029" s="11"/>
    </row>
    <row r="1030" spans="1:19" x14ac:dyDescent="0.25">
      <c r="A1030" s="23" t="s">
        <v>16</v>
      </c>
      <c r="B1030" s="65" t="s">
        <v>17</v>
      </c>
      <c r="C1030" s="23" t="s">
        <v>51</v>
      </c>
      <c r="D1030" s="8">
        <v>2014</v>
      </c>
      <c r="E1030" s="9" t="s">
        <v>570</v>
      </c>
      <c r="F1030" s="10">
        <v>41846</v>
      </c>
      <c r="G1030" s="8">
        <v>11862</v>
      </c>
      <c r="H1030" s="11" t="s">
        <v>648</v>
      </c>
      <c r="I1030" s="12">
        <v>18000</v>
      </c>
      <c r="J1030" s="13" t="s">
        <v>53</v>
      </c>
      <c r="K1030" s="13" t="s">
        <v>54</v>
      </c>
      <c r="L1030" s="13"/>
      <c r="M1030" s="13"/>
      <c r="N1030" s="31"/>
      <c r="O1030" s="14">
        <f t="shared" si="34"/>
        <v>18000</v>
      </c>
      <c r="P1030" s="15">
        <f t="shared" si="33"/>
        <v>41846</v>
      </c>
      <c r="Q1030" s="56"/>
      <c r="R1030" s="11"/>
      <c r="S1030" s="11"/>
    </row>
    <row r="1031" spans="1:19" x14ac:dyDescent="0.25">
      <c r="A1031" s="23" t="s">
        <v>16</v>
      </c>
      <c r="B1031" s="65" t="s">
        <v>17</v>
      </c>
      <c r="C1031" s="23" t="s">
        <v>51</v>
      </c>
      <c r="D1031" s="8">
        <v>2014</v>
      </c>
      <c r="E1031" s="9" t="s">
        <v>570</v>
      </c>
      <c r="F1031" s="10">
        <v>41481</v>
      </c>
      <c r="G1031" s="8">
        <v>11863</v>
      </c>
      <c r="H1031" s="11" t="s">
        <v>649</v>
      </c>
      <c r="I1031" s="12">
        <v>500</v>
      </c>
      <c r="J1031" s="13" t="s">
        <v>53</v>
      </c>
      <c r="K1031" s="13" t="s">
        <v>54</v>
      </c>
      <c r="L1031" s="13"/>
      <c r="M1031" s="13"/>
      <c r="N1031" s="31"/>
      <c r="O1031" s="14">
        <f t="shared" si="34"/>
        <v>500</v>
      </c>
      <c r="P1031" s="15">
        <f t="shared" si="33"/>
        <v>41481</v>
      </c>
      <c r="Q1031" s="56"/>
      <c r="R1031" s="11"/>
      <c r="S1031" s="11"/>
    </row>
    <row r="1032" spans="1:19" x14ac:dyDescent="0.25">
      <c r="A1032" s="23" t="s">
        <v>16</v>
      </c>
      <c r="B1032" s="65" t="s">
        <v>17</v>
      </c>
      <c r="C1032" s="23" t="s">
        <v>51</v>
      </c>
      <c r="D1032" s="8">
        <v>2014</v>
      </c>
      <c r="E1032" s="9" t="s">
        <v>570</v>
      </c>
      <c r="F1032" s="10">
        <v>41481</v>
      </c>
      <c r="G1032" s="8">
        <v>11864</v>
      </c>
      <c r="H1032" s="11" t="s">
        <v>650</v>
      </c>
      <c r="I1032" s="12">
        <v>5457</v>
      </c>
      <c r="J1032" s="13" t="s">
        <v>53</v>
      </c>
      <c r="K1032" s="13" t="s">
        <v>54</v>
      </c>
      <c r="L1032" s="13"/>
      <c r="M1032" s="13"/>
      <c r="N1032" s="31"/>
      <c r="O1032" s="14">
        <f t="shared" si="34"/>
        <v>5457</v>
      </c>
      <c r="P1032" s="15">
        <f t="shared" si="33"/>
        <v>41481</v>
      </c>
      <c r="Q1032" s="56"/>
      <c r="R1032" s="11"/>
      <c r="S1032" s="11"/>
    </row>
    <row r="1033" spans="1:19" x14ac:dyDescent="0.25">
      <c r="A1033" s="23" t="s">
        <v>16</v>
      </c>
      <c r="B1033" s="65" t="s">
        <v>17</v>
      </c>
      <c r="C1033" s="23" t="s">
        <v>51</v>
      </c>
      <c r="D1033" s="8">
        <v>2014</v>
      </c>
      <c r="E1033" s="9" t="s">
        <v>570</v>
      </c>
      <c r="F1033" s="10">
        <v>41481</v>
      </c>
      <c r="G1033" s="8">
        <v>11866</v>
      </c>
      <c r="H1033" s="11" t="s">
        <v>651</v>
      </c>
      <c r="I1033" s="12">
        <v>500</v>
      </c>
      <c r="J1033" s="13" t="s">
        <v>53</v>
      </c>
      <c r="K1033" s="13" t="s">
        <v>54</v>
      </c>
      <c r="L1033" s="13"/>
      <c r="M1033" s="13"/>
      <c r="N1033" s="31"/>
      <c r="O1033" s="14">
        <f t="shared" si="34"/>
        <v>500</v>
      </c>
      <c r="P1033" s="15">
        <f t="shared" si="33"/>
        <v>41481</v>
      </c>
      <c r="Q1033" s="56"/>
      <c r="R1033" s="11"/>
      <c r="S1033" s="11"/>
    </row>
    <row r="1034" spans="1:19" x14ac:dyDescent="0.25">
      <c r="A1034" s="23" t="s">
        <v>16</v>
      </c>
      <c r="B1034" s="65" t="s">
        <v>17</v>
      </c>
      <c r="C1034" s="23" t="s">
        <v>51</v>
      </c>
      <c r="D1034" s="8">
        <v>2014</v>
      </c>
      <c r="E1034" s="9" t="s">
        <v>570</v>
      </c>
      <c r="F1034" s="10">
        <v>41847</v>
      </c>
      <c r="G1034" s="8">
        <v>11867</v>
      </c>
      <c r="H1034" s="11" t="s">
        <v>652</v>
      </c>
      <c r="I1034" s="12">
        <v>400</v>
      </c>
      <c r="J1034" s="13" t="s">
        <v>53</v>
      </c>
      <c r="K1034" s="13" t="s">
        <v>54</v>
      </c>
      <c r="L1034" s="13"/>
      <c r="M1034" s="13"/>
      <c r="N1034" s="31"/>
      <c r="O1034" s="14">
        <f t="shared" si="34"/>
        <v>400</v>
      </c>
      <c r="P1034" s="15">
        <f t="shared" si="33"/>
        <v>41847</v>
      </c>
      <c r="Q1034" s="56"/>
      <c r="R1034" s="11"/>
      <c r="S1034" s="11"/>
    </row>
    <row r="1035" spans="1:19" x14ac:dyDescent="0.25">
      <c r="A1035" s="23" t="s">
        <v>16</v>
      </c>
      <c r="B1035" s="65" t="s">
        <v>17</v>
      </c>
      <c r="C1035" s="23" t="s">
        <v>51</v>
      </c>
      <c r="D1035" s="8">
        <v>2014</v>
      </c>
      <c r="E1035" s="9" t="s">
        <v>570</v>
      </c>
      <c r="F1035" s="10">
        <v>41847</v>
      </c>
      <c r="G1035" s="8">
        <v>11868</v>
      </c>
      <c r="H1035" s="11" t="s">
        <v>653</v>
      </c>
      <c r="I1035" s="12">
        <v>6000</v>
      </c>
      <c r="J1035" s="13" t="s">
        <v>53</v>
      </c>
      <c r="K1035" s="13" t="s">
        <v>54</v>
      </c>
      <c r="L1035" s="13"/>
      <c r="M1035" s="13"/>
      <c r="N1035" s="31"/>
      <c r="O1035" s="14">
        <f t="shared" si="34"/>
        <v>6000</v>
      </c>
      <c r="P1035" s="15">
        <f t="shared" si="33"/>
        <v>41847</v>
      </c>
      <c r="Q1035" s="56"/>
      <c r="R1035" s="11"/>
      <c r="S1035" s="11"/>
    </row>
    <row r="1036" spans="1:19" x14ac:dyDescent="0.25">
      <c r="A1036" s="23" t="s">
        <v>16</v>
      </c>
      <c r="B1036" s="65" t="s">
        <v>17</v>
      </c>
      <c r="C1036" s="23" t="s">
        <v>51</v>
      </c>
      <c r="D1036" s="8">
        <v>2014</v>
      </c>
      <c r="E1036" s="9" t="s">
        <v>570</v>
      </c>
      <c r="F1036" s="10">
        <v>41847</v>
      </c>
      <c r="G1036" s="8">
        <v>11869</v>
      </c>
      <c r="H1036" s="11" t="s">
        <v>654</v>
      </c>
      <c r="I1036" s="12">
        <v>200</v>
      </c>
      <c r="J1036" s="13" t="s">
        <v>53</v>
      </c>
      <c r="K1036" s="13" t="s">
        <v>54</v>
      </c>
      <c r="L1036" s="13"/>
      <c r="M1036" s="13"/>
      <c r="N1036" s="31"/>
      <c r="O1036" s="14">
        <f t="shared" si="34"/>
        <v>200</v>
      </c>
      <c r="P1036" s="15">
        <f t="shared" si="33"/>
        <v>41847</v>
      </c>
      <c r="Q1036" s="56"/>
      <c r="R1036" s="11"/>
      <c r="S1036" s="11"/>
    </row>
    <row r="1037" spans="1:19" x14ac:dyDescent="0.25">
      <c r="A1037" s="23" t="s">
        <v>16</v>
      </c>
      <c r="B1037" s="65" t="s">
        <v>17</v>
      </c>
      <c r="C1037" s="23" t="s">
        <v>51</v>
      </c>
      <c r="D1037" s="8">
        <v>2014</v>
      </c>
      <c r="E1037" s="9" t="s">
        <v>570</v>
      </c>
      <c r="F1037" s="10">
        <v>41847</v>
      </c>
      <c r="G1037" s="8">
        <v>11870</v>
      </c>
      <c r="H1037" s="11" t="s">
        <v>655</v>
      </c>
      <c r="I1037" s="12">
        <v>100</v>
      </c>
      <c r="J1037" s="13" t="s">
        <v>53</v>
      </c>
      <c r="K1037" s="13" t="s">
        <v>54</v>
      </c>
      <c r="L1037" s="13"/>
      <c r="M1037" s="13"/>
      <c r="N1037" s="31"/>
      <c r="O1037" s="14">
        <f t="shared" si="34"/>
        <v>100</v>
      </c>
      <c r="P1037" s="15">
        <f t="shared" si="33"/>
        <v>41847</v>
      </c>
      <c r="Q1037" s="56"/>
      <c r="R1037" s="11"/>
      <c r="S1037" s="11"/>
    </row>
    <row r="1038" spans="1:19" x14ac:dyDescent="0.25">
      <c r="A1038" s="23" t="s">
        <v>16</v>
      </c>
      <c r="B1038" s="65" t="s">
        <v>17</v>
      </c>
      <c r="C1038" s="23" t="s">
        <v>51</v>
      </c>
      <c r="D1038" s="8">
        <v>2014</v>
      </c>
      <c r="E1038" s="9" t="s">
        <v>570</v>
      </c>
      <c r="F1038" s="10">
        <v>41847</v>
      </c>
      <c r="G1038" s="8">
        <v>11871</v>
      </c>
      <c r="H1038" s="11" t="s">
        <v>656</v>
      </c>
      <c r="I1038" s="12">
        <v>200</v>
      </c>
      <c r="J1038" s="13" t="s">
        <v>53</v>
      </c>
      <c r="K1038" s="13" t="s">
        <v>54</v>
      </c>
      <c r="L1038" s="13"/>
      <c r="M1038" s="13"/>
      <c r="N1038" s="31"/>
      <c r="O1038" s="14">
        <f t="shared" si="34"/>
        <v>200</v>
      </c>
      <c r="P1038" s="15">
        <f t="shared" si="33"/>
        <v>41847</v>
      </c>
      <c r="Q1038" s="56"/>
      <c r="R1038" s="11"/>
      <c r="S1038" s="11"/>
    </row>
    <row r="1039" spans="1:19" x14ac:dyDescent="0.25">
      <c r="A1039" s="8" t="s">
        <v>16</v>
      </c>
      <c r="B1039" s="8" t="s">
        <v>17</v>
      </c>
      <c r="C1039" s="36" t="s">
        <v>46</v>
      </c>
      <c r="D1039" s="8">
        <v>2014</v>
      </c>
      <c r="E1039" s="9" t="s">
        <v>570</v>
      </c>
      <c r="F1039" s="10">
        <v>41848</v>
      </c>
      <c r="G1039" s="8"/>
      <c r="H1039" s="17" t="s">
        <v>508</v>
      </c>
      <c r="I1039" s="12">
        <v>-20000</v>
      </c>
      <c r="J1039" s="13" t="s">
        <v>48</v>
      </c>
      <c r="K1039" s="13" t="s">
        <v>49</v>
      </c>
      <c r="L1039" s="13" t="s">
        <v>50</v>
      </c>
      <c r="M1039" s="13"/>
      <c r="N1039" s="14"/>
      <c r="O1039" s="14">
        <f t="shared" si="34"/>
        <v>-20000</v>
      </c>
      <c r="P1039" s="15">
        <f t="shared" si="33"/>
        <v>41848</v>
      </c>
      <c r="Q1039" s="15"/>
      <c r="R1039" s="16"/>
      <c r="S1039" s="16"/>
    </row>
    <row r="1040" spans="1:19" x14ac:dyDescent="0.25">
      <c r="A1040" s="8" t="s">
        <v>16</v>
      </c>
      <c r="B1040" s="8" t="s">
        <v>17</v>
      </c>
      <c r="C1040" s="8" t="s">
        <v>18</v>
      </c>
      <c r="D1040" s="8">
        <v>2014</v>
      </c>
      <c r="E1040" s="9" t="s">
        <v>570</v>
      </c>
      <c r="F1040" s="10">
        <v>41848</v>
      </c>
      <c r="G1040" s="8"/>
      <c r="H1040" s="17" t="s">
        <v>212</v>
      </c>
      <c r="I1040" s="12">
        <v>-3340</v>
      </c>
      <c r="J1040" s="13" t="s">
        <v>33</v>
      </c>
      <c r="K1040" s="13" t="s">
        <v>34</v>
      </c>
      <c r="L1040" s="13" t="s">
        <v>35</v>
      </c>
      <c r="M1040" s="13"/>
      <c r="N1040" s="14"/>
      <c r="O1040" s="14">
        <f t="shared" si="34"/>
        <v>-3340</v>
      </c>
      <c r="P1040" s="15">
        <f t="shared" si="33"/>
        <v>41848</v>
      </c>
      <c r="Q1040" s="15"/>
      <c r="R1040" s="16"/>
      <c r="S1040" s="16"/>
    </row>
    <row r="1041" spans="1:19" x14ac:dyDescent="0.25">
      <c r="A1041" s="8" t="s">
        <v>16</v>
      </c>
      <c r="B1041" s="8" t="s">
        <v>17</v>
      </c>
      <c r="C1041" s="36" t="s">
        <v>18</v>
      </c>
      <c r="D1041" s="8">
        <v>2014</v>
      </c>
      <c r="E1041" s="9" t="s">
        <v>570</v>
      </c>
      <c r="F1041" s="10">
        <v>41848</v>
      </c>
      <c r="G1041" s="8"/>
      <c r="H1041" s="11" t="s">
        <v>29</v>
      </c>
      <c r="I1041" s="12">
        <v>-2000</v>
      </c>
      <c r="J1041" s="13" t="s">
        <v>21</v>
      </c>
      <c r="K1041" s="13" t="s">
        <v>30</v>
      </c>
      <c r="L1041" s="13" t="s">
        <v>31</v>
      </c>
      <c r="M1041" s="13" t="s">
        <v>28</v>
      </c>
      <c r="N1041" s="14"/>
      <c r="O1041" s="14">
        <f t="shared" si="34"/>
        <v>-2000</v>
      </c>
      <c r="P1041" s="15">
        <f t="shared" si="33"/>
        <v>41848</v>
      </c>
      <c r="Q1041" s="15"/>
      <c r="R1041" s="16"/>
      <c r="S1041" s="16"/>
    </row>
    <row r="1042" spans="1:19" x14ac:dyDescent="0.25">
      <c r="A1042" s="23" t="s">
        <v>16</v>
      </c>
      <c r="B1042" s="23" t="s">
        <v>17</v>
      </c>
      <c r="C1042" s="23" t="s">
        <v>18</v>
      </c>
      <c r="D1042" s="8">
        <v>2014</v>
      </c>
      <c r="E1042" s="9" t="s">
        <v>570</v>
      </c>
      <c r="F1042" s="10">
        <v>41848</v>
      </c>
      <c r="G1042" s="8"/>
      <c r="H1042" s="11" t="s">
        <v>340</v>
      </c>
      <c r="I1042" s="12">
        <f>-1060-1060</f>
        <v>-2120</v>
      </c>
      <c r="J1042" s="13" t="s">
        <v>21</v>
      </c>
      <c r="K1042" s="13" t="s">
        <v>56</v>
      </c>
      <c r="L1042" s="13" t="s">
        <v>57</v>
      </c>
      <c r="M1042" s="13"/>
      <c r="N1042" s="14"/>
      <c r="O1042" s="14">
        <f t="shared" si="34"/>
        <v>-2120</v>
      </c>
      <c r="P1042" s="15">
        <f t="shared" si="33"/>
        <v>41848</v>
      </c>
      <c r="Q1042" s="15"/>
      <c r="R1042" s="16"/>
      <c r="S1042" s="16"/>
    </row>
    <row r="1043" spans="1:19" x14ac:dyDescent="0.25">
      <c r="A1043" s="23" t="s">
        <v>16</v>
      </c>
      <c r="B1043" s="23" t="s">
        <v>17</v>
      </c>
      <c r="C1043" s="23" t="s">
        <v>51</v>
      </c>
      <c r="D1043" s="8">
        <v>2014</v>
      </c>
      <c r="E1043" s="9" t="s">
        <v>570</v>
      </c>
      <c r="F1043" s="10">
        <v>41848</v>
      </c>
      <c r="G1043" s="8">
        <v>11874</v>
      </c>
      <c r="H1043" s="11" t="s">
        <v>657</v>
      </c>
      <c r="I1043" s="12">
        <v>600</v>
      </c>
      <c r="J1043" s="13" t="s">
        <v>53</v>
      </c>
      <c r="K1043" s="13" t="s">
        <v>54</v>
      </c>
      <c r="L1043" s="13"/>
      <c r="M1043" s="13"/>
      <c r="N1043" s="31"/>
      <c r="O1043" s="14">
        <f t="shared" si="34"/>
        <v>600</v>
      </c>
      <c r="P1043" s="15">
        <f t="shared" si="33"/>
        <v>41848</v>
      </c>
      <c r="Q1043" s="56"/>
      <c r="R1043" s="24"/>
      <c r="S1043" s="24"/>
    </row>
    <row r="1044" spans="1:19" x14ac:dyDescent="0.25">
      <c r="A1044" s="23" t="s">
        <v>16</v>
      </c>
      <c r="B1044" s="23" t="s">
        <v>17</v>
      </c>
      <c r="C1044" s="23" t="s">
        <v>51</v>
      </c>
      <c r="D1044" s="8">
        <v>2014</v>
      </c>
      <c r="E1044" s="9" t="s">
        <v>570</v>
      </c>
      <c r="F1044" s="10">
        <v>41848</v>
      </c>
      <c r="G1044" s="8">
        <v>11875</v>
      </c>
      <c r="H1044" s="11" t="s">
        <v>658</v>
      </c>
      <c r="I1044" s="12">
        <v>900</v>
      </c>
      <c r="J1044" s="13" t="s">
        <v>53</v>
      </c>
      <c r="K1044" s="13" t="s">
        <v>54</v>
      </c>
      <c r="L1044" s="13"/>
      <c r="M1044" s="13"/>
      <c r="N1044" s="31"/>
      <c r="O1044" s="14">
        <f t="shared" si="34"/>
        <v>900</v>
      </c>
      <c r="P1044" s="15">
        <f t="shared" si="33"/>
        <v>41848</v>
      </c>
      <c r="Q1044" s="15"/>
      <c r="R1044" s="24"/>
      <c r="S1044" s="24"/>
    </row>
    <row r="1045" spans="1:19" x14ac:dyDescent="0.25">
      <c r="A1045" s="23" t="s">
        <v>16</v>
      </c>
      <c r="B1045" s="23" t="s">
        <v>17</v>
      </c>
      <c r="C1045" s="23" t="s">
        <v>51</v>
      </c>
      <c r="D1045" s="8">
        <v>2014</v>
      </c>
      <c r="E1045" s="9" t="s">
        <v>570</v>
      </c>
      <c r="F1045" s="10">
        <v>41848</v>
      </c>
      <c r="G1045" s="8">
        <v>11859</v>
      </c>
      <c r="H1045" s="11" t="s">
        <v>644</v>
      </c>
      <c r="I1045" s="12">
        <v>3000</v>
      </c>
      <c r="J1045" s="13" t="s">
        <v>53</v>
      </c>
      <c r="K1045" s="13" t="s">
        <v>54</v>
      </c>
      <c r="L1045" s="13"/>
      <c r="M1045" s="13"/>
      <c r="N1045" s="31"/>
      <c r="O1045" s="14">
        <f t="shared" si="34"/>
        <v>3000</v>
      </c>
      <c r="P1045" s="15">
        <f t="shared" si="33"/>
        <v>41848</v>
      </c>
      <c r="Q1045" s="56"/>
      <c r="R1045" s="24"/>
      <c r="S1045" s="24"/>
    </row>
    <row r="1046" spans="1:19" x14ac:dyDescent="0.25">
      <c r="A1046" s="23" t="s">
        <v>16</v>
      </c>
      <c r="B1046" s="65" t="s">
        <v>17</v>
      </c>
      <c r="C1046" s="23" t="s">
        <v>51</v>
      </c>
      <c r="D1046" s="8">
        <v>2014</v>
      </c>
      <c r="E1046" s="9" t="s">
        <v>570</v>
      </c>
      <c r="F1046" s="10">
        <v>41849</v>
      </c>
      <c r="G1046" s="8">
        <v>11816</v>
      </c>
      <c r="H1046" s="11" t="s">
        <v>564</v>
      </c>
      <c r="I1046" s="12">
        <v>-100</v>
      </c>
      <c r="J1046" s="13" t="s">
        <v>53</v>
      </c>
      <c r="K1046" s="13" t="s">
        <v>54</v>
      </c>
      <c r="L1046" s="13"/>
      <c r="M1046" s="13"/>
      <c r="N1046" s="31"/>
      <c r="O1046" s="14">
        <f t="shared" si="34"/>
        <v>-100</v>
      </c>
      <c r="P1046" s="15">
        <f t="shared" ref="P1046:P1109" si="35">F1046</f>
        <v>41849</v>
      </c>
      <c r="Q1046" s="56"/>
      <c r="R1046" s="16"/>
      <c r="S1046" s="16"/>
    </row>
    <row r="1047" spans="1:19" x14ac:dyDescent="0.25">
      <c r="A1047" s="8" t="s">
        <v>16</v>
      </c>
      <c r="B1047" s="8" t="s">
        <v>17</v>
      </c>
      <c r="C1047" s="8" t="s">
        <v>18</v>
      </c>
      <c r="D1047" s="8">
        <v>2014</v>
      </c>
      <c r="E1047" s="9" t="s">
        <v>570</v>
      </c>
      <c r="F1047" s="10">
        <v>41849</v>
      </c>
      <c r="G1047" s="23"/>
      <c r="H1047" s="11" t="s">
        <v>595</v>
      </c>
      <c r="I1047" s="12">
        <f>-300-550</f>
        <v>-850</v>
      </c>
      <c r="J1047" s="54" t="s">
        <v>21</v>
      </c>
      <c r="K1047" s="54" t="s">
        <v>56</v>
      </c>
      <c r="L1047" s="54" t="s">
        <v>57</v>
      </c>
      <c r="M1047" s="13" t="s">
        <v>386</v>
      </c>
      <c r="N1047" s="14"/>
      <c r="O1047" s="14">
        <f t="shared" si="34"/>
        <v>-850</v>
      </c>
      <c r="P1047" s="15">
        <f t="shared" si="35"/>
        <v>41849</v>
      </c>
      <c r="Q1047" s="15"/>
      <c r="R1047" s="16"/>
      <c r="S1047" s="16"/>
    </row>
    <row r="1048" spans="1:19" x14ac:dyDescent="0.25">
      <c r="A1048" s="23" t="s">
        <v>16</v>
      </c>
      <c r="B1048" s="23" t="s">
        <v>17</v>
      </c>
      <c r="C1048" s="23" t="s">
        <v>18</v>
      </c>
      <c r="D1048" s="8">
        <v>2014</v>
      </c>
      <c r="E1048" s="9" t="s">
        <v>570</v>
      </c>
      <c r="F1048" s="10">
        <v>41849</v>
      </c>
      <c r="G1048" s="23"/>
      <c r="H1048" s="13" t="s">
        <v>617</v>
      </c>
      <c r="I1048" s="12">
        <v>-300</v>
      </c>
      <c r="J1048" s="13" t="s">
        <v>38</v>
      </c>
      <c r="K1048" s="13" t="s">
        <v>90</v>
      </c>
      <c r="L1048" s="13" t="s">
        <v>91</v>
      </c>
      <c r="M1048" s="13"/>
      <c r="N1048" s="31"/>
      <c r="O1048" s="14">
        <f t="shared" si="34"/>
        <v>-300</v>
      </c>
      <c r="P1048" s="15">
        <f t="shared" si="35"/>
        <v>41849</v>
      </c>
      <c r="Q1048" s="56"/>
      <c r="R1048" s="11"/>
      <c r="S1048" s="11"/>
    </row>
    <row r="1049" spans="1:19" x14ac:dyDescent="0.25">
      <c r="A1049" s="23" t="s">
        <v>16</v>
      </c>
      <c r="B1049" s="23" t="s">
        <v>17</v>
      </c>
      <c r="C1049" s="23" t="s">
        <v>18</v>
      </c>
      <c r="D1049" s="8">
        <v>2014</v>
      </c>
      <c r="E1049" s="9" t="s">
        <v>570</v>
      </c>
      <c r="F1049" s="10">
        <v>41849</v>
      </c>
      <c r="G1049" s="23"/>
      <c r="H1049" s="13" t="s">
        <v>233</v>
      </c>
      <c r="I1049" s="12">
        <v>-96</v>
      </c>
      <c r="J1049" s="13" t="s">
        <v>21</v>
      </c>
      <c r="K1049" s="13" t="s">
        <v>22</v>
      </c>
      <c r="L1049" s="13" t="s">
        <v>121</v>
      </c>
      <c r="M1049" s="13"/>
      <c r="N1049" s="31"/>
      <c r="O1049" s="14">
        <f t="shared" si="34"/>
        <v>-96</v>
      </c>
      <c r="P1049" s="15">
        <f t="shared" si="35"/>
        <v>41849</v>
      </c>
      <c r="Q1049" s="56"/>
      <c r="R1049" s="11"/>
      <c r="S1049" s="11"/>
    </row>
    <row r="1050" spans="1:19" x14ac:dyDescent="0.25">
      <c r="A1050" s="23" t="s">
        <v>16</v>
      </c>
      <c r="B1050" s="23" t="s">
        <v>17</v>
      </c>
      <c r="C1050" s="36" t="s">
        <v>46</v>
      </c>
      <c r="D1050" s="8">
        <v>2014</v>
      </c>
      <c r="E1050" s="9" t="s">
        <v>570</v>
      </c>
      <c r="F1050" s="10">
        <v>41850</v>
      </c>
      <c r="G1050" s="23"/>
      <c r="H1050" s="17" t="s">
        <v>659</v>
      </c>
      <c r="I1050" s="12">
        <v>-500</v>
      </c>
      <c r="J1050" s="13" t="s">
        <v>48</v>
      </c>
      <c r="K1050" s="13" t="s">
        <v>326</v>
      </c>
      <c r="L1050" s="13"/>
      <c r="M1050" s="13" t="s">
        <v>226</v>
      </c>
      <c r="N1050" s="14"/>
      <c r="O1050" s="14">
        <f t="shared" si="34"/>
        <v>-500</v>
      </c>
      <c r="P1050" s="15">
        <f t="shared" si="35"/>
        <v>41850</v>
      </c>
      <c r="Q1050" s="15"/>
      <c r="R1050" s="16"/>
      <c r="S1050" s="16"/>
    </row>
    <row r="1051" spans="1:19" x14ac:dyDescent="0.25">
      <c r="A1051" s="23" t="s">
        <v>16</v>
      </c>
      <c r="B1051" s="23" t="s">
        <v>17</v>
      </c>
      <c r="C1051" s="23" t="s">
        <v>18</v>
      </c>
      <c r="D1051" s="8">
        <v>2014</v>
      </c>
      <c r="E1051" s="9" t="s">
        <v>570</v>
      </c>
      <c r="F1051" s="10">
        <v>41850</v>
      </c>
      <c r="G1051" s="8" t="s">
        <v>357</v>
      </c>
      <c r="H1051" s="11" t="s">
        <v>406</v>
      </c>
      <c r="I1051" s="12">
        <v>-120</v>
      </c>
      <c r="J1051" s="13" t="s">
        <v>21</v>
      </c>
      <c r="K1051" s="13" t="s">
        <v>143</v>
      </c>
      <c r="L1051" s="13" t="s">
        <v>173</v>
      </c>
      <c r="M1051" s="13"/>
      <c r="N1051" s="14"/>
      <c r="O1051" s="14">
        <f t="shared" si="34"/>
        <v>-120</v>
      </c>
      <c r="P1051" s="15">
        <f t="shared" si="35"/>
        <v>41850</v>
      </c>
      <c r="Q1051" s="15"/>
      <c r="R1051" s="24"/>
      <c r="S1051" s="24"/>
    </row>
    <row r="1052" spans="1:19" x14ac:dyDescent="0.25">
      <c r="A1052" s="23" t="s">
        <v>16</v>
      </c>
      <c r="B1052" s="23" t="s">
        <v>17</v>
      </c>
      <c r="C1052" s="23" t="s">
        <v>18</v>
      </c>
      <c r="D1052" s="8">
        <v>2014</v>
      </c>
      <c r="E1052" s="9" t="s">
        <v>570</v>
      </c>
      <c r="F1052" s="10">
        <v>41850</v>
      </c>
      <c r="G1052" s="23"/>
      <c r="H1052" s="13" t="s">
        <v>627</v>
      </c>
      <c r="I1052" s="12">
        <f>-38-20</f>
        <v>-58</v>
      </c>
      <c r="J1052" s="13" t="s">
        <v>21</v>
      </c>
      <c r="K1052" s="13" t="s">
        <v>22</v>
      </c>
      <c r="L1052" s="13" t="s">
        <v>71</v>
      </c>
      <c r="M1052" s="13"/>
      <c r="N1052" s="14"/>
      <c r="O1052" s="14">
        <f t="shared" si="34"/>
        <v>-58</v>
      </c>
      <c r="P1052" s="15">
        <f t="shared" si="35"/>
        <v>41850</v>
      </c>
      <c r="Q1052" s="15"/>
      <c r="R1052" s="24"/>
      <c r="S1052" s="24"/>
    </row>
    <row r="1053" spans="1:19" x14ac:dyDescent="0.25">
      <c r="A1053" s="23" t="s">
        <v>16</v>
      </c>
      <c r="B1053" s="23" t="s">
        <v>17</v>
      </c>
      <c r="C1053" s="36" t="s">
        <v>46</v>
      </c>
      <c r="D1053" s="8">
        <v>2014</v>
      </c>
      <c r="E1053" s="9" t="s">
        <v>570</v>
      </c>
      <c r="F1053" s="10">
        <v>41850</v>
      </c>
      <c r="G1053" s="23"/>
      <c r="H1053" s="17" t="s">
        <v>660</v>
      </c>
      <c r="I1053" s="12">
        <v>-5000</v>
      </c>
      <c r="J1053" s="13" t="s">
        <v>48</v>
      </c>
      <c r="K1053" s="13" t="s">
        <v>326</v>
      </c>
      <c r="L1053" s="13"/>
      <c r="M1053" s="13"/>
      <c r="N1053" s="14"/>
      <c r="O1053" s="14">
        <f t="shared" si="34"/>
        <v>-5000</v>
      </c>
      <c r="P1053" s="15">
        <f t="shared" si="35"/>
        <v>41850</v>
      </c>
      <c r="Q1053" s="15"/>
      <c r="R1053" s="16"/>
      <c r="S1053" s="16"/>
    </row>
    <row r="1054" spans="1:19" x14ac:dyDescent="0.25">
      <c r="A1054" s="23" t="s">
        <v>16</v>
      </c>
      <c r="B1054" s="23" t="s">
        <v>17</v>
      </c>
      <c r="C1054" s="23" t="s">
        <v>18</v>
      </c>
      <c r="D1054" s="8">
        <v>2014</v>
      </c>
      <c r="E1054" s="9" t="s">
        <v>570</v>
      </c>
      <c r="F1054" s="10">
        <v>41850</v>
      </c>
      <c r="G1054" s="23"/>
      <c r="H1054" s="13" t="s">
        <v>122</v>
      </c>
      <c r="I1054" s="12">
        <v>-10000</v>
      </c>
      <c r="J1054" s="13" t="s">
        <v>33</v>
      </c>
      <c r="K1054" s="13" t="s">
        <v>123</v>
      </c>
      <c r="L1054" s="13" t="s">
        <v>124</v>
      </c>
      <c r="M1054" s="25" t="s">
        <v>125</v>
      </c>
      <c r="N1054" s="31"/>
      <c r="O1054" s="14">
        <f t="shared" si="34"/>
        <v>-10000</v>
      </c>
      <c r="P1054" s="15">
        <f t="shared" si="35"/>
        <v>41850</v>
      </c>
      <c r="Q1054" s="15"/>
      <c r="R1054" s="16"/>
      <c r="S1054" s="16"/>
    </row>
    <row r="1055" spans="1:19" x14ac:dyDescent="0.25">
      <c r="A1055" s="23" t="s">
        <v>16</v>
      </c>
      <c r="B1055" s="23" t="s">
        <v>17</v>
      </c>
      <c r="C1055" s="23" t="s">
        <v>18</v>
      </c>
      <c r="D1055" s="8">
        <v>2014</v>
      </c>
      <c r="E1055" s="9" t="s">
        <v>570</v>
      </c>
      <c r="F1055" s="10">
        <v>41850</v>
      </c>
      <c r="G1055" s="8"/>
      <c r="H1055" s="11" t="s">
        <v>340</v>
      </c>
      <c r="I1055" s="12">
        <v>-1120</v>
      </c>
      <c r="J1055" s="13" t="s">
        <v>21</v>
      </c>
      <c r="K1055" s="13" t="s">
        <v>56</v>
      </c>
      <c r="L1055" s="13" t="s">
        <v>57</v>
      </c>
      <c r="M1055" s="13"/>
      <c r="N1055" s="14"/>
      <c r="O1055" s="14">
        <f t="shared" si="34"/>
        <v>-1120</v>
      </c>
      <c r="P1055" s="15">
        <f t="shared" si="35"/>
        <v>41850</v>
      </c>
      <c r="Q1055" s="15"/>
      <c r="R1055" s="16"/>
      <c r="S1055" s="16"/>
    </row>
    <row r="1056" spans="1:19" x14ac:dyDescent="0.25">
      <c r="A1056" s="23" t="s">
        <v>16</v>
      </c>
      <c r="B1056" s="23" t="s">
        <v>17</v>
      </c>
      <c r="C1056" s="23" t="s">
        <v>51</v>
      </c>
      <c r="D1056" s="8">
        <v>2014</v>
      </c>
      <c r="E1056" s="9" t="s">
        <v>570</v>
      </c>
      <c r="F1056" s="10">
        <v>41850</v>
      </c>
      <c r="G1056" s="8">
        <v>11851</v>
      </c>
      <c r="H1056" s="11" t="s">
        <v>625</v>
      </c>
      <c r="I1056" s="12">
        <v>7800</v>
      </c>
      <c r="J1056" s="13" t="s">
        <v>53</v>
      </c>
      <c r="K1056" s="13" t="s">
        <v>54</v>
      </c>
      <c r="L1056" s="13"/>
      <c r="M1056" s="13"/>
      <c r="N1056" s="31"/>
      <c r="O1056" s="14">
        <f t="shared" si="34"/>
        <v>7800</v>
      </c>
      <c r="P1056" s="15">
        <f t="shared" si="35"/>
        <v>41850</v>
      </c>
      <c r="Q1056" s="15"/>
      <c r="R1056" s="24"/>
      <c r="S1056" s="24"/>
    </row>
    <row r="1057" spans="1:19" x14ac:dyDescent="0.25">
      <c r="A1057" s="23" t="s">
        <v>16</v>
      </c>
      <c r="B1057" s="23" t="s">
        <v>17</v>
      </c>
      <c r="C1057" s="23" t="s">
        <v>51</v>
      </c>
      <c r="D1057" s="8">
        <v>2014</v>
      </c>
      <c r="E1057" s="9" t="s">
        <v>570</v>
      </c>
      <c r="F1057" s="10">
        <v>41850</v>
      </c>
      <c r="G1057" s="8">
        <v>11852</v>
      </c>
      <c r="H1057" s="11" t="s">
        <v>661</v>
      </c>
      <c r="I1057" s="12">
        <v>3500</v>
      </c>
      <c r="J1057" s="13" t="s">
        <v>53</v>
      </c>
      <c r="K1057" s="13" t="s">
        <v>54</v>
      </c>
      <c r="L1057" s="13"/>
      <c r="M1057" s="13"/>
      <c r="N1057" s="31"/>
      <c r="O1057" s="14">
        <f t="shared" si="34"/>
        <v>3500</v>
      </c>
      <c r="P1057" s="15">
        <f t="shared" si="35"/>
        <v>41850</v>
      </c>
      <c r="Q1057" s="15"/>
      <c r="R1057" s="24"/>
      <c r="S1057" s="24"/>
    </row>
    <row r="1058" spans="1:19" x14ac:dyDescent="0.25">
      <c r="A1058" s="23" t="s">
        <v>16</v>
      </c>
      <c r="B1058" s="23" t="s">
        <v>17</v>
      </c>
      <c r="C1058" s="23" t="s">
        <v>51</v>
      </c>
      <c r="D1058" s="8">
        <v>2014</v>
      </c>
      <c r="E1058" s="9" t="s">
        <v>570</v>
      </c>
      <c r="F1058" s="10">
        <v>41850</v>
      </c>
      <c r="G1058" s="8">
        <v>11879</v>
      </c>
      <c r="H1058" s="11" t="s">
        <v>662</v>
      </c>
      <c r="I1058" s="12">
        <v>7200</v>
      </c>
      <c r="J1058" s="13" t="s">
        <v>53</v>
      </c>
      <c r="K1058" s="13" t="s">
        <v>54</v>
      </c>
      <c r="L1058" s="13"/>
      <c r="M1058" s="13"/>
      <c r="N1058" s="31"/>
      <c r="O1058" s="14">
        <f t="shared" si="34"/>
        <v>7200</v>
      </c>
      <c r="P1058" s="15">
        <f t="shared" si="35"/>
        <v>41850</v>
      </c>
      <c r="Q1058" s="15"/>
      <c r="R1058" s="24"/>
      <c r="S1058" s="24"/>
    </row>
    <row r="1059" spans="1:19" x14ac:dyDescent="0.25">
      <c r="A1059" s="8" t="s">
        <v>16</v>
      </c>
      <c r="B1059" s="8" t="s">
        <v>17</v>
      </c>
      <c r="C1059" s="8" t="s">
        <v>18</v>
      </c>
      <c r="D1059" s="8">
        <v>2014</v>
      </c>
      <c r="E1059" s="9" t="s">
        <v>570</v>
      </c>
      <c r="F1059" s="10">
        <v>41851</v>
      </c>
      <c r="G1059" s="23"/>
      <c r="H1059" s="17" t="s">
        <v>62</v>
      </c>
      <c r="I1059" s="12">
        <f>-45-10-130</f>
        <v>-185</v>
      </c>
      <c r="J1059" s="13" t="s">
        <v>21</v>
      </c>
      <c r="K1059" s="13" t="s">
        <v>63</v>
      </c>
      <c r="L1059" s="13" t="s">
        <v>64</v>
      </c>
      <c r="M1059" s="13"/>
      <c r="N1059" s="14"/>
      <c r="O1059" s="14">
        <f t="shared" si="34"/>
        <v>-185</v>
      </c>
      <c r="P1059" s="15">
        <f t="shared" si="35"/>
        <v>41851</v>
      </c>
      <c r="Q1059" s="15"/>
      <c r="R1059" s="16"/>
      <c r="S1059" s="16"/>
    </row>
    <row r="1060" spans="1:19" x14ac:dyDescent="0.25">
      <c r="A1060" s="8" t="s">
        <v>16</v>
      </c>
      <c r="B1060" s="8" t="s">
        <v>17</v>
      </c>
      <c r="C1060" s="8" t="s">
        <v>18</v>
      </c>
      <c r="D1060" s="8">
        <v>2014</v>
      </c>
      <c r="E1060" s="9" t="s">
        <v>570</v>
      </c>
      <c r="F1060" s="10">
        <v>41851</v>
      </c>
      <c r="G1060" s="23"/>
      <c r="H1060" s="13" t="s">
        <v>642</v>
      </c>
      <c r="I1060" s="12">
        <v>-200</v>
      </c>
      <c r="J1060" s="13" t="s">
        <v>21</v>
      </c>
      <c r="K1060" s="13" t="s">
        <v>22</v>
      </c>
      <c r="L1060" s="13" t="s">
        <v>23</v>
      </c>
      <c r="M1060" s="13"/>
      <c r="N1060" s="31"/>
      <c r="O1060" s="14">
        <f t="shared" si="34"/>
        <v>-200</v>
      </c>
      <c r="P1060" s="15">
        <f t="shared" si="35"/>
        <v>41851</v>
      </c>
      <c r="Q1060" s="15"/>
      <c r="R1060" s="26"/>
      <c r="S1060" s="26"/>
    </row>
    <row r="1061" spans="1:19" x14ac:dyDescent="0.25">
      <c r="A1061" s="23" t="s">
        <v>16</v>
      </c>
      <c r="B1061" s="23" t="s">
        <v>17</v>
      </c>
      <c r="C1061" s="23" t="s">
        <v>18</v>
      </c>
      <c r="D1061" s="8">
        <v>2014</v>
      </c>
      <c r="E1061" s="9" t="s">
        <v>570</v>
      </c>
      <c r="F1061" s="10">
        <v>41851</v>
      </c>
      <c r="G1061" s="8"/>
      <c r="H1061" s="11" t="s">
        <v>340</v>
      </c>
      <c r="I1061" s="12">
        <v>-460</v>
      </c>
      <c r="J1061" s="13" t="s">
        <v>21</v>
      </c>
      <c r="K1061" s="13" t="s">
        <v>56</v>
      </c>
      <c r="L1061" s="13" t="s">
        <v>57</v>
      </c>
      <c r="M1061" s="13"/>
      <c r="N1061" s="14"/>
      <c r="O1061" s="14">
        <f t="shared" si="34"/>
        <v>-460</v>
      </c>
      <c r="P1061" s="15">
        <f t="shared" si="35"/>
        <v>41851</v>
      </c>
      <c r="Q1061" s="15"/>
      <c r="R1061" s="16"/>
      <c r="S1061" s="16"/>
    </row>
    <row r="1062" spans="1:19" x14ac:dyDescent="0.25">
      <c r="A1062" s="8" t="s">
        <v>16</v>
      </c>
      <c r="B1062" s="8" t="s">
        <v>17</v>
      </c>
      <c r="C1062" s="8" t="s">
        <v>18</v>
      </c>
      <c r="D1062" s="8">
        <v>2014</v>
      </c>
      <c r="E1062" s="9" t="s">
        <v>570</v>
      </c>
      <c r="F1062" s="10">
        <v>41851</v>
      </c>
      <c r="G1062" s="23"/>
      <c r="H1062" s="11" t="s">
        <v>595</v>
      </c>
      <c r="I1062" s="12">
        <v>-700</v>
      </c>
      <c r="J1062" s="54" t="s">
        <v>21</v>
      </c>
      <c r="K1062" s="54" t="s">
        <v>56</v>
      </c>
      <c r="L1062" s="54" t="s">
        <v>57</v>
      </c>
      <c r="M1062" s="13" t="s">
        <v>386</v>
      </c>
      <c r="N1062" s="14"/>
      <c r="O1062" s="14">
        <f t="shared" si="34"/>
        <v>-700</v>
      </c>
      <c r="P1062" s="15">
        <f t="shared" si="35"/>
        <v>41851</v>
      </c>
      <c r="Q1062" s="15"/>
      <c r="R1062" s="16"/>
      <c r="S1062" s="16"/>
    </row>
    <row r="1063" spans="1:19" x14ac:dyDescent="0.25">
      <c r="A1063" s="23" t="s">
        <v>16</v>
      </c>
      <c r="B1063" s="23" t="s">
        <v>17</v>
      </c>
      <c r="C1063" s="23" t="s">
        <v>18</v>
      </c>
      <c r="D1063" s="8">
        <v>2014</v>
      </c>
      <c r="E1063" s="9" t="s">
        <v>570</v>
      </c>
      <c r="F1063" s="10">
        <v>41851</v>
      </c>
      <c r="G1063" s="8"/>
      <c r="H1063" s="11" t="s">
        <v>399</v>
      </c>
      <c r="I1063" s="12">
        <f>-76-47-8-50</f>
        <v>-181</v>
      </c>
      <c r="J1063" s="13" t="s">
        <v>21</v>
      </c>
      <c r="K1063" s="13" t="s">
        <v>56</v>
      </c>
      <c r="L1063" s="13" t="s">
        <v>111</v>
      </c>
      <c r="M1063" s="13" t="s">
        <v>28</v>
      </c>
      <c r="N1063" s="31"/>
      <c r="O1063" s="14">
        <f t="shared" si="34"/>
        <v>-181</v>
      </c>
      <c r="P1063" s="15">
        <f t="shared" si="35"/>
        <v>41851</v>
      </c>
      <c r="Q1063" s="56"/>
      <c r="R1063" s="16"/>
      <c r="S1063" s="16"/>
    </row>
    <row r="1064" spans="1:19" x14ac:dyDescent="0.25">
      <c r="A1064" s="23" t="s">
        <v>16</v>
      </c>
      <c r="B1064" s="23" t="s">
        <v>17</v>
      </c>
      <c r="C1064" s="23" t="s">
        <v>51</v>
      </c>
      <c r="D1064" s="8">
        <v>2014</v>
      </c>
      <c r="E1064" s="9" t="s">
        <v>570</v>
      </c>
      <c r="F1064" s="10">
        <v>41851</v>
      </c>
      <c r="G1064" s="8">
        <v>11880</v>
      </c>
      <c r="H1064" s="11" t="s">
        <v>663</v>
      </c>
      <c r="I1064" s="12">
        <v>2000</v>
      </c>
      <c r="J1064" s="13" t="s">
        <v>53</v>
      </c>
      <c r="K1064" s="13" t="s">
        <v>54</v>
      </c>
      <c r="L1064" s="13"/>
      <c r="M1064" s="13"/>
      <c r="N1064" s="31"/>
      <c r="O1064" s="14">
        <f t="shared" si="34"/>
        <v>2000</v>
      </c>
      <c r="P1064" s="15">
        <f t="shared" si="35"/>
        <v>41851</v>
      </c>
      <c r="Q1064" s="56"/>
      <c r="R1064" s="24"/>
      <c r="S1064" s="24"/>
    </row>
    <row r="1065" spans="1:19" x14ac:dyDescent="0.25">
      <c r="A1065" s="23" t="s">
        <v>16</v>
      </c>
      <c r="B1065" s="23" t="s">
        <v>17</v>
      </c>
      <c r="C1065" s="23" t="s">
        <v>51</v>
      </c>
      <c r="D1065" s="8">
        <v>2014</v>
      </c>
      <c r="E1065" s="9" t="s">
        <v>570</v>
      </c>
      <c r="F1065" s="10">
        <v>41851</v>
      </c>
      <c r="G1065" s="8">
        <v>11879</v>
      </c>
      <c r="H1065" s="11" t="s">
        <v>662</v>
      </c>
      <c r="I1065" s="12">
        <v>3000</v>
      </c>
      <c r="J1065" s="13" t="s">
        <v>53</v>
      </c>
      <c r="K1065" s="13" t="s">
        <v>54</v>
      </c>
      <c r="L1065" s="13"/>
      <c r="M1065" s="13"/>
      <c r="N1065" s="31"/>
      <c r="O1065" s="14">
        <f t="shared" si="34"/>
        <v>3000</v>
      </c>
      <c r="P1065" s="15">
        <f t="shared" si="35"/>
        <v>41851</v>
      </c>
      <c r="Q1065" s="56"/>
      <c r="R1065" s="24"/>
      <c r="S1065" s="24"/>
    </row>
    <row r="1066" spans="1:19" x14ac:dyDescent="0.25">
      <c r="A1066" s="8" t="s">
        <v>16</v>
      </c>
      <c r="B1066" s="8" t="s">
        <v>17</v>
      </c>
      <c r="C1066" s="8" t="s">
        <v>41</v>
      </c>
      <c r="D1066" s="8">
        <v>2014</v>
      </c>
      <c r="E1066" s="9" t="s">
        <v>664</v>
      </c>
      <c r="F1066" s="10">
        <v>41852</v>
      </c>
      <c r="G1066" s="8"/>
      <c r="H1066" s="11" t="s">
        <v>43</v>
      </c>
      <c r="I1066" s="29"/>
      <c r="J1066" s="13" t="s">
        <v>44</v>
      </c>
      <c r="K1066" s="13"/>
      <c r="L1066" s="13"/>
      <c r="M1066" s="13"/>
      <c r="N1066" s="14"/>
      <c r="O1066" s="14">
        <f t="shared" si="34"/>
        <v>0</v>
      </c>
      <c r="P1066" s="15">
        <f t="shared" si="35"/>
        <v>41852</v>
      </c>
      <c r="Q1066" s="15"/>
      <c r="R1066" s="26"/>
      <c r="S1066" s="16"/>
    </row>
    <row r="1067" spans="1:19" x14ac:dyDescent="0.25">
      <c r="A1067" s="8" t="s">
        <v>16</v>
      </c>
      <c r="B1067" s="8" t="s">
        <v>45</v>
      </c>
      <c r="C1067" s="8" t="s">
        <v>41</v>
      </c>
      <c r="D1067" s="8">
        <v>2014</v>
      </c>
      <c r="E1067" s="9" t="s">
        <v>664</v>
      </c>
      <c r="F1067" s="10">
        <v>41852</v>
      </c>
      <c r="G1067" s="8"/>
      <c r="H1067" s="11" t="s">
        <v>43</v>
      </c>
      <c r="I1067" s="29"/>
      <c r="J1067" s="13" t="s">
        <v>44</v>
      </c>
      <c r="K1067" s="13"/>
      <c r="L1067" s="13"/>
      <c r="M1067" s="13"/>
      <c r="N1067" s="14">
        <v>11.12</v>
      </c>
      <c r="O1067" s="14">
        <f t="shared" si="34"/>
        <v>0</v>
      </c>
      <c r="P1067" s="15">
        <f t="shared" si="35"/>
        <v>41852</v>
      </c>
      <c r="Q1067" s="15"/>
      <c r="R1067" s="26"/>
      <c r="S1067" s="16"/>
    </row>
    <row r="1068" spans="1:19" x14ac:dyDescent="0.25">
      <c r="A1068" s="8" t="s">
        <v>16</v>
      </c>
      <c r="B1068" s="8" t="s">
        <v>17</v>
      </c>
      <c r="C1068" s="8" t="s">
        <v>18</v>
      </c>
      <c r="D1068" s="8">
        <v>2014</v>
      </c>
      <c r="E1068" s="9" t="s">
        <v>664</v>
      </c>
      <c r="F1068" s="30">
        <v>41852</v>
      </c>
      <c r="G1068" s="23"/>
      <c r="H1068" s="17" t="s">
        <v>62</v>
      </c>
      <c r="I1068" s="12">
        <v>-100</v>
      </c>
      <c r="J1068" s="13" t="s">
        <v>21</v>
      </c>
      <c r="K1068" s="13" t="s">
        <v>63</v>
      </c>
      <c r="L1068" s="13" t="s">
        <v>64</v>
      </c>
      <c r="M1068" s="13"/>
      <c r="N1068" s="14"/>
      <c r="O1068" s="14">
        <f t="shared" si="34"/>
        <v>-100</v>
      </c>
      <c r="P1068" s="15">
        <f t="shared" si="35"/>
        <v>41852</v>
      </c>
      <c r="Q1068" s="56"/>
      <c r="R1068" s="16"/>
      <c r="S1068" s="16"/>
    </row>
    <row r="1069" spans="1:19" x14ac:dyDescent="0.25">
      <c r="A1069" s="23" t="s">
        <v>16</v>
      </c>
      <c r="B1069" s="23" t="s">
        <v>17</v>
      </c>
      <c r="C1069" s="23" t="s">
        <v>18</v>
      </c>
      <c r="D1069" s="8">
        <v>2014</v>
      </c>
      <c r="E1069" s="9" t="s">
        <v>664</v>
      </c>
      <c r="F1069" s="10">
        <v>41852</v>
      </c>
      <c r="G1069" s="23"/>
      <c r="H1069" s="13" t="s">
        <v>252</v>
      </c>
      <c r="I1069" s="12">
        <v>-50</v>
      </c>
      <c r="J1069" s="13" t="s">
        <v>21</v>
      </c>
      <c r="K1069" s="13" t="s">
        <v>22</v>
      </c>
      <c r="L1069" s="13" t="s">
        <v>71</v>
      </c>
      <c r="M1069" s="13" t="s">
        <v>206</v>
      </c>
      <c r="N1069" s="31"/>
      <c r="O1069" s="14">
        <f t="shared" si="34"/>
        <v>-50</v>
      </c>
      <c r="P1069" s="15">
        <f t="shared" si="35"/>
        <v>41852</v>
      </c>
      <c r="Q1069" s="15"/>
      <c r="R1069" s="26"/>
      <c r="S1069" s="26"/>
    </row>
    <row r="1070" spans="1:19" x14ac:dyDescent="0.25">
      <c r="A1070" s="8" t="s">
        <v>16</v>
      </c>
      <c r="B1070" s="8" t="s">
        <v>17</v>
      </c>
      <c r="C1070" s="8" t="s">
        <v>18</v>
      </c>
      <c r="D1070" s="8">
        <v>2014</v>
      </c>
      <c r="E1070" s="9" t="s">
        <v>664</v>
      </c>
      <c r="F1070" s="10">
        <v>41852</v>
      </c>
      <c r="G1070" s="8"/>
      <c r="H1070" s="13" t="s">
        <v>80</v>
      </c>
      <c r="I1070" s="12">
        <v>-50</v>
      </c>
      <c r="J1070" s="13" t="s">
        <v>21</v>
      </c>
      <c r="K1070" s="13" t="s">
        <v>22</v>
      </c>
      <c r="L1070" s="13" t="s">
        <v>23</v>
      </c>
      <c r="M1070" s="13" t="s">
        <v>28</v>
      </c>
      <c r="N1070" s="14"/>
      <c r="O1070" s="14">
        <f t="shared" si="34"/>
        <v>-50</v>
      </c>
      <c r="P1070" s="15">
        <f t="shared" si="35"/>
        <v>41852</v>
      </c>
      <c r="Q1070" s="15"/>
      <c r="R1070" s="26"/>
      <c r="S1070" s="26"/>
    </row>
    <row r="1071" spans="1:19" x14ac:dyDescent="0.25">
      <c r="A1071" s="23" t="s">
        <v>16</v>
      </c>
      <c r="B1071" s="23" t="s">
        <v>17</v>
      </c>
      <c r="C1071" s="23" t="s">
        <v>18</v>
      </c>
      <c r="D1071" s="8">
        <v>2014</v>
      </c>
      <c r="E1071" s="9" t="s">
        <v>664</v>
      </c>
      <c r="F1071" s="10">
        <v>41852</v>
      </c>
      <c r="G1071" s="23"/>
      <c r="H1071" s="13" t="s">
        <v>556</v>
      </c>
      <c r="I1071" s="12">
        <f>-400-200</f>
        <v>-600</v>
      </c>
      <c r="J1071" s="13" t="s">
        <v>38</v>
      </c>
      <c r="K1071" s="13" t="s">
        <v>90</v>
      </c>
      <c r="L1071" s="13" t="s">
        <v>91</v>
      </c>
      <c r="M1071" s="13"/>
      <c r="N1071" s="31"/>
      <c r="O1071" s="14">
        <f t="shared" si="34"/>
        <v>-600</v>
      </c>
      <c r="P1071" s="15">
        <f t="shared" si="35"/>
        <v>41852</v>
      </c>
      <c r="Q1071" s="15"/>
      <c r="R1071" s="16"/>
      <c r="S1071" s="16"/>
    </row>
    <row r="1072" spans="1:19" x14ac:dyDescent="0.25">
      <c r="A1072" s="23" t="s">
        <v>16</v>
      </c>
      <c r="B1072" s="65" t="s">
        <v>17</v>
      </c>
      <c r="C1072" s="23" t="s">
        <v>18</v>
      </c>
      <c r="D1072" s="8">
        <v>2014</v>
      </c>
      <c r="E1072" s="9" t="s">
        <v>664</v>
      </c>
      <c r="F1072" s="10">
        <v>41852</v>
      </c>
      <c r="G1072" s="23"/>
      <c r="H1072" s="13" t="s">
        <v>665</v>
      </c>
      <c r="I1072" s="12">
        <v>-200</v>
      </c>
      <c r="J1072" s="13" t="s">
        <v>38</v>
      </c>
      <c r="K1072" s="13" t="s">
        <v>90</v>
      </c>
      <c r="L1072" s="13" t="s">
        <v>91</v>
      </c>
      <c r="M1072" s="13"/>
      <c r="N1072" s="31"/>
      <c r="O1072" s="14">
        <f t="shared" si="34"/>
        <v>-200</v>
      </c>
      <c r="P1072" s="15">
        <f t="shared" si="35"/>
        <v>41852</v>
      </c>
      <c r="Q1072" s="56"/>
      <c r="R1072" s="16"/>
      <c r="S1072" s="16"/>
    </row>
    <row r="1073" spans="1:19" x14ac:dyDescent="0.25">
      <c r="A1073" s="23" t="s">
        <v>16</v>
      </c>
      <c r="B1073" s="23" t="s">
        <v>17</v>
      </c>
      <c r="C1073" s="23" t="s">
        <v>18</v>
      </c>
      <c r="D1073" s="8">
        <v>2014</v>
      </c>
      <c r="E1073" s="9" t="s">
        <v>664</v>
      </c>
      <c r="F1073" s="10">
        <v>41852</v>
      </c>
      <c r="G1073" s="23"/>
      <c r="H1073" s="13" t="s">
        <v>666</v>
      </c>
      <c r="I1073" s="12">
        <f>-1000-2000-3876</f>
        <v>-6876</v>
      </c>
      <c r="J1073" s="13" t="s">
        <v>38</v>
      </c>
      <c r="K1073" s="13" t="s">
        <v>90</v>
      </c>
      <c r="L1073" s="13" t="s">
        <v>91</v>
      </c>
      <c r="M1073" s="13"/>
      <c r="N1073" s="31"/>
      <c r="O1073" s="14">
        <f t="shared" si="34"/>
        <v>-6876</v>
      </c>
      <c r="P1073" s="15">
        <f t="shared" si="35"/>
        <v>41852</v>
      </c>
      <c r="Q1073" s="15"/>
      <c r="R1073" s="16"/>
      <c r="S1073" s="16"/>
    </row>
    <row r="1074" spans="1:19" x14ac:dyDescent="0.25">
      <c r="A1074" s="23" t="s">
        <v>16</v>
      </c>
      <c r="B1074" s="23" t="s">
        <v>17</v>
      </c>
      <c r="C1074" s="23" t="s">
        <v>18</v>
      </c>
      <c r="D1074" s="8">
        <v>2014</v>
      </c>
      <c r="E1074" s="9" t="s">
        <v>664</v>
      </c>
      <c r="F1074" s="10">
        <v>41852</v>
      </c>
      <c r="G1074" s="23"/>
      <c r="H1074" s="13" t="s">
        <v>667</v>
      </c>
      <c r="I1074" s="12">
        <v>-300</v>
      </c>
      <c r="J1074" s="13" t="s">
        <v>38</v>
      </c>
      <c r="K1074" s="13" t="s">
        <v>90</v>
      </c>
      <c r="L1074" s="13" t="s">
        <v>91</v>
      </c>
      <c r="M1074" s="13"/>
      <c r="N1074" s="31"/>
      <c r="O1074" s="14">
        <f t="shared" si="34"/>
        <v>-300</v>
      </c>
      <c r="P1074" s="15">
        <f t="shared" si="35"/>
        <v>41852</v>
      </c>
      <c r="Q1074" s="15"/>
      <c r="R1074" s="16"/>
      <c r="S1074" s="16"/>
    </row>
    <row r="1075" spans="1:19" x14ac:dyDescent="0.25">
      <c r="A1075" s="8" t="s">
        <v>16</v>
      </c>
      <c r="B1075" s="8" t="s">
        <v>17</v>
      </c>
      <c r="C1075" s="8" t="s">
        <v>18</v>
      </c>
      <c r="D1075" s="8">
        <v>2014</v>
      </c>
      <c r="E1075" s="9" t="s">
        <v>664</v>
      </c>
      <c r="F1075" s="10">
        <v>41852</v>
      </c>
      <c r="G1075" s="8"/>
      <c r="H1075" s="13" t="s">
        <v>153</v>
      </c>
      <c r="I1075" s="12">
        <v>-180</v>
      </c>
      <c r="J1075" s="13" t="s">
        <v>33</v>
      </c>
      <c r="K1075" s="13" t="s">
        <v>34</v>
      </c>
      <c r="L1075" s="13" t="s">
        <v>76</v>
      </c>
      <c r="M1075" s="13"/>
      <c r="N1075" s="14"/>
      <c r="O1075" s="14">
        <f t="shared" si="34"/>
        <v>-180</v>
      </c>
      <c r="P1075" s="15">
        <f t="shared" si="35"/>
        <v>41852</v>
      </c>
      <c r="Q1075" s="15"/>
      <c r="R1075" s="26"/>
      <c r="S1075" s="26"/>
    </row>
    <row r="1076" spans="1:19" x14ac:dyDescent="0.25">
      <c r="A1076" s="8" t="s">
        <v>16</v>
      </c>
      <c r="B1076" s="8" t="s">
        <v>17</v>
      </c>
      <c r="C1076" s="8" t="s">
        <v>18</v>
      </c>
      <c r="D1076" s="8">
        <v>2014</v>
      </c>
      <c r="E1076" s="9" t="s">
        <v>664</v>
      </c>
      <c r="F1076" s="10">
        <v>41852</v>
      </c>
      <c r="G1076" s="23"/>
      <c r="H1076" s="11" t="s">
        <v>595</v>
      </c>
      <c r="I1076" s="12">
        <v>-300</v>
      </c>
      <c r="J1076" s="54" t="s">
        <v>21</v>
      </c>
      <c r="K1076" s="54" t="s">
        <v>56</v>
      </c>
      <c r="L1076" s="54" t="s">
        <v>57</v>
      </c>
      <c r="M1076" s="13" t="s">
        <v>386</v>
      </c>
      <c r="N1076" s="14"/>
      <c r="O1076" s="14">
        <f t="shared" si="34"/>
        <v>-300</v>
      </c>
      <c r="P1076" s="15">
        <f t="shared" si="35"/>
        <v>41852</v>
      </c>
      <c r="Q1076" s="56"/>
      <c r="R1076" s="16"/>
      <c r="S1076" s="16"/>
    </row>
    <row r="1077" spans="1:19" x14ac:dyDescent="0.25">
      <c r="A1077" s="23" t="s">
        <v>16</v>
      </c>
      <c r="B1077" s="23" t="s">
        <v>17</v>
      </c>
      <c r="C1077" s="23" t="s">
        <v>18</v>
      </c>
      <c r="D1077" s="8">
        <v>2014</v>
      </c>
      <c r="E1077" s="9" t="s">
        <v>664</v>
      </c>
      <c r="F1077" s="10">
        <v>41852</v>
      </c>
      <c r="G1077" s="8"/>
      <c r="H1077" s="11" t="s">
        <v>340</v>
      </c>
      <c r="I1077" s="12">
        <v>-770</v>
      </c>
      <c r="J1077" s="13" t="s">
        <v>21</v>
      </c>
      <c r="K1077" s="13" t="s">
        <v>56</v>
      </c>
      <c r="L1077" s="13" t="s">
        <v>57</v>
      </c>
      <c r="M1077" s="13"/>
      <c r="N1077" s="14"/>
      <c r="O1077" s="14">
        <f t="shared" si="34"/>
        <v>-770</v>
      </c>
      <c r="P1077" s="15">
        <f t="shared" si="35"/>
        <v>41852</v>
      </c>
      <c r="Q1077" s="15"/>
      <c r="R1077" s="16"/>
      <c r="S1077" s="16"/>
    </row>
    <row r="1078" spans="1:19" x14ac:dyDescent="0.25">
      <c r="A1078" s="23" t="s">
        <v>16</v>
      </c>
      <c r="B1078" s="23" t="s">
        <v>17</v>
      </c>
      <c r="C1078" s="23" t="s">
        <v>18</v>
      </c>
      <c r="D1078" s="8">
        <v>2014</v>
      </c>
      <c r="E1078" s="9" t="s">
        <v>664</v>
      </c>
      <c r="F1078" s="10">
        <v>41852</v>
      </c>
      <c r="G1078" s="8"/>
      <c r="H1078" s="11" t="s">
        <v>378</v>
      </c>
      <c r="I1078" s="12">
        <v>-200</v>
      </c>
      <c r="J1078" s="13" t="s">
        <v>38</v>
      </c>
      <c r="K1078" s="13" t="s">
        <v>155</v>
      </c>
      <c r="L1078" s="13" t="s">
        <v>91</v>
      </c>
      <c r="M1078" s="13"/>
      <c r="N1078" s="31"/>
      <c r="O1078" s="14">
        <f t="shared" si="34"/>
        <v>-200</v>
      </c>
      <c r="P1078" s="15">
        <f t="shared" si="35"/>
        <v>41852</v>
      </c>
      <c r="Q1078" s="15"/>
      <c r="R1078" s="16"/>
      <c r="S1078" s="16"/>
    </row>
    <row r="1079" spans="1:19" x14ac:dyDescent="0.25">
      <c r="A1079" s="23" t="s">
        <v>16</v>
      </c>
      <c r="B1079" s="23" t="s">
        <v>17</v>
      </c>
      <c r="C1079" s="23" t="s">
        <v>18</v>
      </c>
      <c r="D1079" s="8">
        <v>2014</v>
      </c>
      <c r="E1079" s="9" t="s">
        <v>664</v>
      </c>
      <c r="F1079" s="10">
        <v>41852</v>
      </c>
      <c r="G1079" s="8"/>
      <c r="H1079" s="11" t="s">
        <v>328</v>
      </c>
      <c r="I1079" s="12">
        <v>-500</v>
      </c>
      <c r="J1079" s="13" t="s">
        <v>38</v>
      </c>
      <c r="K1079" s="13" t="s">
        <v>155</v>
      </c>
      <c r="L1079" s="13" t="s">
        <v>91</v>
      </c>
      <c r="M1079" s="13"/>
      <c r="N1079" s="31"/>
      <c r="O1079" s="14">
        <f t="shared" si="34"/>
        <v>-500</v>
      </c>
      <c r="P1079" s="15">
        <f t="shared" si="35"/>
        <v>41852</v>
      </c>
      <c r="Q1079" s="15"/>
      <c r="R1079" s="26"/>
      <c r="S1079" s="26"/>
    </row>
    <row r="1080" spans="1:19" x14ac:dyDescent="0.25">
      <c r="A1080" s="23" t="s">
        <v>16</v>
      </c>
      <c r="B1080" s="23" t="s">
        <v>17</v>
      </c>
      <c r="C1080" s="23" t="s">
        <v>18</v>
      </c>
      <c r="D1080" s="8">
        <v>2014</v>
      </c>
      <c r="E1080" s="9" t="s">
        <v>664</v>
      </c>
      <c r="F1080" s="10">
        <v>41852</v>
      </c>
      <c r="G1080" s="8"/>
      <c r="H1080" s="11" t="s">
        <v>420</v>
      </c>
      <c r="I1080" s="12">
        <v>-211</v>
      </c>
      <c r="J1080" s="13" t="s">
        <v>38</v>
      </c>
      <c r="K1080" s="13" t="s">
        <v>155</v>
      </c>
      <c r="L1080" s="13" t="s">
        <v>91</v>
      </c>
      <c r="M1080" s="13"/>
      <c r="N1080" s="31"/>
      <c r="O1080" s="14">
        <f t="shared" si="34"/>
        <v>-211</v>
      </c>
      <c r="P1080" s="15">
        <f t="shared" si="35"/>
        <v>41852</v>
      </c>
      <c r="Q1080" s="15"/>
      <c r="R1080" s="16"/>
      <c r="S1080" s="16"/>
    </row>
    <row r="1081" spans="1:19" x14ac:dyDescent="0.25">
      <c r="A1081" s="23" t="s">
        <v>16</v>
      </c>
      <c r="B1081" s="23" t="s">
        <v>17</v>
      </c>
      <c r="C1081" s="23" t="s">
        <v>18</v>
      </c>
      <c r="D1081" s="8">
        <v>2014</v>
      </c>
      <c r="E1081" s="9" t="s">
        <v>664</v>
      </c>
      <c r="F1081" s="10">
        <v>41852</v>
      </c>
      <c r="G1081" s="8"/>
      <c r="H1081" s="11" t="s">
        <v>377</v>
      </c>
      <c r="I1081" s="12">
        <f>-400-38</f>
        <v>-438</v>
      </c>
      <c r="J1081" s="13" t="s">
        <v>21</v>
      </c>
      <c r="K1081" s="13" t="s">
        <v>56</v>
      </c>
      <c r="L1081" s="13" t="s">
        <v>111</v>
      </c>
      <c r="M1081" s="13" t="s">
        <v>28</v>
      </c>
      <c r="N1081" s="14"/>
      <c r="O1081" s="14">
        <f t="shared" si="34"/>
        <v>-438</v>
      </c>
      <c r="P1081" s="15">
        <f t="shared" si="35"/>
        <v>41852</v>
      </c>
      <c r="Q1081" s="15"/>
      <c r="R1081" s="16"/>
      <c r="S1081" s="16"/>
    </row>
    <row r="1082" spans="1:19" x14ac:dyDescent="0.25">
      <c r="A1082" s="23" t="s">
        <v>16</v>
      </c>
      <c r="B1082" s="23" t="s">
        <v>17</v>
      </c>
      <c r="C1082" s="23" t="s">
        <v>51</v>
      </c>
      <c r="D1082" s="8">
        <v>2014</v>
      </c>
      <c r="E1082" s="9" t="s">
        <v>664</v>
      </c>
      <c r="F1082" s="10">
        <v>41852</v>
      </c>
      <c r="G1082" s="8">
        <v>11869</v>
      </c>
      <c r="H1082" s="11" t="s">
        <v>668</v>
      </c>
      <c r="I1082" s="12">
        <v>5000</v>
      </c>
      <c r="J1082" s="13" t="s">
        <v>53</v>
      </c>
      <c r="K1082" s="13" t="s">
        <v>54</v>
      </c>
      <c r="L1082" s="13"/>
      <c r="M1082" s="13"/>
      <c r="N1082" s="31"/>
      <c r="O1082" s="14">
        <f t="shared" si="34"/>
        <v>5000</v>
      </c>
      <c r="P1082" s="15">
        <f t="shared" si="35"/>
        <v>41852</v>
      </c>
      <c r="Q1082" s="15"/>
      <c r="R1082" s="24"/>
      <c r="S1082" s="24"/>
    </row>
    <row r="1083" spans="1:19" x14ac:dyDescent="0.25">
      <c r="A1083" s="23" t="s">
        <v>16</v>
      </c>
      <c r="B1083" s="23" t="s">
        <v>17</v>
      </c>
      <c r="C1083" s="23" t="s">
        <v>51</v>
      </c>
      <c r="D1083" s="8">
        <v>2014</v>
      </c>
      <c r="E1083" s="9" t="s">
        <v>664</v>
      </c>
      <c r="F1083" s="10">
        <v>41853</v>
      </c>
      <c r="G1083" s="8">
        <v>11783</v>
      </c>
      <c r="H1083" s="11" t="s">
        <v>517</v>
      </c>
      <c r="I1083" s="12">
        <v>12600</v>
      </c>
      <c r="J1083" s="13" t="s">
        <v>53</v>
      </c>
      <c r="K1083" s="13" t="s">
        <v>54</v>
      </c>
      <c r="L1083" s="13"/>
      <c r="M1083" s="13"/>
      <c r="N1083" s="31"/>
      <c r="O1083" s="14">
        <f t="shared" si="34"/>
        <v>12600</v>
      </c>
      <c r="P1083" s="15">
        <f t="shared" si="35"/>
        <v>41853</v>
      </c>
      <c r="Q1083" s="15"/>
      <c r="R1083" s="24"/>
      <c r="S1083" s="24"/>
    </row>
    <row r="1084" spans="1:19" x14ac:dyDescent="0.25">
      <c r="A1084" s="23" t="s">
        <v>16</v>
      </c>
      <c r="B1084" s="23" t="s">
        <v>17</v>
      </c>
      <c r="C1084" s="23" t="s">
        <v>51</v>
      </c>
      <c r="D1084" s="8">
        <v>2014</v>
      </c>
      <c r="E1084" s="9" t="s">
        <v>664</v>
      </c>
      <c r="F1084" s="10">
        <v>41853</v>
      </c>
      <c r="G1084" s="8">
        <v>11885</v>
      </c>
      <c r="H1084" s="11" t="s">
        <v>669</v>
      </c>
      <c r="I1084" s="12">
        <v>2000</v>
      </c>
      <c r="J1084" s="13" t="s">
        <v>53</v>
      </c>
      <c r="K1084" s="13" t="s">
        <v>54</v>
      </c>
      <c r="L1084" s="13"/>
      <c r="M1084" s="13"/>
      <c r="N1084" s="31"/>
      <c r="O1084" s="14">
        <f t="shared" si="34"/>
        <v>2000</v>
      </c>
      <c r="P1084" s="15">
        <f t="shared" si="35"/>
        <v>41853</v>
      </c>
      <c r="Q1084" s="60"/>
      <c r="R1084" s="24"/>
      <c r="S1084" s="24"/>
    </row>
    <row r="1085" spans="1:19" x14ac:dyDescent="0.25">
      <c r="A1085" s="23" t="s">
        <v>16</v>
      </c>
      <c r="B1085" s="23" t="s">
        <v>17</v>
      </c>
      <c r="C1085" s="23" t="s">
        <v>18</v>
      </c>
      <c r="D1085" s="8">
        <v>2014</v>
      </c>
      <c r="E1085" s="9" t="s">
        <v>664</v>
      </c>
      <c r="F1085" s="10">
        <v>41855</v>
      </c>
      <c r="G1085" s="23"/>
      <c r="H1085" s="13" t="s">
        <v>233</v>
      </c>
      <c r="I1085" s="12">
        <f>-63-134</f>
        <v>-197</v>
      </c>
      <c r="J1085" s="13" t="s">
        <v>21</v>
      </c>
      <c r="K1085" s="13" t="s">
        <v>22</v>
      </c>
      <c r="L1085" s="13" t="s">
        <v>121</v>
      </c>
      <c r="M1085" s="13"/>
      <c r="N1085" s="31"/>
      <c r="O1085" s="14">
        <f t="shared" si="34"/>
        <v>-197</v>
      </c>
      <c r="P1085" s="15">
        <f t="shared" si="35"/>
        <v>41855</v>
      </c>
      <c r="Q1085" s="15"/>
      <c r="R1085" s="16"/>
      <c r="S1085" s="16"/>
    </row>
    <row r="1086" spans="1:19" x14ac:dyDescent="0.25">
      <c r="A1086" s="8" t="s">
        <v>16</v>
      </c>
      <c r="B1086" s="8" t="s">
        <v>17</v>
      </c>
      <c r="C1086" s="8" t="s">
        <v>18</v>
      </c>
      <c r="D1086" s="8">
        <v>2014</v>
      </c>
      <c r="E1086" s="9" t="s">
        <v>664</v>
      </c>
      <c r="F1086" s="10">
        <v>41855</v>
      </c>
      <c r="G1086" s="23"/>
      <c r="H1086" s="11" t="s">
        <v>595</v>
      </c>
      <c r="I1086" s="12">
        <v>-550</v>
      </c>
      <c r="J1086" s="54" t="s">
        <v>21</v>
      </c>
      <c r="K1086" s="54" t="s">
        <v>56</v>
      </c>
      <c r="L1086" s="54" t="s">
        <v>57</v>
      </c>
      <c r="M1086" s="13" t="s">
        <v>386</v>
      </c>
      <c r="N1086" s="14"/>
      <c r="O1086" s="14">
        <f t="shared" si="34"/>
        <v>-550</v>
      </c>
      <c r="P1086" s="15">
        <f t="shared" si="35"/>
        <v>41855</v>
      </c>
      <c r="Q1086" s="15"/>
      <c r="R1086" s="16"/>
      <c r="S1086" s="16"/>
    </row>
    <row r="1087" spans="1:19" x14ac:dyDescent="0.25">
      <c r="A1087" s="23" t="s">
        <v>16</v>
      </c>
      <c r="B1087" s="23" t="s">
        <v>17</v>
      </c>
      <c r="C1087" s="23" t="s">
        <v>18</v>
      </c>
      <c r="D1087" s="8">
        <v>2014</v>
      </c>
      <c r="E1087" s="9" t="s">
        <v>664</v>
      </c>
      <c r="F1087" s="10">
        <v>41855</v>
      </c>
      <c r="G1087" s="8"/>
      <c r="H1087" s="11" t="s">
        <v>340</v>
      </c>
      <c r="I1087" s="12">
        <v>-960</v>
      </c>
      <c r="J1087" s="13" t="s">
        <v>21</v>
      </c>
      <c r="K1087" s="13" t="s">
        <v>56</v>
      </c>
      <c r="L1087" s="13" t="s">
        <v>57</v>
      </c>
      <c r="M1087" s="13"/>
      <c r="N1087" s="14"/>
      <c r="O1087" s="14">
        <f t="shared" si="34"/>
        <v>-960</v>
      </c>
      <c r="P1087" s="15">
        <f t="shared" si="35"/>
        <v>41855</v>
      </c>
      <c r="Q1087" s="15"/>
      <c r="R1087" s="16"/>
      <c r="S1087" s="16"/>
    </row>
    <row r="1088" spans="1:19" x14ac:dyDescent="0.25">
      <c r="A1088" s="23" t="s">
        <v>16</v>
      </c>
      <c r="B1088" s="23" t="s">
        <v>17</v>
      </c>
      <c r="C1088" s="23" t="s">
        <v>51</v>
      </c>
      <c r="D1088" s="8">
        <v>2014</v>
      </c>
      <c r="E1088" s="9" t="s">
        <v>664</v>
      </c>
      <c r="F1088" s="10">
        <v>41855</v>
      </c>
      <c r="G1088" s="8">
        <v>11888</v>
      </c>
      <c r="H1088" s="11" t="s">
        <v>670</v>
      </c>
      <c r="I1088" s="12">
        <v>200</v>
      </c>
      <c r="J1088" s="13" t="s">
        <v>53</v>
      </c>
      <c r="K1088" s="13" t="s">
        <v>54</v>
      </c>
      <c r="L1088" s="13"/>
      <c r="M1088" s="13"/>
      <c r="N1088" s="31"/>
      <c r="O1088" s="14">
        <f t="shared" si="34"/>
        <v>200</v>
      </c>
      <c r="P1088" s="15">
        <f t="shared" si="35"/>
        <v>41855</v>
      </c>
      <c r="Q1088" s="15"/>
      <c r="R1088" s="24"/>
      <c r="S1088" s="24"/>
    </row>
    <row r="1089" spans="1:19" x14ac:dyDescent="0.25">
      <c r="A1089" s="8" t="s">
        <v>16</v>
      </c>
      <c r="B1089" s="8" t="s">
        <v>17</v>
      </c>
      <c r="C1089" s="36" t="s">
        <v>18</v>
      </c>
      <c r="D1089" s="8">
        <v>2014</v>
      </c>
      <c r="E1089" s="9" t="s">
        <v>664</v>
      </c>
      <c r="F1089" s="10">
        <v>41856</v>
      </c>
      <c r="G1089" s="8"/>
      <c r="H1089" s="11" t="s">
        <v>148</v>
      </c>
      <c r="I1089" s="12">
        <v>-250</v>
      </c>
      <c r="J1089" s="13" t="s">
        <v>21</v>
      </c>
      <c r="K1089" s="13" t="s">
        <v>22</v>
      </c>
      <c r="L1089" s="13" t="s">
        <v>23</v>
      </c>
      <c r="M1089" s="13"/>
      <c r="N1089" s="14"/>
      <c r="O1089" s="14">
        <f t="shared" si="34"/>
        <v>-250</v>
      </c>
      <c r="P1089" s="15">
        <f t="shared" si="35"/>
        <v>41856</v>
      </c>
      <c r="Q1089" s="15"/>
      <c r="R1089" s="16"/>
      <c r="S1089" s="16"/>
    </row>
    <row r="1090" spans="1:19" x14ac:dyDescent="0.25">
      <c r="A1090" s="23" t="s">
        <v>16</v>
      </c>
      <c r="B1090" s="23" t="s">
        <v>17</v>
      </c>
      <c r="C1090" s="23" t="s">
        <v>18</v>
      </c>
      <c r="D1090" s="8">
        <v>2014</v>
      </c>
      <c r="E1090" s="9" t="s">
        <v>664</v>
      </c>
      <c r="F1090" s="10">
        <v>41856</v>
      </c>
      <c r="G1090" s="23"/>
      <c r="H1090" s="13" t="s">
        <v>400</v>
      </c>
      <c r="I1090" s="12">
        <v>-2192.91</v>
      </c>
      <c r="J1090" s="13" t="s">
        <v>21</v>
      </c>
      <c r="K1090" s="13" t="s">
        <v>143</v>
      </c>
      <c r="L1090" s="13" t="s">
        <v>205</v>
      </c>
      <c r="M1090" s="13" t="s">
        <v>145</v>
      </c>
      <c r="N1090" s="31"/>
      <c r="O1090" s="14">
        <f t="shared" si="34"/>
        <v>-2192.91</v>
      </c>
      <c r="P1090" s="15">
        <f t="shared" si="35"/>
        <v>41856</v>
      </c>
      <c r="Q1090" s="15"/>
      <c r="R1090" s="16"/>
      <c r="S1090" s="16"/>
    </row>
    <row r="1091" spans="1:19" x14ac:dyDescent="0.25">
      <c r="A1091" s="8" t="s">
        <v>16</v>
      </c>
      <c r="B1091" s="8" t="s">
        <v>17</v>
      </c>
      <c r="C1091" s="8" t="s">
        <v>18</v>
      </c>
      <c r="D1091" s="8">
        <v>2014</v>
      </c>
      <c r="E1091" s="9" t="s">
        <v>664</v>
      </c>
      <c r="F1091" s="10">
        <v>41856</v>
      </c>
      <c r="G1091" s="23"/>
      <c r="H1091" s="11" t="s">
        <v>595</v>
      </c>
      <c r="I1091" s="12">
        <v>-650</v>
      </c>
      <c r="J1091" s="54" t="s">
        <v>21</v>
      </c>
      <c r="K1091" s="54" t="s">
        <v>56</v>
      </c>
      <c r="L1091" s="54" t="s">
        <v>57</v>
      </c>
      <c r="M1091" s="13" t="s">
        <v>386</v>
      </c>
      <c r="N1091" s="14"/>
      <c r="O1091" s="14">
        <f t="shared" ref="O1091:O1154" si="36">IF(B1091="$",I1091,I1091/N1091)</f>
        <v>-650</v>
      </c>
      <c r="P1091" s="15">
        <f t="shared" si="35"/>
        <v>41856</v>
      </c>
      <c r="Q1091" s="56"/>
      <c r="R1091" s="11"/>
      <c r="S1091" s="11"/>
    </row>
    <row r="1092" spans="1:19" x14ac:dyDescent="0.25">
      <c r="A1092" s="23" t="s">
        <v>16</v>
      </c>
      <c r="B1092" s="23" t="s">
        <v>17</v>
      </c>
      <c r="C1092" s="23" t="s">
        <v>18</v>
      </c>
      <c r="D1092" s="8">
        <v>2014</v>
      </c>
      <c r="E1092" s="9" t="s">
        <v>664</v>
      </c>
      <c r="F1092" s="10">
        <v>41856</v>
      </c>
      <c r="G1092" s="8"/>
      <c r="H1092" s="11" t="s">
        <v>340</v>
      </c>
      <c r="I1092" s="12">
        <v>-480</v>
      </c>
      <c r="J1092" s="13" t="s">
        <v>21</v>
      </c>
      <c r="K1092" s="13" t="s">
        <v>56</v>
      </c>
      <c r="L1092" s="13" t="s">
        <v>57</v>
      </c>
      <c r="M1092" s="13"/>
      <c r="N1092" s="14"/>
      <c r="O1092" s="14">
        <f t="shared" si="36"/>
        <v>-480</v>
      </c>
      <c r="P1092" s="15">
        <f t="shared" si="35"/>
        <v>41856</v>
      </c>
      <c r="Q1092" s="56"/>
      <c r="R1092" s="11"/>
      <c r="S1092" s="11"/>
    </row>
    <row r="1093" spans="1:19" x14ac:dyDescent="0.25">
      <c r="A1093" s="8" t="s">
        <v>16</v>
      </c>
      <c r="B1093" s="40" t="s">
        <v>17</v>
      </c>
      <c r="C1093" s="8" t="s">
        <v>18</v>
      </c>
      <c r="D1093" s="8">
        <v>2014</v>
      </c>
      <c r="E1093" s="9" t="s">
        <v>664</v>
      </c>
      <c r="F1093" s="10">
        <v>41856</v>
      </c>
      <c r="G1093" s="8"/>
      <c r="H1093" s="17" t="s">
        <v>96</v>
      </c>
      <c r="I1093" s="12">
        <v>-3000</v>
      </c>
      <c r="J1093" s="13" t="s">
        <v>38</v>
      </c>
      <c r="K1093" s="13" t="s">
        <v>93</v>
      </c>
      <c r="L1093" s="13" t="s">
        <v>94</v>
      </c>
      <c r="M1093" s="13" t="s">
        <v>95</v>
      </c>
      <c r="N1093" s="14"/>
      <c r="O1093" s="14">
        <f t="shared" si="36"/>
        <v>-3000</v>
      </c>
      <c r="P1093" s="15">
        <f t="shared" si="35"/>
        <v>41856</v>
      </c>
      <c r="Q1093" s="15"/>
      <c r="R1093" s="16"/>
      <c r="S1093" s="16"/>
    </row>
    <row r="1094" spans="1:19" x14ac:dyDescent="0.25">
      <c r="A1094" s="8" t="s">
        <v>16</v>
      </c>
      <c r="B1094" s="40" t="s">
        <v>17</v>
      </c>
      <c r="C1094" s="8" t="s">
        <v>18</v>
      </c>
      <c r="D1094" s="8">
        <v>2014</v>
      </c>
      <c r="E1094" s="9" t="s">
        <v>664</v>
      </c>
      <c r="F1094" s="10">
        <v>41856</v>
      </c>
      <c r="G1094" s="8"/>
      <c r="H1094" s="17" t="s">
        <v>671</v>
      </c>
      <c r="I1094" s="12">
        <v>-3000</v>
      </c>
      <c r="J1094" s="13" t="s">
        <v>38</v>
      </c>
      <c r="K1094" s="13" t="s">
        <v>93</v>
      </c>
      <c r="L1094" s="13" t="s">
        <v>94</v>
      </c>
      <c r="M1094" s="13" t="s">
        <v>95</v>
      </c>
      <c r="N1094" s="14"/>
      <c r="O1094" s="14">
        <f t="shared" si="36"/>
        <v>-3000</v>
      </c>
      <c r="P1094" s="15">
        <f t="shared" si="35"/>
        <v>41856</v>
      </c>
      <c r="Q1094" s="15"/>
      <c r="R1094" s="16"/>
      <c r="S1094" s="16"/>
    </row>
    <row r="1095" spans="1:19" x14ac:dyDescent="0.25">
      <c r="A1095" s="8" t="s">
        <v>16</v>
      </c>
      <c r="B1095" s="8" t="s">
        <v>17</v>
      </c>
      <c r="C1095" s="8" t="s">
        <v>18</v>
      </c>
      <c r="D1095" s="8">
        <v>2014</v>
      </c>
      <c r="E1095" s="9" t="s">
        <v>664</v>
      </c>
      <c r="F1095" s="10">
        <v>41856</v>
      </c>
      <c r="G1095" s="8"/>
      <c r="H1095" s="17" t="s">
        <v>585</v>
      </c>
      <c r="I1095" s="12">
        <f>-5000-9000</f>
        <v>-14000</v>
      </c>
      <c r="J1095" s="13" t="s">
        <v>38</v>
      </c>
      <c r="K1095" s="13" t="s">
        <v>93</v>
      </c>
      <c r="L1095" s="13" t="s">
        <v>94</v>
      </c>
      <c r="M1095" s="13" t="s">
        <v>129</v>
      </c>
      <c r="N1095" s="14"/>
      <c r="O1095" s="14">
        <f t="shared" si="36"/>
        <v>-14000</v>
      </c>
      <c r="P1095" s="15">
        <f t="shared" si="35"/>
        <v>41856</v>
      </c>
      <c r="Q1095" s="15"/>
      <c r="R1095" s="16"/>
      <c r="S1095" s="16"/>
    </row>
    <row r="1096" spans="1:19" x14ac:dyDescent="0.25">
      <c r="A1096" s="8" t="s">
        <v>16</v>
      </c>
      <c r="B1096" s="8" t="s">
        <v>17</v>
      </c>
      <c r="C1096" s="8" t="s">
        <v>18</v>
      </c>
      <c r="D1096" s="8">
        <v>2014</v>
      </c>
      <c r="E1096" s="9" t="s">
        <v>664</v>
      </c>
      <c r="F1096" s="10">
        <v>41856</v>
      </c>
      <c r="G1096" s="8"/>
      <c r="H1096" s="17" t="s">
        <v>672</v>
      </c>
      <c r="I1096" s="12">
        <v>-7000</v>
      </c>
      <c r="J1096" s="13" t="s">
        <v>38</v>
      </c>
      <c r="K1096" s="13" t="s">
        <v>93</v>
      </c>
      <c r="L1096" s="13" t="s">
        <v>94</v>
      </c>
      <c r="M1096" s="13" t="s">
        <v>129</v>
      </c>
      <c r="N1096" s="14"/>
      <c r="O1096" s="14">
        <f t="shared" si="36"/>
        <v>-7000</v>
      </c>
      <c r="P1096" s="15">
        <f t="shared" si="35"/>
        <v>41856</v>
      </c>
      <c r="Q1096" s="15"/>
      <c r="R1096" s="16"/>
      <c r="S1096" s="16"/>
    </row>
    <row r="1097" spans="1:19" x14ac:dyDescent="0.25">
      <c r="A1097" s="8" t="s">
        <v>16</v>
      </c>
      <c r="B1097" s="40" t="s">
        <v>17</v>
      </c>
      <c r="C1097" s="8" t="s">
        <v>18</v>
      </c>
      <c r="D1097" s="8">
        <v>2014</v>
      </c>
      <c r="E1097" s="9" t="s">
        <v>664</v>
      </c>
      <c r="F1097" s="10">
        <v>41856</v>
      </c>
      <c r="G1097" s="8"/>
      <c r="H1097" s="17" t="s">
        <v>673</v>
      </c>
      <c r="I1097" s="12">
        <v>-3400</v>
      </c>
      <c r="J1097" s="13" t="s">
        <v>38</v>
      </c>
      <c r="K1097" s="13" t="s">
        <v>93</v>
      </c>
      <c r="L1097" s="13" t="s">
        <v>94</v>
      </c>
      <c r="M1097" s="13" t="s">
        <v>100</v>
      </c>
      <c r="N1097" s="14"/>
      <c r="O1097" s="14">
        <f t="shared" si="36"/>
        <v>-3400</v>
      </c>
      <c r="P1097" s="15">
        <f t="shared" si="35"/>
        <v>41856</v>
      </c>
      <c r="Q1097" s="15"/>
      <c r="R1097" s="16"/>
      <c r="S1097" s="16"/>
    </row>
    <row r="1098" spans="1:19" x14ac:dyDescent="0.25">
      <c r="A1098" s="8" t="s">
        <v>16</v>
      </c>
      <c r="B1098" s="69" t="s">
        <v>17</v>
      </c>
      <c r="C1098" s="8" t="s">
        <v>18</v>
      </c>
      <c r="D1098" s="8">
        <v>2014</v>
      </c>
      <c r="E1098" s="9" t="s">
        <v>664</v>
      </c>
      <c r="F1098" s="10">
        <v>41856</v>
      </c>
      <c r="G1098" s="8"/>
      <c r="H1098" s="17" t="s">
        <v>674</v>
      </c>
      <c r="I1098" s="12">
        <v>-1500</v>
      </c>
      <c r="J1098" s="13" t="s">
        <v>38</v>
      </c>
      <c r="K1098" s="13" t="s">
        <v>93</v>
      </c>
      <c r="L1098" s="13" t="s">
        <v>94</v>
      </c>
      <c r="M1098" s="13" t="s">
        <v>100</v>
      </c>
      <c r="N1098" s="14"/>
      <c r="O1098" s="14">
        <f t="shared" si="36"/>
        <v>-1500</v>
      </c>
      <c r="P1098" s="15">
        <f t="shared" si="35"/>
        <v>41856</v>
      </c>
      <c r="Q1098" s="56"/>
      <c r="R1098" s="11"/>
      <c r="S1098" s="11"/>
    </row>
    <row r="1099" spans="1:19" x14ac:dyDescent="0.25">
      <c r="A1099" s="8" t="s">
        <v>16</v>
      </c>
      <c r="B1099" s="8" t="s">
        <v>17</v>
      </c>
      <c r="C1099" s="8" t="s">
        <v>18</v>
      </c>
      <c r="D1099" s="8">
        <v>2014</v>
      </c>
      <c r="E1099" s="9" t="s">
        <v>664</v>
      </c>
      <c r="F1099" s="10">
        <v>41856</v>
      </c>
      <c r="G1099" s="8"/>
      <c r="H1099" s="13" t="s">
        <v>103</v>
      </c>
      <c r="I1099" s="29"/>
      <c r="J1099" s="13" t="s">
        <v>38</v>
      </c>
      <c r="K1099" s="13" t="s">
        <v>90</v>
      </c>
      <c r="L1099" s="13" t="s">
        <v>104</v>
      </c>
      <c r="M1099" s="13" t="s">
        <v>105</v>
      </c>
      <c r="N1099" s="14"/>
      <c r="O1099" s="14">
        <f t="shared" si="36"/>
        <v>0</v>
      </c>
      <c r="P1099" s="15">
        <f t="shared" si="35"/>
        <v>41856</v>
      </c>
      <c r="Q1099" s="15"/>
      <c r="R1099" s="16"/>
      <c r="S1099" s="16"/>
    </row>
    <row r="1100" spans="1:19" x14ac:dyDescent="0.25">
      <c r="A1100" s="8" t="s">
        <v>16</v>
      </c>
      <c r="B1100" s="8" t="s">
        <v>17</v>
      </c>
      <c r="C1100" s="8" t="s">
        <v>18</v>
      </c>
      <c r="D1100" s="8">
        <v>2014</v>
      </c>
      <c r="E1100" s="9" t="s">
        <v>664</v>
      </c>
      <c r="F1100" s="10">
        <v>41856</v>
      </c>
      <c r="G1100" s="8"/>
      <c r="H1100" s="13" t="s">
        <v>314</v>
      </c>
      <c r="I1100" s="12">
        <v>-4874</v>
      </c>
      <c r="J1100" s="13" t="s">
        <v>38</v>
      </c>
      <c r="K1100" s="13" t="s">
        <v>90</v>
      </c>
      <c r="L1100" s="13" t="s">
        <v>589</v>
      </c>
      <c r="M1100" s="13"/>
      <c r="N1100" s="14"/>
      <c r="O1100" s="14">
        <f t="shared" si="36"/>
        <v>-4874</v>
      </c>
      <c r="P1100" s="15">
        <f t="shared" si="35"/>
        <v>41856</v>
      </c>
      <c r="Q1100" s="15"/>
      <c r="R1100" s="16"/>
      <c r="S1100" s="26"/>
    </row>
    <row r="1101" spans="1:19" x14ac:dyDescent="0.25">
      <c r="A1101" s="23" t="s">
        <v>16</v>
      </c>
      <c r="B1101" s="23" t="s">
        <v>17</v>
      </c>
      <c r="C1101" s="23" t="s">
        <v>18</v>
      </c>
      <c r="D1101" s="8">
        <v>2014</v>
      </c>
      <c r="E1101" s="9" t="s">
        <v>664</v>
      </c>
      <c r="F1101" s="10">
        <v>41856</v>
      </c>
      <c r="G1101" s="8"/>
      <c r="H1101" s="11" t="s">
        <v>341</v>
      </c>
      <c r="I1101" s="12">
        <v>-540</v>
      </c>
      <c r="J1101" s="13" t="s">
        <v>38</v>
      </c>
      <c r="K1101" s="13" t="s">
        <v>90</v>
      </c>
      <c r="L1101" s="13" t="s">
        <v>91</v>
      </c>
      <c r="M1101" s="13"/>
      <c r="N1101" s="31"/>
      <c r="O1101" s="14">
        <f t="shared" si="36"/>
        <v>-540</v>
      </c>
      <c r="P1101" s="15">
        <f t="shared" si="35"/>
        <v>41856</v>
      </c>
      <c r="Q1101" s="15"/>
      <c r="R1101" s="26"/>
      <c r="S1101" s="26"/>
    </row>
    <row r="1102" spans="1:19" x14ac:dyDescent="0.25">
      <c r="A1102" s="23" t="s">
        <v>16</v>
      </c>
      <c r="B1102" s="23" t="s">
        <v>17</v>
      </c>
      <c r="C1102" s="23" t="s">
        <v>18</v>
      </c>
      <c r="D1102" s="8">
        <v>2014</v>
      </c>
      <c r="E1102" s="9" t="s">
        <v>664</v>
      </c>
      <c r="F1102" s="10">
        <v>41856</v>
      </c>
      <c r="G1102" s="8"/>
      <c r="H1102" s="11" t="s">
        <v>675</v>
      </c>
      <c r="I1102" s="12">
        <v>-578</v>
      </c>
      <c r="J1102" s="13" t="s">
        <v>38</v>
      </c>
      <c r="K1102" s="13" t="s">
        <v>90</v>
      </c>
      <c r="L1102" s="13" t="s">
        <v>91</v>
      </c>
      <c r="M1102" s="13"/>
      <c r="N1102" s="31"/>
      <c r="O1102" s="14">
        <f t="shared" si="36"/>
        <v>-578</v>
      </c>
      <c r="P1102" s="15">
        <f t="shared" si="35"/>
        <v>41856</v>
      </c>
      <c r="Q1102" s="15"/>
      <c r="R1102" s="48"/>
      <c r="S1102" s="26"/>
    </row>
    <row r="1103" spans="1:19" x14ac:dyDescent="0.25">
      <c r="A1103" s="23" t="s">
        <v>16</v>
      </c>
      <c r="B1103" s="23" t="s">
        <v>17</v>
      </c>
      <c r="C1103" s="23" t="s">
        <v>18</v>
      </c>
      <c r="D1103" s="8">
        <v>2014</v>
      </c>
      <c r="E1103" s="9" t="s">
        <v>664</v>
      </c>
      <c r="F1103" s="10">
        <v>41856</v>
      </c>
      <c r="G1103" s="8"/>
      <c r="H1103" s="11" t="s">
        <v>342</v>
      </c>
      <c r="I1103" s="12"/>
      <c r="J1103" s="13" t="s">
        <v>38</v>
      </c>
      <c r="K1103" s="13" t="s">
        <v>90</v>
      </c>
      <c r="L1103" s="13" t="s">
        <v>91</v>
      </c>
      <c r="M1103" s="13"/>
      <c r="N1103" s="31"/>
      <c r="O1103" s="14">
        <f t="shared" si="36"/>
        <v>0</v>
      </c>
      <c r="P1103" s="15">
        <f t="shared" si="35"/>
        <v>41856</v>
      </c>
      <c r="Q1103" s="15"/>
      <c r="R1103" s="48"/>
      <c r="S1103" s="26"/>
    </row>
    <row r="1104" spans="1:19" x14ac:dyDescent="0.25">
      <c r="A1104" s="8" t="s">
        <v>16</v>
      </c>
      <c r="B1104" s="8" t="s">
        <v>17</v>
      </c>
      <c r="C1104" s="8" t="s">
        <v>18</v>
      </c>
      <c r="D1104" s="8">
        <v>2014</v>
      </c>
      <c r="E1104" s="9" t="s">
        <v>664</v>
      </c>
      <c r="F1104" s="10">
        <v>41857</v>
      </c>
      <c r="G1104" s="23"/>
      <c r="H1104" s="13" t="s">
        <v>642</v>
      </c>
      <c r="I1104" s="12">
        <v>-200</v>
      </c>
      <c r="J1104" s="13" t="s">
        <v>21</v>
      </c>
      <c r="K1104" s="13" t="s">
        <v>22</v>
      </c>
      <c r="L1104" s="13" t="s">
        <v>23</v>
      </c>
      <c r="M1104" s="13"/>
      <c r="N1104" s="31"/>
      <c r="O1104" s="14">
        <f t="shared" si="36"/>
        <v>-200</v>
      </c>
      <c r="P1104" s="15">
        <f t="shared" si="35"/>
        <v>41857</v>
      </c>
      <c r="Q1104" s="15"/>
      <c r="R1104" s="26"/>
      <c r="S1104" s="26"/>
    </row>
    <row r="1105" spans="1:19" x14ac:dyDescent="0.25">
      <c r="A1105" s="23" t="s">
        <v>16</v>
      </c>
      <c r="B1105" s="23" t="s">
        <v>17</v>
      </c>
      <c r="C1105" s="23" t="s">
        <v>18</v>
      </c>
      <c r="D1105" s="8">
        <v>2014</v>
      </c>
      <c r="E1105" s="9" t="s">
        <v>664</v>
      </c>
      <c r="F1105" s="10">
        <v>41857</v>
      </c>
      <c r="G1105" s="8"/>
      <c r="H1105" s="11" t="s">
        <v>399</v>
      </c>
      <c r="I1105" s="12">
        <f>-160-20-160-26-100</f>
        <v>-466</v>
      </c>
      <c r="J1105" s="13" t="s">
        <v>21</v>
      </c>
      <c r="K1105" s="13" t="s">
        <v>56</v>
      </c>
      <c r="L1105" s="13" t="s">
        <v>111</v>
      </c>
      <c r="M1105" s="13" t="s">
        <v>28</v>
      </c>
      <c r="N1105" s="31"/>
      <c r="O1105" s="14">
        <f t="shared" si="36"/>
        <v>-466</v>
      </c>
      <c r="P1105" s="15">
        <f t="shared" si="35"/>
        <v>41857</v>
      </c>
      <c r="Q1105" s="15"/>
      <c r="R1105" s="16"/>
      <c r="S1105" s="16"/>
    </row>
    <row r="1106" spans="1:19" x14ac:dyDescent="0.25">
      <c r="A1106" s="23" t="s">
        <v>16</v>
      </c>
      <c r="B1106" s="23" t="s">
        <v>17</v>
      </c>
      <c r="C1106" s="23" t="s">
        <v>18</v>
      </c>
      <c r="D1106" s="8">
        <v>2014</v>
      </c>
      <c r="E1106" s="9" t="s">
        <v>664</v>
      </c>
      <c r="F1106" s="10">
        <v>41857</v>
      </c>
      <c r="G1106" s="8" t="s">
        <v>357</v>
      </c>
      <c r="H1106" s="11" t="s">
        <v>406</v>
      </c>
      <c r="I1106" s="12">
        <v>-120</v>
      </c>
      <c r="J1106" s="13" t="s">
        <v>21</v>
      </c>
      <c r="K1106" s="13" t="s">
        <v>143</v>
      </c>
      <c r="L1106" s="13" t="s">
        <v>173</v>
      </c>
      <c r="M1106" s="13"/>
      <c r="N1106" s="14"/>
      <c r="O1106" s="14">
        <f t="shared" si="36"/>
        <v>-120</v>
      </c>
      <c r="P1106" s="15">
        <f t="shared" si="35"/>
        <v>41857</v>
      </c>
      <c r="Q1106" s="15"/>
      <c r="R1106" s="24"/>
      <c r="S1106" s="24"/>
    </row>
    <row r="1107" spans="1:19" x14ac:dyDescent="0.25">
      <c r="A1107" s="23" t="s">
        <v>16</v>
      </c>
      <c r="B1107" s="23" t="s">
        <v>17</v>
      </c>
      <c r="C1107" s="23" t="s">
        <v>18</v>
      </c>
      <c r="D1107" s="8">
        <v>2014</v>
      </c>
      <c r="E1107" s="9" t="s">
        <v>664</v>
      </c>
      <c r="F1107" s="10">
        <v>41857</v>
      </c>
      <c r="G1107" s="23"/>
      <c r="H1107" s="13" t="s">
        <v>627</v>
      </c>
      <c r="I1107" s="12">
        <f>-23-37-55-55-46</f>
        <v>-216</v>
      </c>
      <c r="J1107" s="13" t="s">
        <v>21</v>
      </c>
      <c r="K1107" s="13" t="s">
        <v>22</v>
      </c>
      <c r="L1107" s="13" t="s">
        <v>71</v>
      </c>
      <c r="M1107" s="13"/>
      <c r="N1107" s="14"/>
      <c r="O1107" s="14">
        <f t="shared" si="36"/>
        <v>-216</v>
      </c>
      <c r="P1107" s="15">
        <f t="shared" si="35"/>
        <v>41857</v>
      </c>
      <c r="Q1107" s="56"/>
      <c r="R1107" s="11"/>
      <c r="S1107" s="11"/>
    </row>
    <row r="1108" spans="1:19" x14ac:dyDescent="0.25">
      <c r="A1108" s="23" t="s">
        <v>16</v>
      </c>
      <c r="B1108" s="23" t="s">
        <v>17</v>
      </c>
      <c r="C1108" s="23" t="s">
        <v>18</v>
      </c>
      <c r="D1108" s="8">
        <v>2014</v>
      </c>
      <c r="E1108" s="9" t="s">
        <v>664</v>
      </c>
      <c r="F1108" s="10">
        <v>41857</v>
      </c>
      <c r="G1108" s="8"/>
      <c r="H1108" s="11" t="s">
        <v>340</v>
      </c>
      <c r="I1108" s="12">
        <v>-480</v>
      </c>
      <c r="J1108" s="13" t="s">
        <v>21</v>
      </c>
      <c r="K1108" s="13" t="s">
        <v>56</v>
      </c>
      <c r="L1108" s="13" t="s">
        <v>57</v>
      </c>
      <c r="M1108" s="13"/>
      <c r="N1108" s="14"/>
      <c r="O1108" s="14">
        <f t="shared" si="36"/>
        <v>-480</v>
      </c>
      <c r="P1108" s="15">
        <f t="shared" si="35"/>
        <v>41857</v>
      </c>
      <c r="Q1108" s="15"/>
      <c r="R1108" s="16"/>
      <c r="S1108" s="16"/>
    </row>
    <row r="1109" spans="1:19" x14ac:dyDescent="0.25">
      <c r="A1109" s="8" t="s">
        <v>16</v>
      </c>
      <c r="B1109" s="8" t="s">
        <v>17</v>
      </c>
      <c r="C1109" s="8" t="s">
        <v>18</v>
      </c>
      <c r="D1109" s="8">
        <v>2014</v>
      </c>
      <c r="E1109" s="9" t="s">
        <v>664</v>
      </c>
      <c r="F1109" s="10">
        <v>41857</v>
      </c>
      <c r="G1109" s="23"/>
      <c r="H1109" s="17" t="s">
        <v>62</v>
      </c>
      <c r="I1109" s="12">
        <f>-92-70-155-600-449-477-10</f>
        <v>-1853</v>
      </c>
      <c r="J1109" s="13" t="s">
        <v>21</v>
      </c>
      <c r="K1109" s="13" t="s">
        <v>63</v>
      </c>
      <c r="L1109" s="13" t="s">
        <v>64</v>
      </c>
      <c r="M1109" s="13"/>
      <c r="N1109" s="14"/>
      <c r="O1109" s="14">
        <f t="shared" si="36"/>
        <v>-1853</v>
      </c>
      <c r="P1109" s="15">
        <f t="shared" si="35"/>
        <v>41857</v>
      </c>
      <c r="Q1109" s="15"/>
      <c r="R1109" s="16"/>
      <c r="S1109" s="16"/>
    </row>
    <row r="1110" spans="1:19" x14ac:dyDescent="0.25">
      <c r="A1110" s="8" t="s">
        <v>16</v>
      </c>
      <c r="B1110" s="8" t="s">
        <v>17</v>
      </c>
      <c r="C1110" s="8" t="s">
        <v>18</v>
      </c>
      <c r="D1110" s="8">
        <v>2014</v>
      </c>
      <c r="E1110" s="9" t="s">
        <v>664</v>
      </c>
      <c r="F1110" s="10">
        <v>41857</v>
      </c>
      <c r="G1110" s="23"/>
      <c r="H1110" s="11" t="s">
        <v>595</v>
      </c>
      <c r="I1110" s="12">
        <v>-1000</v>
      </c>
      <c r="J1110" s="54" t="s">
        <v>21</v>
      </c>
      <c r="K1110" s="54" t="s">
        <v>56</v>
      </c>
      <c r="L1110" s="54" t="s">
        <v>57</v>
      </c>
      <c r="M1110" s="13" t="s">
        <v>386</v>
      </c>
      <c r="N1110" s="14"/>
      <c r="O1110" s="14">
        <f t="shared" si="36"/>
        <v>-1000</v>
      </c>
      <c r="P1110" s="15">
        <f t="shared" ref="P1110:P1173" si="37">F1110</f>
        <v>41857</v>
      </c>
      <c r="Q1110" s="15"/>
      <c r="R1110" s="16"/>
      <c r="S1110" s="16"/>
    </row>
    <row r="1111" spans="1:19" x14ac:dyDescent="0.25">
      <c r="A1111" s="23" t="s">
        <v>16</v>
      </c>
      <c r="B1111" s="23" t="s">
        <v>17</v>
      </c>
      <c r="C1111" s="23" t="s">
        <v>18</v>
      </c>
      <c r="D1111" s="8">
        <v>2014</v>
      </c>
      <c r="E1111" s="9" t="s">
        <v>664</v>
      </c>
      <c r="F1111" s="10">
        <v>41857</v>
      </c>
      <c r="G1111" s="8"/>
      <c r="H1111" s="11" t="s">
        <v>340</v>
      </c>
      <c r="I1111" s="12">
        <v>-480</v>
      </c>
      <c r="J1111" s="13" t="s">
        <v>21</v>
      </c>
      <c r="K1111" s="13" t="s">
        <v>56</v>
      </c>
      <c r="L1111" s="13" t="s">
        <v>57</v>
      </c>
      <c r="M1111" s="13"/>
      <c r="N1111" s="14"/>
      <c r="O1111" s="14">
        <f t="shared" si="36"/>
        <v>-480</v>
      </c>
      <c r="P1111" s="15">
        <f t="shared" si="37"/>
        <v>41857</v>
      </c>
      <c r="Q1111" s="15"/>
      <c r="R1111" s="16"/>
      <c r="S1111" s="16"/>
    </row>
    <row r="1112" spans="1:19" x14ac:dyDescent="0.25">
      <c r="A1112" s="23" t="s">
        <v>16</v>
      </c>
      <c r="B1112" s="23" t="s">
        <v>17</v>
      </c>
      <c r="C1112" s="23" t="s">
        <v>51</v>
      </c>
      <c r="D1112" s="8">
        <v>2014</v>
      </c>
      <c r="E1112" s="9" t="s">
        <v>664</v>
      </c>
      <c r="F1112" s="10">
        <v>41857</v>
      </c>
      <c r="G1112" s="8">
        <v>11761</v>
      </c>
      <c r="H1112" s="11" t="s">
        <v>676</v>
      </c>
      <c r="I1112" s="12">
        <v>1000</v>
      </c>
      <c r="J1112" s="13" t="s">
        <v>53</v>
      </c>
      <c r="K1112" s="13" t="s">
        <v>54</v>
      </c>
      <c r="L1112" s="13"/>
      <c r="M1112" s="13"/>
      <c r="N1112" s="31"/>
      <c r="O1112" s="14">
        <f t="shared" si="36"/>
        <v>1000</v>
      </c>
      <c r="P1112" s="15">
        <f t="shared" si="37"/>
        <v>41857</v>
      </c>
      <c r="Q1112" s="15"/>
      <c r="R1112" s="24"/>
      <c r="S1112" s="24"/>
    </row>
    <row r="1113" spans="1:19" x14ac:dyDescent="0.25">
      <c r="A1113" s="23" t="s">
        <v>16</v>
      </c>
      <c r="B1113" s="23" t="s">
        <v>17</v>
      </c>
      <c r="C1113" s="36" t="s">
        <v>46</v>
      </c>
      <c r="D1113" s="8">
        <v>2014</v>
      </c>
      <c r="E1113" s="9" t="s">
        <v>664</v>
      </c>
      <c r="F1113" s="10">
        <v>41857</v>
      </c>
      <c r="G1113" s="23"/>
      <c r="H1113" s="17" t="s">
        <v>660</v>
      </c>
      <c r="I1113" s="12">
        <v>-10000</v>
      </c>
      <c r="J1113" s="13" t="s">
        <v>48</v>
      </c>
      <c r="K1113" s="13" t="s">
        <v>326</v>
      </c>
      <c r="L1113" s="13"/>
      <c r="M1113" s="13" t="s">
        <v>226</v>
      </c>
      <c r="N1113" s="14"/>
      <c r="O1113" s="14">
        <f t="shared" si="36"/>
        <v>-10000</v>
      </c>
      <c r="P1113" s="15">
        <f t="shared" si="37"/>
        <v>41857</v>
      </c>
      <c r="Q1113" s="56"/>
      <c r="R1113" s="11"/>
      <c r="S1113" s="11"/>
    </row>
    <row r="1114" spans="1:19" x14ac:dyDescent="0.25">
      <c r="A1114" s="23" t="s">
        <v>16</v>
      </c>
      <c r="B1114" s="23" t="s">
        <v>17</v>
      </c>
      <c r="C1114" s="23" t="s">
        <v>51</v>
      </c>
      <c r="D1114" s="8">
        <v>2014</v>
      </c>
      <c r="E1114" s="9" t="s">
        <v>664</v>
      </c>
      <c r="F1114" s="10">
        <v>41857</v>
      </c>
      <c r="G1114" s="8">
        <v>11890</v>
      </c>
      <c r="H1114" s="11" t="s">
        <v>677</v>
      </c>
      <c r="I1114" s="12">
        <v>400</v>
      </c>
      <c r="J1114" s="13" t="s">
        <v>53</v>
      </c>
      <c r="K1114" s="13" t="s">
        <v>54</v>
      </c>
      <c r="L1114" s="13"/>
      <c r="M1114" s="13"/>
      <c r="N1114" s="31"/>
      <c r="O1114" s="14">
        <f t="shared" si="36"/>
        <v>400</v>
      </c>
      <c r="P1114" s="15">
        <f t="shared" si="37"/>
        <v>41857</v>
      </c>
      <c r="Q1114" s="15"/>
      <c r="R1114" s="24"/>
      <c r="S1114" s="24"/>
    </row>
    <row r="1115" spans="1:19" x14ac:dyDescent="0.25">
      <c r="A1115" s="23" t="s">
        <v>16</v>
      </c>
      <c r="B1115" s="23" t="s">
        <v>17</v>
      </c>
      <c r="C1115" s="23" t="s">
        <v>51</v>
      </c>
      <c r="D1115" s="8">
        <v>2014</v>
      </c>
      <c r="E1115" s="9" t="s">
        <v>664</v>
      </c>
      <c r="F1115" s="10">
        <v>41857</v>
      </c>
      <c r="G1115" s="8">
        <v>11889</v>
      </c>
      <c r="H1115" s="11" t="s">
        <v>678</v>
      </c>
      <c r="I1115" s="12">
        <v>10000</v>
      </c>
      <c r="J1115" s="13" t="s">
        <v>53</v>
      </c>
      <c r="K1115" s="13" t="s">
        <v>54</v>
      </c>
      <c r="L1115" s="13"/>
      <c r="M1115" s="13"/>
      <c r="N1115" s="31"/>
      <c r="O1115" s="14">
        <f t="shared" si="36"/>
        <v>10000</v>
      </c>
      <c r="P1115" s="15">
        <f t="shared" si="37"/>
        <v>41857</v>
      </c>
      <c r="Q1115" s="56"/>
      <c r="R1115" s="11"/>
      <c r="S1115" s="11"/>
    </row>
    <row r="1116" spans="1:19" x14ac:dyDescent="0.25">
      <c r="A1116" s="23" t="s">
        <v>16</v>
      </c>
      <c r="B1116" s="23" t="s">
        <v>17</v>
      </c>
      <c r="C1116" s="23" t="s">
        <v>51</v>
      </c>
      <c r="D1116" s="8">
        <v>2014</v>
      </c>
      <c r="E1116" s="9" t="s">
        <v>664</v>
      </c>
      <c r="F1116" s="10">
        <v>41857</v>
      </c>
      <c r="G1116" s="8">
        <v>11831</v>
      </c>
      <c r="H1116" s="11" t="s">
        <v>679</v>
      </c>
      <c r="I1116" s="12">
        <v>1400</v>
      </c>
      <c r="J1116" s="13" t="s">
        <v>53</v>
      </c>
      <c r="K1116" s="13" t="s">
        <v>54</v>
      </c>
      <c r="L1116" s="13"/>
      <c r="M1116" s="13"/>
      <c r="N1116" s="31"/>
      <c r="O1116" s="14">
        <f t="shared" si="36"/>
        <v>1400</v>
      </c>
      <c r="P1116" s="15">
        <f t="shared" si="37"/>
        <v>41857</v>
      </c>
      <c r="Q1116" s="56"/>
      <c r="R1116" s="11"/>
      <c r="S1116" s="11"/>
    </row>
    <row r="1117" spans="1:19" x14ac:dyDescent="0.25">
      <c r="A1117" s="23" t="s">
        <v>16</v>
      </c>
      <c r="B1117" s="23" t="s">
        <v>17</v>
      </c>
      <c r="C1117" s="23" t="s">
        <v>51</v>
      </c>
      <c r="D1117" s="8">
        <v>2014</v>
      </c>
      <c r="E1117" s="9" t="s">
        <v>664</v>
      </c>
      <c r="F1117" s="10">
        <v>41857</v>
      </c>
      <c r="G1117" s="8">
        <v>11893</v>
      </c>
      <c r="H1117" s="11" t="s">
        <v>680</v>
      </c>
      <c r="I1117" s="12">
        <v>500</v>
      </c>
      <c r="J1117" s="13" t="s">
        <v>53</v>
      </c>
      <c r="K1117" s="13" t="s">
        <v>54</v>
      </c>
      <c r="L1117" s="13"/>
      <c r="M1117" s="13"/>
      <c r="N1117" s="31"/>
      <c r="O1117" s="14">
        <f t="shared" si="36"/>
        <v>500</v>
      </c>
      <c r="P1117" s="15">
        <f t="shared" si="37"/>
        <v>41857</v>
      </c>
      <c r="Q1117" s="56"/>
      <c r="R1117" s="11"/>
      <c r="S1117" s="11"/>
    </row>
    <row r="1118" spans="1:19" x14ac:dyDescent="0.25">
      <c r="A1118" s="23" t="s">
        <v>16</v>
      </c>
      <c r="B1118" s="23" t="s">
        <v>17</v>
      </c>
      <c r="C1118" s="36" t="s">
        <v>46</v>
      </c>
      <c r="D1118" s="8">
        <v>2014</v>
      </c>
      <c r="E1118" s="9" t="s">
        <v>664</v>
      </c>
      <c r="F1118" s="10">
        <v>41858</v>
      </c>
      <c r="G1118" s="23"/>
      <c r="H1118" s="17" t="s">
        <v>660</v>
      </c>
      <c r="I1118" s="12">
        <v>-3000</v>
      </c>
      <c r="J1118" s="13" t="s">
        <v>48</v>
      </c>
      <c r="K1118" s="13" t="s">
        <v>326</v>
      </c>
      <c r="L1118" s="13"/>
      <c r="M1118" s="13" t="s">
        <v>226</v>
      </c>
      <c r="N1118" s="14"/>
      <c r="O1118" s="14">
        <f t="shared" si="36"/>
        <v>-3000</v>
      </c>
      <c r="P1118" s="15">
        <f t="shared" si="37"/>
        <v>41858</v>
      </c>
      <c r="Q1118" s="56"/>
      <c r="R1118" s="11"/>
      <c r="S1118" s="11"/>
    </row>
    <row r="1119" spans="1:19" x14ac:dyDescent="0.25">
      <c r="A1119" s="23" t="s">
        <v>16</v>
      </c>
      <c r="B1119" s="23" t="s">
        <v>17</v>
      </c>
      <c r="C1119" s="23" t="s">
        <v>18</v>
      </c>
      <c r="D1119" s="8">
        <v>2014</v>
      </c>
      <c r="E1119" s="9" t="s">
        <v>664</v>
      </c>
      <c r="F1119" s="10">
        <v>41858</v>
      </c>
      <c r="G1119" s="23"/>
      <c r="H1119" s="13" t="s">
        <v>122</v>
      </c>
      <c r="I1119" s="12">
        <v>-10000</v>
      </c>
      <c r="J1119" s="13" t="s">
        <v>33</v>
      </c>
      <c r="K1119" s="13" t="s">
        <v>123</v>
      </c>
      <c r="L1119" s="13" t="s">
        <v>124</v>
      </c>
      <c r="M1119" s="25" t="s">
        <v>125</v>
      </c>
      <c r="N1119" s="31"/>
      <c r="O1119" s="14">
        <f t="shared" si="36"/>
        <v>-10000</v>
      </c>
      <c r="P1119" s="15">
        <f t="shared" si="37"/>
        <v>41858</v>
      </c>
      <c r="Q1119" s="56"/>
      <c r="R1119" s="11"/>
      <c r="S1119" s="11"/>
    </row>
    <row r="1120" spans="1:19" x14ac:dyDescent="0.25">
      <c r="A1120" s="8" t="s">
        <v>16</v>
      </c>
      <c r="B1120" s="66" t="s">
        <v>17</v>
      </c>
      <c r="C1120" s="36" t="s">
        <v>18</v>
      </c>
      <c r="D1120" s="8">
        <v>2014</v>
      </c>
      <c r="E1120" s="9" t="s">
        <v>664</v>
      </c>
      <c r="F1120" s="10">
        <v>41858</v>
      </c>
      <c r="G1120" s="8"/>
      <c r="H1120" s="17" t="s">
        <v>146</v>
      </c>
      <c r="I1120" s="12">
        <v>-1027.6500000000001</v>
      </c>
      <c r="J1120" s="13" t="s">
        <v>21</v>
      </c>
      <c r="K1120" s="13" t="s">
        <v>143</v>
      </c>
      <c r="L1120" s="13" t="s">
        <v>147</v>
      </c>
      <c r="M1120" s="13" t="s">
        <v>28</v>
      </c>
      <c r="N1120" s="14"/>
      <c r="O1120" s="14">
        <f t="shared" si="36"/>
        <v>-1027.6500000000001</v>
      </c>
      <c r="P1120" s="15">
        <f t="shared" si="37"/>
        <v>41858</v>
      </c>
      <c r="Q1120" s="56"/>
      <c r="R1120" s="11"/>
      <c r="S1120" s="11"/>
    </row>
    <row r="1121" spans="1:19" x14ac:dyDescent="0.25">
      <c r="A1121" s="8" t="s">
        <v>16</v>
      </c>
      <c r="B1121" s="66" t="s">
        <v>17</v>
      </c>
      <c r="C1121" s="36" t="s">
        <v>18</v>
      </c>
      <c r="D1121" s="8">
        <v>2014</v>
      </c>
      <c r="E1121" s="9" t="s">
        <v>664</v>
      </c>
      <c r="F1121" s="10">
        <v>41858</v>
      </c>
      <c r="G1121" s="8"/>
      <c r="H1121" s="17" t="s">
        <v>146</v>
      </c>
      <c r="I1121" s="12">
        <v>-166.34</v>
      </c>
      <c r="J1121" s="13" t="s">
        <v>21</v>
      </c>
      <c r="K1121" s="13" t="s">
        <v>143</v>
      </c>
      <c r="L1121" s="13" t="s">
        <v>147</v>
      </c>
      <c r="M1121" s="13" t="s">
        <v>28</v>
      </c>
      <c r="N1121" s="14"/>
      <c r="O1121" s="14">
        <f t="shared" si="36"/>
        <v>-166.34</v>
      </c>
      <c r="P1121" s="15">
        <f t="shared" si="37"/>
        <v>41858</v>
      </c>
      <c r="Q1121" s="56"/>
      <c r="R1121" s="11"/>
      <c r="S1121" s="11"/>
    </row>
    <row r="1122" spans="1:19" x14ac:dyDescent="0.25">
      <c r="A1122" s="8" t="s">
        <v>16</v>
      </c>
      <c r="B1122" s="66" t="s">
        <v>17</v>
      </c>
      <c r="C1122" s="8" t="s">
        <v>18</v>
      </c>
      <c r="D1122" s="8">
        <v>2014</v>
      </c>
      <c r="E1122" s="9" t="s">
        <v>664</v>
      </c>
      <c r="F1122" s="10">
        <v>41858</v>
      </c>
      <c r="G1122" s="8"/>
      <c r="H1122" s="13" t="s">
        <v>153</v>
      </c>
      <c r="I1122" s="12">
        <v>-60</v>
      </c>
      <c r="J1122" s="13" t="s">
        <v>33</v>
      </c>
      <c r="K1122" s="13" t="s">
        <v>34</v>
      </c>
      <c r="L1122" s="13" t="s">
        <v>76</v>
      </c>
      <c r="M1122" s="13"/>
      <c r="N1122" s="14"/>
      <c r="O1122" s="14">
        <f t="shared" si="36"/>
        <v>-60</v>
      </c>
      <c r="P1122" s="15">
        <f t="shared" si="37"/>
        <v>41858</v>
      </c>
      <c r="Q1122" s="56"/>
      <c r="R1122" s="13"/>
      <c r="S1122" s="13"/>
    </row>
    <row r="1123" spans="1:19" x14ac:dyDescent="0.25">
      <c r="A1123" s="8" t="s">
        <v>16</v>
      </c>
      <c r="B1123" s="66" t="s">
        <v>17</v>
      </c>
      <c r="C1123" s="8" t="s">
        <v>18</v>
      </c>
      <c r="D1123" s="8">
        <v>2014</v>
      </c>
      <c r="E1123" s="9" t="s">
        <v>664</v>
      </c>
      <c r="F1123" s="10">
        <v>41858</v>
      </c>
      <c r="G1123" s="23"/>
      <c r="H1123" s="11" t="s">
        <v>595</v>
      </c>
      <c r="I1123" s="12">
        <v>-700</v>
      </c>
      <c r="J1123" s="54" t="s">
        <v>21</v>
      </c>
      <c r="K1123" s="54" t="s">
        <v>56</v>
      </c>
      <c r="L1123" s="54" t="s">
        <v>57</v>
      </c>
      <c r="M1123" s="13" t="s">
        <v>386</v>
      </c>
      <c r="N1123" s="14"/>
      <c r="O1123" s="14">
        <f t="shared" si="36"/>
        <v>-700</v>
      </c>
      <c r="P1123" s="15">
        <f t="shared" si="37"/>
        <v>41858</v>
      </c>
      <c r="Q1123" s="56"/>
      <c r="R1123" s="11"/>
      <c r="S1123" s="11"/>
    </row>
    <row r="1124" spans="1:19" x14ac:dyDescent="0.25">
      <c r="A1124" s="23" t="s">
        <v>16</v>
      </c>
      <c r="B1124" s="23" t="s">
        <v>17</v>
      </c>
      <c r="C1124" s="23" t="s">
        <v>18</v>
      </c>
      <c r="D1124" s="8">
        <v>2014</v>
      </c>
      <c r="E1124" s="9" t="s">
        <v>664</v>
      </c>
      <c r="F1124" s="10">
        <v>41858</v>
      </c>
      <c r="G1124" s="8"/>
      <c r="H1124" s="11" t="s">
        <v>340</v>
      </c>
      <c r="I1124" s="12">
        <v>-855</v>
      </c>
      <c r="J1124" s="13" t="s">
        <v>21</v>
      </c>
      <c r="K1124" s="13" t="s">
        <v>56</v>
      </c>
      <c r="L1124" s="13" t="s">
        <v>57</v>
      </c>
      <c r="M1124" s="13"/>
      <c r="N1124" s="14"/>
      <c r="O1124" s="14">
        <f t="shared" si="36"/>
        <v>-855</v>
      </c>
      <c r="P1124" s="15">
        <f t="shared" si="37"/>
        <v>41858</v>
      </c>
      <c r="Q1124" s="15"/>
      <c r="R1124" s="16"/>
      <c r="S1124" s="16"/>
    </row>
    <row r="1125" spans="1:19" x14ac:dyDescent="0.25">
      <c r="A1125" s="8" t="s">
        <v>16</v>
      </c>
      <c r="B1125" s="66" t="s">
        <v>17</v>
      </c>
      <c r="C1125" s="36" t="s">
        <v>46</v>
      </c>
      <c r="D1125" s="8">
        <v>2014</v>
      </c>
      <c r="E1125" s="9" t="s">
        <v>664</v>
      </c>
      <c r="F1125" s="10">
        <v>41858</v>
      </c>
      <c r="G1125" s="8"/>
      <c r="H1125" s="11" t="s">
        <v>112</v>
      </c>
      <c r="I1125" s="12">
        <v>-7500</v>
      </c>
      <c r="J1125" s="13" t="s">
        <v>48</v>
      </c>
      <c r="K1125" s="13" t="s">
        <v>113</v>
      </c>
      <c r="L1125" s="13" t="s">
        <v>114</v>
      </c>
      <c r="M1125" s="13"/>
      <c r="N1125" s="14"/>
      <c r="O1125" s="14">
        <f t="shared" si="36"/>
        <v>-7500</v>
      </c>
      <c r="P1125" s="15">
        <f t="shared" si="37"/>
        <v>41858</v>
      </c>
      <c r="Q1125" s="56"/>
      <c r="R1125" s="11"/>
      <c r="S1125" s="11"/>
    </row>
    <row r="1126" spans="1:19" x14ac:dyDescent="0.25">
      <c r="A1126" s="23" t="s">
        <v>16</v>
      </c>
      <c r="B1126" s="65" t="s">
        <v>17</v>
      </c>
      <c r="C1126" s="23" t="s">
        <v>51</v>
      </c>
      <c r="D1126" s="8">
        <v>2014</v>
      </c>
      <c r="E1126" s="9" t="s">
        <v>664</v>
      </c>
      <c r="F1126" s="10">
        <v>41858</v>
      </c>
      <c r="G1126" s="8">
        <v>11845</v>
      </c>
      <c r="H1126" s="11" t="s">
        <v>681</v>
      </c>
      <c r="I1126" s="12">
        <v>1200</v>
      </c>
      <c r="J1126" s="13" t="s">
        <v>53</v>
      </c>
      <c r="K1126" s="13" t="s">
        <v>54</v>
      </c>
      <c r="L1126" s="13"/>
      <c r="M1126" s="13"/>
      <c r="N1126" s="31"/>
      <c r="O1126" s="14">
        <f t="shared" si="36"/>
        <v>1200</v>
      </c>
      <c r="P1126" s="15">
        <f t="shared" si="37"/>
        <v>41858</v>
      </c>
      <c r="Q1126" s="56"/>
      <c r="R1126" s="11"/>
      <c r="S1126" s="11"/>
    </row>
    <row r="1127" spans="1:19" x14ac:dyDescent="0.25">
      <c r="A1127" s="23" t="s">
        <v>16</v>
      </c>
      <c r="B1127" s="65" t="s">
        <v>17</v>
      </c>
      <c r="C1127" s="23" t="s">
        <v>51</v>
      </c>
      <c r="D1127" s="8">
        <v>2014</v>
      </c>
      <c r="E1127" s="9" t="s">
        <v>664</v>
      </c>
      <c r="F1127" s="10">
        <v>41858</v>
      </c>
      <c r="G1127" s="8">
        <v>11895</v>
      </c>
      <c r="H1127" s="11" t="s">
        <v>682</v>
      </c>
      <c r="I1127" s="12">
        <v>200</v>
      </c>
      <c r="J1127" s="13" t="s">
        <v>53</v>
      </c>
      <c r="K1127" s="13" t="s">
        <v>54</v>
      </c>
      <c r="L1127" s="13"/>
      <c r="M1127" s="13"/>
      <c r="N1127" s="31"/>
      <c r="O1127" s="14">
        <f t="shared" si="36"/>
        <v>200</v>
      </c>
      <c r="P1127" s="15">
        <f t="shared" si="37"/>
        <v>41858</v>
      </c>
      <c r="Q1127" s="56"/>
      <c r="R1127" s="11"/>
      <c r="S1127" s="11"/>
    </row>
    <row r="1128" spans="1:19" x14ac:dyDescent="0.25">
      <c r="A1128" s="23" t="s">
        <v>16</v>
      </c>
      <c r="B1128" s="65" t="s">
        <v>17</v>
      </c>
      <c r="C1128" s="23" t="s">
        <v>51</v>
      </c>
      <c r="D1128" s="8">
        <v>2014</v>
      </c>
      <c r="E1128" s="9" t="s">
        <v>664</v>
      </c>
      <c r="F1128" s="10">
        <v>41858</v>
      </c>
      <c r="G1128" s="8">
        <v>11888</v>
      </c>
      <c r="H1128" s="11" t="s">
        <v>670</v>
      </c>
      <c r="I1128" s="12">
        <v>1200</v>
      </c>
      <c r="J1128" s="13" t="s">
        <v>53</v>
      </c>
      <c r="K1128" s="13" t="s">
        <v>54</v>
      </c>
      <c r="L1128" s="13"/>
      <c r="M1128" s="13"/>
      <c r="N1128" s="31"/>
      <c r="O1128" s="14">
        <f t="shared" si="36"/>
        <v>1200</v>
      </c>
      <c r="P1128" s="15">
        <f t="shared" si="37"/>
        <v>41858</v>
      </c>
      <c r="Q1128" s="56"/>
      <c r="R1128" s="11"/>
      <c r="S1128" s="11"/>
    </row>
    <row r="1129" spans="1:19" x14ac:dyDescent="0.25">
      <c r="A1129" s="23" t="s">
        <v>16</v>
      </c>
      <c r="B1129" s="65" t="s">
        <v>17</v>
      </c>
      <c r="C1129" s="23" t="s">
        <v>51</v>
      </c>
      <c r="D1129" s="8">
        <v>2014</v>
      </c>
      <c r="E1129" s="9" t="s">
        <v>664</v>
      </c>
      <c r="F1129" s="10">
        <v>41858</v>
      </c>
      <c r="G1129" s="8">
        <v>11842</v>
      </c>
      <c r="H1129" s="11" t="s">
        <v>618</v>
      </c>
      <c r="I1129" s="12">
        <v>3789</v>
      </c>
      <c r="J1129" s="13" t="s">
        <v>53</v>
      </c>
      <c r="K1129" s="13" t="s">
        <v>54</v>
      </c>
      <c r="L1129" s="13"/>
      <c r="M1129" s="13"/>
      <c r="N1129" s="31"/>
      <c r="O1129" s="14">
        <f t="shared" si="36"/>
        <v>3789</v>
      </c>
      <c r="P1129" s="15">
        <f t="shared" si="37"/>
        <v>41858</v>
      </c>
      <c r="Q1129" s="56"/>
      <c r="R1129" s="11"/>
      <c r="S1129" s="11"/>
    </row>
    <row r="1130" spans="1:19" x14ac:dyDescent="0.25">
      <c r="A1130" s="23" t="s">
        <v>16</v>
      </c>
      <c r="B1130" s="65" t="s">
        <v>17</v>
      </c>
      <c r="C1130" s="23" t="s">
        <v>51</v>
      </c>
      <c r="D1130" s="8">
        <v>2014</v>
      </c>
      <c r="E1130" s="9" t="s">
        <v>664</v>
      </c>
      <c r="F1130" s="10">
        <v>41858</v>
      </c>
      <c r="G1130" s="8">
        <v>11711</v>
      </c>
      <c r="H1130" s="11" t="s">
        <v>409</v>
      </c>
      <c r="I1130" s="12">
        <v>15000</v>
      </c>
      <c r="J1130" s="13" t="s">
        <v>53</v>
      </c>
      <c r="K1130" s="13" t="s">
        <v>54</v>
      </c>
      <c r="L1130" s="13"/>
      <c r="M1130" s="13"/>
      <c r="N1130" s="31"/>
      <c r="O1130" s="14">
        <f t="shared" si="36"/>
        <v>15000</v>
      </c>
      <c r="P1130" s="15">
        <f t="shared" si="37"/>
        <v>41858</v>
      </c>
      <c r="Q1130" s="56"/>
      <c r="R1130" s="11"/>
      <c r="S1130" s="11"/>
    </row>
    <row r="1131" spans="1:19" x14ac:dyDescent="0.25">
      <c r="A1131" s="23" t="s">
        <v>16</v>
      </c>
      <c r="B1131" s="65" t="s">
        <v>17</v>
      </c>
      <c r="C1131" s="23" t="s">
        <v>51</v>
      </c>
      <c r="D1131" s="8">
        <v>2014</v>
      </c>
      <c r="E1131" s="9" t="s">
        <v>664</v>
      </c>
      <c r="F1131" s="10">
        <v>41858</v>
      </c>
      <c r="G1131" s="8">
        <v>11897</v>
      </c>
      <c r="H1131" s="11" t="s">
        <v>683</v>
      </c>
      <c r="I1131" s="12">
        <v>1000</v>
      </c>
      <c r="J1131" s="13" t="s">
        <v>53</v>
      </c>
      <c r="K1131" s="13" t="s">
        <v>54</v>
      </c>
      <c r="L1131" s="13"/>
      <c r="M1131" s="13"/>
      <c r="N1131" s="31"/>
      <c r="O1131" s="14">
        <f t="shared" si="36"/>
        <v>1000</v>
      </c>
      <c r="P1131" s="15">
        <f t="shared" si="37"/>
        <v>41858</v>
      </c>
      <c r="Q1131" s="56"/>
      <c r="R1131" s="11"/>
      <c r="S1131" s="11"/>
    </row>
    <row r="1132" spans="1:19" x14ac:dyDescent="0.25">
      <c r="A1132" s="23" t="s">
        <v>16</v>
      </c>
      <c r="B1132" s="65" t="s">
        <v>17</v>
      </c>
      <c r="C1132" s="23" t="s">
        <v>51</v>
      </c>
      <c r="D1132" s="8">
        <v>2014</v>
      </c>
      <c r="E1132" s="9" t="s">
        <v>664</v>
      </c>
      <c r="F1132" s="10">
        <v>41858</v>
      </c>
      <c r="G1132" s="8">
        <v>11880</v>
      </c>
      <c r="H1132" s="11" t="s">
        <v>663</v>
      </c>
      <c r="I1132" s="12">
        <v>1050</v>
      </c>
      <c r="J1132" s="13" t="s">
        <v>53</v>
      </c>
      <c r="K1132" s="13" t="s">
        <v>54</v>
      </c>
      <c r="L1132" s="13"/>
      <c r="M1132" s="13"/>
      <c r="N1132" s="31"/>
      <c r="O1132" s="14">
        <f t="shared" si="36"/>
        <v>1050</v>
      </c>
      <c r="P1132" s="15">
        <f t="shared" si="37"/>
        <v>41858</v>
      </c>
      <c r="Q1132" s="56"/>
      <c r="R1132" s="11"/>
      <c r="S1132" s="11"/>
    </row>
    <row r="1133" spans="1:19" x14ac:dyDescent="0.25">
      <c r="A1133" s="23" t="s">
        <v>16</v>
      </c>
      <c r="B1133" s="65" t="s">
        <v>17</v>
      </c>
      <c r="C1133" s="23" t="s">
        <v>51</v>
      </c>
      <c r="D1133" s="8">
        <v>2014</v>
      </c>
      <c r="E1133" s="9" t="s">
        <v>664</v>
      </c>
      <c r="F1133" s="10">
        <v>41858</v>
      </c>
      <c r="G1133" s="8">
        <v>11856</v>
      </c>
      <c r="H1133" s="11" t="s">
        <v>639</v>
      </c>
      <c r="I1133" s="12">
        <v>10714</v>
      </c>
      <c r="J1133" s="13" t="s">
        <v>53</v>
      </c>
      <c r="K1133" s="13" t="s">
        <v>54</v>
      </c>
      <c r="L1133" s="13"/>
      <c r="M1133" s="13"/>
      <c r="N1133" s="31"/>
      <c r="O1133" s="14">
        <f t="shared" si="36"/>
        <v>10714</v>
      </c>
      <c r="P1133" s="15">
        <f t="shared" si="37"/>
        <v>41858</v>
      </c>
      <c r="Q1133" s="56"/>
      <c r="R1133" s="11"/>
      <c r="S1133" s="11"/>
    </row>
    <row r="1134" spans="1:19" x14ac:dyDescent="0.25">
      <c r="A1134" s="23" t="s">
        <v>16</v>
      </c>
      <c r="B1134" s="65" t="s">
        <v>17</v>
      </c>
      <c r="C1134" s="23" t="s">
        <v>51</v>
      </c>
      <c r="D1134" s="8">
        <v>2014</v>
      </c>
      <c r="E1134" s="9" t="s">
        <v>664</v>
      </c>
      <c r="F1134" s="10">
        <v>41858</v>
      </c>
      <c r="G1134" s="8">
        <v>11787</v>
      </c>
      <c r="H1134" s="11" t="s">
        <v>524</v>
      </c>
      <c r="I1134" s="12">
        <v>2500</v>
      </c>
      <c r="J1134" s="13" t="s">
        <v>53</v>
      </c>
      <c r="K1134" s="13" t="s">
        <v>54</v>
      </c>
      <c r="L1134" s="13"/>
      <c r="M1134" s="13"/>
      <c r="N1134" s="31"/>
      <c r="O1134" s="14">
        <f t="shared" si="36"/>
        <v>2500</v>
      </c>
      <c r="P1134" s="15">
        <f t="shared" si="37"/>
        <v>41858</v>
      </c>
      <c r="Q1134" s="56"/>
      <c r="R1134" s="11"/>
      <c r="S1134" s="11"/>
    </row>
    <row r="1135" spans="1:19" x14ac:dyDescent="0.25">
      <c r="A1135" s="23" t="s">
        <v>16</v>
      </c>
      <c r="B1135" s="65" t="s">
        <v>17</v>
      </c>
      <c r="C1135" s="23" t="s">
        <v>51</v>
      </c>
      <c r="D1135" s="8">
        <v>2014</v>
      </c>
      <c r="E1135" s="9" t="s">
        <v>664</v>
      </c>
      <c r="F1135" s="10">
        <v>41858</v>
      </c>
      <c r="G1135" s="8">
        <v>11792</v>
      </c>
      <c r="H1135" s="11" t="s">
        <v>684</v>
      </c>
      <c r="I1135" s="12">
        <v>900</v>
      </c>
      <c r="J1135" s="13" t="s">
        <v>53</v>
      </c>
      <c r="K1135" s="13" t="s">
        <v>54</v>
      </c>
      <c r="L1135" s="13"/>
      <c r="M1135" s="13"/>
      <c r="N1135" s="31"/>
      <c r="O1135" s="14">
        <f t="shared" si="36"/>
        <v>900</v>
      </c>
      <c r="P1135" s="15">
        <f t="shared" si="37"/>
        <v>41858</v>
      </c>
      <c r="Q1135" s="56"/>
      <c r="R1135" s="11"/>
      <c r="S1135" s="11"/>
    </row>
    <row r="1136" spans="1:19" x14ac:dyDescent="0.25">
      <c r="A1136" s="23" t="s">
        <v>16</v>
      </c>
      <c r="B1136" s="65" t="s">
        <v>17</v>
      </c>
      <c r="C1136" s="23" t="s">
        <v>18</v>
      </c>
      <c r="D1136" s="8">
        <v>2014</v>
      </c>
      <c r="E1136" s="9" t="s">
        <v>664</v>
      </c>
      <c r="F1136" s="30">
        <v>41859</v>
      </c>
      <c r="G1136" s="23"/>
      <c r="H1136" s="13" t="s">
        <v>252</v>
      </c>
      <c r="I1136" s="12">
        <v>-50</v>
      </c>
      <c r="J1136" s="13" t="s">
        <v>21</v>
      </c>
      <c r="K1136" s="13" t="s">
        <v>22</v>
      </c>
      <c r="L1136" s="13" t="s">
        <v>71</v>
      </c>
      <c r="M1136" s="13" t="s">
        <v>206</v>
      </c>
      <c r="N1136" s="31"/>
      <c r="O1136" s="14">
        <f t="shared" si="36"/>
        <v>-50</v>
      </c>
      <c r="P1136" s="15">
        <f t="shared" si="37"/>
        <v>41859</v>
      </c>
      <c r="Q1136" s="56"/>
      <c r="R1136" s="13"/>
      <c r="S1136" s="13"/>
    </row>
    <row r="1137" spans="1:19" x14ac:dyDescent="0.25">
      <c r="A1137" s="8" t="s">
        <v>16</v>
      </c>
      <c r="B1137" s="66" t="s">
        <v>17</v>
      </c>
      <c r="C1137" s="8" t="s">
        <v>18</v>
      </c>
      <c r="D1137" s="8">
        <v>2014</v>
      </c>
      <c r="E1137" s="9" t="s">
        <v>664</v>
      </c>
      <c r="F1137" s="10">
        <v>41859</v>
      </c>
      <c r="G1137" s="8"/>
      <c r="H1137" s="13" t="s">
        <v>80</v>
      </c>
      <c r="I1137" s="12">
        <v>-50</v>
      </c>
      <c r="J1137" s="13" t="s">
        <v>21</v>
      </c>
      <c r="K1137" s="13" t="s">
        <v>22</v>
      </c>
      <c r="L1137" s="13" t="s">
        <v>23</v>
      </c>
      <c r="M1137" s="13" t="s">
        <v>28</v>
      </c>
      <c r="N1137" s="14"/>
      <c r="O1137" s="14">
        <f t="shared" si="36"/>
        <v>-50</v>
      </c>
      <c r="P1137" s="15">
        <f t="shared" si="37"/>
        <v>41859</v>
      </c>
      <c r="Q1137" s="56"/>
      <c r="R1137" s="13"/>
      <c r="S1137" s="13"/>
    </row>
    <row r="1138" spans="1:19" x14ac:dyDescent="0.25">
      <c r="A1138" s="23" t="s">
        <v>16</v>
      </c>
      <c r="B1138" s="65" t="s">
        <v>17</v>
      </c>
      <c r="C1138" s="23" t="s">
        <v>18</v>
      </c>
      <c r="D1138" s="8">
        <v>2014</v>
      </c>
      <c r="E1138" s="9" t="s">
        <v>664</v>
      </c>
      <c r="F1138" s="10">
        <v>41859</v>
      </c>
      <c r="G1138" s="8"/>
      <c r="H1138" s="11" t="s">
        <v>399</v>
      </c>
      <c r="I1138" s="12">
        <f>-180-14-255-68-69-73-35-39-46-130-153</f>
        <v>-1062</v>
      </c>
      <c r="J1138" s="13" t="s">
        <v>21</v>
      </c>
      <c r="K1138" s="13" t="s">
        <v>56</v>
      </c>
      <c r="L1138" s="13" t="s">
        <v>111</v>
      </c>
      <c r="M1138" s="13" t="s">
        <v>28</v>
      </c>
      <c r="N1138" s="31"/>
      <c r="O1138" s="14">
        <f t="shared" si="36"/>
        <v>-1062</v>
      </c>
      <c r="P1138" s="15">
        <f t="shared" si="37"/>
        <v>41859</v>
      </c>
      <c r="Q1138" s="56"/>
      <c r="R1138" s="11"/>
      <c r="S1138" s="11"/>
    </row>
    <row r="1139" spans="1:19" x14ac:dyDescent="0.25">
      <c r="A1139" s="8" t="s">
        <v>16</v>
      </c>
      <c r="B1139" s="66" t="s">
        <v>17</v>
      </c>
      <c r="C1139" s="36" t="s">
        <v>18</v>
      </c>
      <c r="D1139" s="8">
        <v>2014</v>
      </c>
      <c r="E1139" s="9" t="s">
        <v>664</v>
      </c>
      <c r="F1139" s="10">
        <v>41859</v>
      </c>
      <c r="G1139" s="8"/>
      <c r="H1139" s="11" t="s">
        <v>29</v>
      </c>
      <c r="I1139" s="12">
        <v>-5000</v>
      </c>
      <c r="J1139" s="13" t="s">
        <v>21</v>
      </c>
      <c r="K1139" s="13" t="s">
        <v>30</v>
      </c>
      <c r="L1139" s="13" t="s">
        <v>31</v>
      </c>
      <c r="M1139" s="13" t="s">
        <v>28</v>
      </c>
      <c r="N1139" s="14"/>
      <c r="O1139" s="14">
        <f t="shared" si="36"/>
        <v>-5000</v>
      </c>
      <c r="P1139" s="15">
        <f t="shared" si="37"/>
        <v>41859</v>
      </c>
      <c r="Q1139" s="56"/>
      <c r="R1139" s="11"/>
      <c r="S1139" s="11"/>
    </row>
    <row r="1140" spans="1:19" x14ac:dyDescent="0.25">
      <c r="A1140" s="23" t="s">
        <v>16</v>
      </c>
      <c r="B1140" s="23" t="s">
        <v>17</v>
      </c>
      <c r="C1140" s="23" t="s">
        <v>18</v>
      </c>
      <c r="D1140" s="8">
        <v>2014</v>
      </c>
      <c r="E1140" s="9" t="s">
        <v>664</v>
      </c>
      <c r="F1140" s="10">
        <v>41859</v>
      </c>
      <c r="G1140" s="8"/>
      <c r="H1140" s="11" t="s">
        <v>378</v>
      </c>
      <c r="I1140" s="12">
        <v>-564</v>
      </c>
      <c r="J1140" s="13" t="s">
        <v>38</v>
      </c>
      <c r="K1140" s="13" t="s">
        <v>155</v>
      </c>
      <c r="L1140" s="13" t="s">
        <v>91</v>
      </c>
      <c r="M1140" s="13"/>
      <c r="N1140" s="31"/>
      <c r="O1140" s="14">
        <f t="shared" si="36"/>
        <v>-564</v>
      </c>
      <c r="P1140" s="15">
        <f t="shared" si="37"/>
        <v>41859</v>
      </c>
      <c r="Q1140" s="56"/>
      <c r="R1140" s="16"/>
      <c r="S1140" s="16"/>
    </row>
    <row r="1141" spans="1:19" x14ac:dyDescent="0.25">
      <c r="A1141" s="23" t="s">
        <v>16</v>
      </c>
      <c r="B1141" s="23" t="s">
        <v>17</v>
      </c>
      <c r="C1141" s="23" t="s">
        <v>18</v>
      </c>
      <c r="D1141" s="8">
        <v>2014</v>
      </c>
      <c r="E1141" s="9" t="s">
        <v>664</v>
      </c>
      <c r="F1141" s="10">
        <v>41859</v>
      </c>
      <c r="G1141" s="8"/>
      <c r="H1141" s="11" t="s">
        <v>350</v>
      </c>
      <c r="I1141" s="12">
        <v>-752</v>
      </c>
      <c r="J1141" s="13" t="s">
        <v>38</v>
      </c>
      <c r="K1141" s="13" t="s">
        <v>155</v>
      </c>
      <c r="L1141" s="13" t="s">
        <v>91</v>
      </c>
      <c r="M1141" s="13"/>
      <c r="N1141" s="31"/>
      <c r="O1141" s="14">
        <f t="shared" si="36"/>
        <v>-752</v>
      </c>
      <c r="P1141" s="15">
        <f t="shared" si="37"/>
        <v>41859</v>
      </c>
      <c r="Q1141" s="56"/>
      <c r="R1141" s="16"/>
      <c r="S1141" s="16"/>
    </row>
    <row r="1142" spans="1:19" x14ac:dyDescent="0.25">
      <c r="A1142" s="23" t="s">
        <v>16</v>
      </c>
      <c r="B1142" s="23" t="s">
        <v>17</v>
      </c>
      <c r="C1142" s="23" t="s">
        <v>18</v>
      </c>
      <c r="D1142" s="8">
        <v>2014</v>
      </c>
      <c r="E1142" s="9" t="s">
        <v>664</v>
      </c>
      <c r="F1142" s="10">
        <v>41859</v>
      </c>
      <c r="G1142" s="8"/>
      <c r="H1142" s="11" t="s">
        <v>419</v>
      </c>
      <c r="I1142" s="12">
        <v>-752</v>
      </c>
      <c r="J1142" s="13" t="s">
        <v>38</v>
      </c>
      <c r="K1142" s="13" t="s">
        <v>155</v>
      </c>
      <c r="L1142" s="13" t="s">
        <v>91</v>
      </c>
      <c r="M1142" s="13"/>
      <c r="N1142" s="31"/>
      <c r="O1142" s="14">
        <f t="shared" si="36"/>
        <v>-752</v>
      </c>
      <c r="P1142" s="15">
        <f t="shared" si="37"/>
        <v>41859</v>
      </c>
      <c r="Q1142" s="15"/>
      <c r="R1142" s="26"/>
      <c r="S1142" s="26"/>
    </row>
    <row r="1143" spans="1:19" x14ac:dyDescent="0.25">
      <c r="A1143" s="23" t="s">
        <v>16</v>
      </c>
      <c r="B1143" s="23" t="s">
        <v>17</v>
      </c>
      <c r="C1143" s="23" t="s">
        <v>18</v>
      </c>
      <c r="D1143" s="8">
        <v>2014</v>
      </c>
      <c r="E1143" s="9" t="s">
        <v>664</v>
      </c>
      <c r="F1143" s="10">
        <v>41859</v>
      </c>
      <c r="G1143" s="8"/>
      <c r="H1143" s="11" t="s">
        <v>420</v>
      </c>
      <c r="I1143" s="12">
        <v>-800</v>
      </c>
      <c r="J1143" s="13" t="s">
        <v>38</v>
      </c>
      <c r="K1143" s="13" t="s">
        <v>155</v>
      </c>
      <c r="L1143" s="13" t="s">
        <v>91</v>
      </c>
      <c r="M1143" s="13"/>
      <c r="N1143" s="31"/>
      <c r="O1143" s="14">
        <f t="shared" si="36"/>
        <v>-800</v>
      </c>
      <c r="P1143" s="15">
        <f t="shared" si="37"/>
        <v>41859</v>
      </c>
      <c r="Q1143" s="15"/>
      <c r="R1143" s="16"/>
      <c r="S1143" s="16"/>
    </row>
    <row r="1144" spans="1:19" x14ac:dyDescent="0.25">
      <c r="A1144" s="23" t="s">
        <v>16</v>
      </c>
      <c r="B1144" s="23" t="s">
        <v>17</v>
      </c>
      <c r="C1144" s="23" t="s">
        <v>18</v>
      </c>
      <c r="D1144" s="8">
        <v>2014</v>
      </c>
      <c r="E1144" s="9" t="s">
        <v>664</v>
      </c>
      <c r="F1144" s="10">
        <v>41859</v>
      </c>
      <c r="G1144" s="8"/>
      <c r="H1144" s="11" t="s">
        <v>685</v>
      </c>
      <c r="I1144" s="12">
        <v>-144</v>
      </c>
      <c r="J1144" s="13" t="s">
        <v>38</v>
      </c>
      <c r="K1144" s="13" t="s">
        <v>155</v>
      </c>
      <c r="L1144" s="13" t="s">
        <v>91</v>
      </c>
      <c r="M1144" s="13"/>
      <c r="N1144" s="31"/>
      <c r="O1144" s="14">
        <f t="shared" si="36"/>
        <v>-144</v>
      </c>
      <c r="P1144" s="15">
        <f t="shared" si="37"/>
        <v>41859</v>
      </c>
      <c r="Q1144" s="15"/>
      <c r="R1144" s="16"/>
      <c r="S1144" s="16"/>
    </row>
    <row r="1145" spans="1:19" x14ac:dyDescent="0.25">
      <c r="A1145" s="23" t="s">
        <v>16</v>
      </c>
      <c r="B1145" s="23" t="s">
        <v>17</v>
      </c>
      <c r="C1145" s="23" t="s">
        <v>18</v>
      </c>
      <c r="D1145" s="8">
        <v>2014</v>
      </c>
      <c r="E1145" s="9" t="s">
        <v>664</v>
      </c>
      <c r="F1145" s="10">
        <v>41859</v>
      </c>
      <c r="G1145" s="8"/>
      <c r="H1145" s="11" t="s">
        <v>686</v>
      </c>
      <c r="I1145" s="12">
        <v>-400</v>
      </c>
      <c r="J1145" s="13" t="s">
        <v>38</v>
      </c>
      <c r="K1145" s="13" t="s">
        <v>155</v>
      </c>
      <c r="L1145" s="13" t="s">
        <v>91</v>
      </c>
      <c r="M1145" s="13"/>
      <c r="N1145" s="31"/>
      <c r="O1145" s="14">
        <f t="shared" si="36"/>
        <v>-400</v>
      </c>
      <c r="P1145" s="15">
        <f t="shared" si="37"/>
        <v>41859</v>
      </c>
      <c r="Q1145" s="15"/>
      <c r="R1145" s="16"/>
      <c r="S1145" s="16"/>
    </row>
    <row r="1146" spans="1:19" x14ac:dyDescent="0.25">
      <c r="A1146" s="23" t="s">
        <v>16</v>
      </c>
      <c r="B1146" s="23" t="s">
        <v>17</v>
      </c>
      <c r="C1146" s="23" t="s">
        <v>18</v>
      </c>
      <c r="D1146" s="8">
        <v>2014</v>
      </c>
      <c r="E1146" s="9" t="s">
        <v>664</v>
      </c>
      <c r="F1146" s="10">
        <v>41859</v>
      </c>
      <c r="G1146" s="8"/>
      <c r="H1146" s="11" t="s">
        <v>687</v>
      </c>
      <c r="I1146" s="12">
        <v>-49</v>
      </c>
      <c r="J1146" s="13" t="s">
        <v>38</v>
      </c>
      <c r="K1146" s="13" t="s">
        <v>155</v>
      </c>
      <c r="L1146" s="13" t="s">
        <v>91</v>
      </c>
      <c r="M1146" s="13"/>
      <c r="N1146" s="31"/>
      <c r="O1146" s="14">
        <f t="shared" si="36"/>
        <v>-49</v>
      </c>
      <c r="P1146" s="15">
        <f t="shared" si="37"/>
        <v>41859</v>
      </c>
      <c r="Q1146" s="15"/>
      <c r="R1146" s="16"/>
      <c r="S1146" s="16"/>
    </row>
    <row r="1147" spans="1:19" x14ac:dyDescent="0.25">
      <c r="A1147" s="23" t="s">
        <v>16</v>
      </c>
      <c r="B1147" s="23" t="s">
        <v>17</v>
      </c>
      <c r="C1147" s="23" t="s">
        <v>18</v>
      </c>
      <c r="D1147" s="8">
        <v>2014</v>
      </c>
      <c r="E1147" s="9" t="s">
        <v>664</v>
      </c>
      <c r="F1147" s="10">
        <v>41859</v>
      </c>
      <c r="G1147" s="8"/>
      <c r="H1147" s="11" t="s">
        <v>688</v>
      </c>
      <c r="I1147" s="12">
        <v>-150</v>
      </c>
      <c r="J1147" s="13" t="s">
        <v>38</v>
      </c>
      <c r="K1147" s="13" t="s">
        <v>155</v>
      </c>
      <c r="L1147" s="13" t="s">
        <v>91</v>
      </c>
      <c r="M1147" s="13"/>
      <c r="N1147" s="31"/>
      <c r="O1147" s="14">
        <f t="shared" si="36"/>
        <v>-150</v>
      </c>
      <c r="P1147" s="15">
        <f t="shared" si="37"/>
        <v>41859</v>
      </c>
      <c r="Q1147" s="15"/>
      <c r="R1147" s="16"/>
      <c r="S1147" s="16"/>
    </row>
    <row r="1148" spans="1:19" x14ac:dyDescent="0.25">
      <c r="A1148" s="23" t="s">
        <v>16</v>
      </c>
      <c r="B1148" s="23" t="s">
        <v>17</v>
      </c>
      <c r="C1148" s="23" t="s">
        <v>18</v>
      </c>
      <c r="D1148" s="8">
        <v>2014</v>
      </c>
      <c r="E1148" s="9" t="s">
        <v>664</v>
      </c>
      <c r="F1148" s="10">
        <v>41859</v>
      </c>
      <c r="G1148" s="23"/>
      <c r="H1148" s="13" t="s">
        <v>617</v>
      </c>
      <c r="I1148" s="12">
        <v>-200</v>
      </c>
      <c r="J1148" s="13" t="s">
        <v>38</v>
      </c>
      <c r="K1148" s="13" t="s">
        <v>90</v>
      </c>
      <c r="L1148" s="13" t="s">
        <v>91</v>
      </c>
      <c r="M1148" s="13"/>
      <c r="N1148" s="31"/>
      <c r="O1148" s="14">
        <f t="shared" si="36"/>
        <v>-200</v>
      </c>
      <c r="P1148" s="15">
        <f t="shared" si="37"/>
        <v>41859</v>
      </c>
      <c r="Q1148" s="15"/>
      <c r="R1148" s="16"/>
      <c r="S1148" s="16"/>
    </row>
    <row r="1149" spans="1:19" x14ac:dyDescent="0.25">
      <c r="A1149" s="8" t="s">
        <v>16</v>
      </c>
      <c r="B1149" s="66" t="s">
        <v>17</v>
      </c>
      <c r="C1149" s="8" t="s">
        <v>18</v>
      </c>
      <c r="D1149" s="8">
        <v>2014</v>
      </c>
      <c r="E1149" s="9" t="s">
        <v>664</v>
      </c>
      <c r="F1149" s="10">
        <v>41859</v>
      </c>
      <c r="G1149" s="23"/>
      <c r="H1149" s="11" t="s">
        <v>595</v>
      </c>
      <c r="I1149" s="12">
        <v>-800</v>
      </c>
      <c r="J1149" s="54" t="s">
        <v>21</v>
      </c>
      <c r="K1149" s="54" t="s">
        <v>56</v>
      </c>
      <c r="L1149" s="54" t="s">
        <v>57</v>
      </c>
      <c r="M1149" s="13" t="s">
        <v>386</v>
      </c>
      <c r="N1149" s="14"/>
      <c r="O1149" s="14">
        <f t="shared" si="36"/>
        <v>-800</v>
      </c>
      <c r="P1149" s="15">
        <f t="shared" si="37"/>
        <v>41859</v>
      </c>
      <c r="Q1149" s="56"/>
      <c r="R1149" s="11"/>
      <c r="S1149" s="11"/>
    </row>
    <row r="1150" spans="1:19" x14ac:dyDescent="0.25">
      <c r="A1150" s="23" t="s">
        <v>16</v>
      </c>
      <c r="B1150" s="65" t="s">
        <v>17</v>
      </c>
      <c r="C1150" s="23" t="s">
        <v>51</v>
      </c>
      <c r="D1150" s="8">
        <v>2014</v>
      </c>
      <c r="E1150" s="9" t="s">
        <v>664</v>
      </c>
      <c r="F1150" s="10">
        <v>41860</v>
      </c>
      <c r="G1150" s="8">
        <v>11819</v>
      </c>
      <c r="H1150" s="11" t="s">
        <v>689</v>
      </c>
      <c r="I1150" s="12">
        <v>9700</v>
      </c>
      <c r="J1150" s="13" t="s">
        <v>53</v>
      </c>
      <c r="K1150" s="13" t="s">
        <v>54</v>
      </c>
      <c r="L1150" s="13"/>
      <c r="M1150" s="13"/>
      <c r="N1150" s="31"/>
      <c r="O1150" s="14">
        <f t="shared" si="36"/>
        <v>9700</v>
      </c>
      <c r="P1150" s="15">
        <f t="shared" si="37"/>
        <v>41860</v>
      </c>
      <c r="Q1150" s="56"/>
      <c r="R1150" s="11"/>
      <c r="S1150" s="11"/>
    </row>
    <row r="1151" spans="1:19" x14ac:dyDescent="0.25">
      <c r="A1151" s="23" t="s">
        <v>16</v>
      </c>
      <c r="B1151" s="65" t="s">
        <v>17</v>
      </c>
      <c r="C1151" s="23" t="s">
        <v>51</v>
      </c>
      <c r="D1151" s="8">
        <v>2014</v>
      </c>
      <c r="E1151" s="9" t="s">
        <v>664</v>
      </c>
      <c r="F1151" s="10">
        <v>41860</v>
      </c>
      <c r="G1151" s="8">
        <v>11902</v>
      </c>
      <c r="H1151" s="11" t="s">
        <v>690</v>
      </c>
      <c r="I1151" s="12">
        <v>300</v>
      </c>
      <c r="J1151" s="13" t="s">
        <v>53</v>
      </c>
      <c r="K1151" s="13" t="s">
        <v>54</v>
      </c>
      <c r="L1151" s="13"/>
      <c r="M1151" s="13"/>
      <c r="N1151" s="31"/>
      <c r="O1151" s="14">
        <f t="shared" si="36"/>
        <v>300</v>
      </c>
      <c r="P1151" s="15">
        <f t="shared" si="37"/>
        <v>41860</v>
      </c>
      <c r="Q1151" s="56"/>
      <c r="R1151" s="11"/>
      <c r="S1151" s="11"/>
    </row>
    <row r="1152" spans="1:19" x14ac:dyDescent="0.25">
      <c r="A1152" s="23" t="s">
        <v>16</v>
      </c>
      <c r="B1152" s="65" t="s">
        <v>17</v>
      </c>
      <c r="C1152" s="23" t="s">
        <v>51</v>
      </c>
      <c r="D1152" s="8">
        <v>2014</v>
      </c>
      <c r="E1152" s="9" t="s">
        <v>664</v>
      </c>
      <c r="F1152" s="10">
        <v>41860</v>
      </c>
      <c r="G1152" s="8">
        <v>11901</v>
      </c>
      <c r="H1152" s="11" t="s">
        <v>691</v>
      </c>
      <c r="I1152" s="12">
        <v>1500</v>
      </c>
      <c r="J1152" s="13" t="s">
        <v>53</v>
      </c>
      <c r="K1152" s="13" t="s">
        <v>54</v>
      </c>
      <c r="L1152" s="13"/>
      <c r="M1152" s="13"/>
      <c r="N1152" s="31"/>
      <c r="O1152" s="14">
        <f t="shared" si="36"/>
        <v>1500</v>
      </c>
      <c r="P1152" s="15">
        <f t="shared" si="37"/>
        <v>41860</v>
      </c>
      <c r="Q1152" s="56"/>
      <c r="R1152" s="11"/>
      <c r="S1152" s="11"/>
    </row>
    <row r="1153" spans="1:19" x14ac:dyDescent="0.25">
      <c r="A1153" s="23" t="s">
        <v>16</v>
      </c>
      <c r="B1153" s="65" t="s">
        <v>17</v>
      </c>
      <c r="C1153" s="23" t="s">
        <v>51</v>
      </c>
      <c r="D1153" s="8">
        <v>2014</v>
      </c>
      <c r="E1153" s="9" t="s">
        <v>664</v>
      </c>
      <c r="F1153" s="10">
        <v>41860</v>
      </c>
      <c r="G1153" s="8">
        <v>11903</v>
      </c>
      <c r="H1153" s="11" t="s">
        <v>692</v>
      </c>
      <c r="I1153" s="12">
        <v>200</v>
      </c>
      <c r="J1153" s="13" t="s">
        <v>53</v>
      </c>
      <c r="K1153" s="13" t="s">
        <v>54</v>
      </c>
      <c r="L1153" s="13"/>
      <c r="M1153" s="13"/>
      <c r="N1153" s="31"/>
      <c r="O1153" s="14">
        <f t="shared" si="36"/>
        <v>200</v>
      </c>
      <c r="P1153" s="15">
        <f t="shared" si="37"/>
        <v>41860</v>
      </c>
      <c r="Q1153" s="56"/>
      <c r="R1153" s="11"/>
      <c r="S1153" s="11"/>
    </row>
    <row r="1154" spans="1:19" x14ac:dyDescent="0.25">
      <c r="A1154" s="23" t="s">
        <v>16</v>
      </c>
      <c r="B1154" s="65" t="s">
        <v>17</v>
      </c>
      <c r="C1154" s="23" t="s">
        <v>51</v>
      </c>
      <c r="D1154" s="8">
        <v>2014</v>
      </c>
      <c r="E1154" s="9" t="s">
        <v>664</v>
      </c>
      <c r="F1154" s="10">
        <v>41860</v>
      </c>
      <c r="G1154" s="8">
        <v>11904</v>
      </c>
      <c r="H1154" s="11" t="s">
        <v>693</v>
      </c>
      <c r="I1154" s="12">
        <v>100</v>
      </c>
      <c r="J1154" s="13" t="s">
        <v>53</v>
      </c>
      <c r="K1154" s="13" t="s">
        <v>54</v>
      </c>
      <c r="L1154" s="13"/>
      <c r="M1154" s="13"/>
      <c r="N1154" s="31"/>
      <c r="O1154" s="14">
        <f t="shared" si="36"/>
        <v>100</v>
      </c>
      <c r="P1154" s="15">
        <f t="shared" si="37"/>
        <v>41860</v>
      </c>
      <c r="Q1154" s="56"/>
      <c r="R1154" s="11"/>
      <c r="S1154" s="11"/>
    </row>
    <row r="1155" spans="1:19" x14ac:dyDescent="0.25">
      <c r="A1155" s="23" t="s">
        <v>16</v>
      </c>
      <c r="B1155" s="65" t="s">
        <v>17</v>
      </c>
      <c r="C1155" s="23" t="s">
        <v>51</v>
      </c>
      <c r="D1155" s="8">
        <v>2014</v>
      </c>
      <c r="E1155" s="9" t="s">
        <v>664</v>
      </c>
      <c r="F1155" s="10">
        <v>41860</v>
      </c>
      <c r="G1155" s="8">
        <v>11905</v>
      </c>
      <c r="H1155" s="11" t="s">
        <v>694</v>
      </c>
      <c r="I1155" s="12">
        <v>100</v>
      </c>
      <c r="J1155" s="13" t="s">
        <v>53</v>
      </c>
      <c r="K1155" s="13" t="s">
        <v>54</v>
      </c>
      <c r="L1155" s="13"/>
      <c r="M1155" s="13"/>
      <c r="N1155" s="31"/>
      <c r="O1155" s="14">
        <f t="shared" ref="O1155:O1218" si="38">IF(B1155="$",I1155,I1155/N1155)</f>
        <v>100</v>
      </c>
      <c r="P1155" s="15">
        <f t="shared" si="37"/>
        <v>41860</v>
      </c>
      <c r="Q1155" s="56"/>
      <c r="R1155" s="11"/>
      <c r="S1155" s="11"/>
    </row>
    <row r="1156" spans="1:19" x14ac:dyDescent="0.25">
      <c r="A1156" s="23" t="s">
        <v>16</v>
      </c>
      <c r="B1156" s="65" t="s">
        <v>17</v>
      </c>
      <c r="C1156" s="23" t="s">
        <v>51</v>
      </c>
      <c r="D1156" s="8">
        <v>2014</v>
      </c>
      <c r="E1156" s="9" t="s">
        <v>664</v>
      </c>
      <c r="F1156" s="10">
        <v>41860</v>
      </c>
      <c r="G1156" s="8">
        <v>11906</v>
      </c>
      <c r="H1156" s="11" t="s">
        <v>695</v>
      </c>
      <c r="I1156" s="12">
        <v>400</v>
      </c>
      <c r="J1156" s="13" t="s">
        <v>53</v>
      </c>
      <c r="K1156" s="13" t="s">
        <v>54</v>
      </c>
      <c r="L1156" s="13"/>
      <c r="M1156" s="13"/>
      <c r="N1156" s="31"/>
      <c r="O1156" s="14">
        <f t="shared" si="38"/>
        <v>400</v>
      </c>
      <c r="P1156" s="15">
        <f t="shared" si="37"/>
        <v>41860</v>
      </c>
      <c r="Q1156" s="56"/>
      <c r="R1156" s="11"/>
      <c r="S1156" s="11"/>
    </row>
    <row r="1157" spans="1:19" x14ac:dyDescent="0.25">
      <c r="A1157" s="23" t="s">
        <v>16</v>
      </c>
      <c r="B1157" s="65" t="s">
        <v>17</v>
      </c>
      <c r="C1157" s="23" t="s">
        <v>51</v>
      </c>
      <c r="D1157" s="8">
        <v>2014</v>
      </c>
      <c r="E1157" s="9" t="s">
        <v>664</v>
      </c>
      <c r="F1157" s="10">
        <v>41860</v>
      </c>
      <c r="G1157" s="8">
        <v>11810</v>
      </c>
      <c r="H1157" s="11" t="s">
        <v>561</v>
      </c>
      <c r="I1157" s="12">
        <v>2800</v>
      </c>
      <c r="J1157" s="13" t="s">
        <v>53</v>
      </c>
      <c r="K1157" s="13" t="s">
        <v>54</v>
      </c>
      <c r="L1157" s="13"/>
      <c r="M1157" s="13"/>
      <c r="N1157" s="31"/>
      <c r="O1157" s="14">
        <f t="shared" si="38"/>
        <v>2800</v>
      </c>
      <c r="P1157" s="15">
        <f t="shared" si="37"/>
        <v>41860</v>
      </c>
      <c r="Q1157" s="56"/>
      <c r="R1157" s="11"/>
      <c r="S1157" s="11"/>
    </row>
    <row r="1158" spans="1:19" x14ac:dyDescent="0.25">
      <c r="A1158" s="23" t="s">
        <v>16</v>
      </c>
      <c r="B1158" s="65" t="s">
        <v>17</v>
      </c>
      <c r="C1158" s="23" t="s">
        <v>51</v>
      </c>
      <c r="D1158" s="8">
        <v>2014</v>
      </c>
      <c r="E1158" s="9" t="s">
        <v>664</v>
      </c>
      <c r="F1158" s="10">
        <v>41860</v>
      </c>
      <c r="G1158" s="8">
        <v>11898</v>
      </c>
      <c r="H1158" s="11" t="s">
        <v>689</v>
      </c>
      <c r="I1158" s="12">
        <v>1500</v>
      </c>
      <c r="J1158" s="13" t="s">
        <v>53</v>
      </c>
      <c r="K1158" s="13" t="s">
        <v>54</v>
      </c>
      <c r="L1158" s="13"/>
      <c r="M1158" s="13"/>
      <c r="N1158" s="31"/>
      <c r="O1158" s="14">
        <f t="shared" si="38"/>
        <v>1500</v>
      </c>
      <c r="P1158" s="15">
        <f t="shared" si="37"/>
        <v>41860</v>
      </c>
      <c r="Q1158" s="56"/>
      <c r="R1158" s="11"/>
      <c r="S1158" s="11"/>
    </row>
    <row r="1159" spans="1:19" x14ac:dyDescent="0.25">
      <c r="A1159" s="23" t="s">
        <v>16</v>
      </c>
      <c r="B1159" s="65" t="s">
        <v>17</v>
      </c>
      <c r="C1159" s="23" t="s">
        <v>51</v>
      </c>
      <c r="D1159" s="8">
        <v>2014</v>
      </c>
      <c r="E1159" s="9" t="s">
        <v>664</v>
      </c>
      <c r="F1159" s="10">
        <v>41862</v>
      </c>
      <c r="G1159" s="8">
        <v>11908</v>
      </c>
      <c r="H1159" s="11" t="s">
        <v>696</v>
      </c>
      <c r="I1159" s="12">
        <v>200</v>
      </c>
      <c r="J1159" s="13" t="s">
        <v>53</v>
      </c>
      <c r="K1159" s="13" t="s">
        <v>54</v>
      </c>
      <c r="L1159" s="13"/>
      <c r="M1159" s="13"/>
      <c r="N1159" s="31"/>
      <c r="O1159" s="14">
        <f t="shared" si="38"/>
        <v>200</v>
      </c>
      <c r="P1159" s="15">
        <f t="shared" si="37"/>
        <v>41862</v>
      </c>
      <c r="Q1159" s="56"/>
      <c r="R1159" s="11"/>
      <c r="S1159" s="11"/>
    </row>
    <row r="1160" spans="1:19" x14ac:dyDescent="0.25">
      <c r="A1160" s="8" t="s">
        <v>16</v>
      </c>
      <c r="B1160" s="66" t="s">
        <v>17</v>
      </c>
      <c r="C1160" s="8" t="s">
        <v>18</v>
      </c>
      <c r="D1160" s="8">
        <v>2014</v>
      </c>
      <c r="E1160" s="9" t="s">
        <v>664</v>
      </c>
      <c r="F1160" s="10">
        <v>41862</v>
      </c>
      <c r="G1160" s="23"/>
      <c r="H1160" s="11" t="s">
        <v>595</v>
      </c>
      <c r="I1160" s="12">
        <v>-500</v>
      </c>
      <c r="J1160" s="54" t="s">
        <v>21</v>
      </c>
      <c r="K1160" s="54" t="s">
        <v>56</v>
      </c>
      <c r="L1160" s="54" t="s">
        <v>57</v>
      </c>
      <c r="M1160" s="13" t="s">
        <v>386</v>
      </c>
      <c r="N1160" s="14"/>
      <c r="O1160" s="14">
        <f t="shared" si="38"/>
        <v>-500</v>
      </c>
      <c r="P1160" s="15">
        <f t="shared" si="37"/>
        <v>41862</v>
      </c>
      <c r="Q1160" s="56"/>
      <c r="R1160" s="11"/>
      <c r="S1160" s="11"/>
    </row>
    <row r="1161" spans="1:19" x14ac:dyDescent="0.25">
      <c r="A1161" s="23" t="s">
        <v>16</v>
      </c>
      <c r="B1161" s="23" t="s">
        <v>17</v>
      </c>
      <c r="C1161" s="23" t="s">
        <v>18</v>
      </c>
      <c r="D1161" s="8">
        <v>2014</v>
      </c>
      <c r="E1161" s="9" t="s">
        <v>664</v>
      </c>
      <c r="F1161" s="10">
        <v>41862</v>
      </c>
      <c r="G1161" s="8" t="s">
        <v>357</v>
      </c>
      <c r="H1161" s="11" t="s">
        <v>406</v>
      </c>
      <c r="I1161" s="12">
        <v>-120</v>
      </c>
      <c r="J1161" s="13" t="s">
        <v>21</v>
      </c>
      <c r="K1161" s="13" t="s">
        <v>143</v>
      </c>
      <c r="L1161" s="13" t="s">
        <v>173</v>
      </c>
      <c r="M1161" s="13"/>
      <c r="N1161" s="14"/>
      <c r="O1161" s="14">
        <f t="shared" si="38"/>
        <v>-120</v>
      </c>
      <c r="P1161" s="15">
        <f t="shared" si="37"/>
        <v>41862</v>
      </c>
      <c r="Q1161" s="56"/>
      <c r="R1161" s="11"/>
      <c r="S1161" s="11"/>
    </row>
    <row r="1162" spans="1:19" x14ac:dyDescent="0.25">
      <c r="A1162" s="8" t="s">
        <v>16</v>
      </c>
      <c r="B1162" s="8" t="s">
        <v>17</v>
      </c>
      <c r="C1162" s="8" t="s">
        <v>18</v>
      </c>
      <c r="D1162" s="8">
        <v>2014</v>
      </c>
      <c r="E1162" s="9" t="s">
        <v>664</v>
      </c>
      <c r="F1162" s="10">
        <v>41862</v>
      </c>
      <c r="G1162" s="23"/>
      <c r="H1162" s="11" t="s">
        <v>269</v>
      </c>
      <c r="I1162" s="12">
        <v>-550</v>
      </c>
      <c r="J1162" s="54" t="s">
        <v>21</v>
      </c>
      <c r="K1162" s="70" t="s">
        <v>56</v>
      </c>
      <c r="L1162" s="54" t="s">
        <v>57</v>
      </c>
      <c r="M1162" s="13" t="s">
        <v>386</v>
      </c>
      <c r="N1162" s="14"/>
      <c r="O1162" s="14">
        <f t="shared" si="38"/>
        <v>-550</v>
      </c>
      <c r="P1162" s="15">
        <f t="shared" si="37"/>
        <v>41862</v>
      </c>
      <c r="Q1162" s="56"/>
      <c r="R1162" s="11"/>
      <c r="S1162" s="11"/>
    </row>
    <row r="1163" spans="1:19" x14ac:dyDescent="0.25">
      <c r="A1163" s="23" t="s">
        <v>16</v>
      </c>
      <c r="B1163" s="65" t="s">
        <v>17</v>
      </c>
      <c r="C1163" s="36" t="s">
        <v>46</v>
      </c>
      <c r="D1163" s="8">
        <v>2014</v>
      </c>
      <c r="E1163" s="9" t="s">
        <v>664</v>
      </c>
      <c r="F1163" s="10">
        <v>41863</v>
      </c>
      <c r="G1163" s="23"/>
      <c r="H1163" s="17" t="s">
        <v>660</v>
      </c>
      <c r="I1163" s="12">
        <v>-12000</v>
      </c>
      <c r="J1163" s="13" t="s">
        <v>48</v>
      </c>
      <c r="K1163" s="13" t="s">
        <v>326</v>
      </c>
      <c r="L1163" s="13"/>
      <c r="M1163" s="13" t="s">
        <v>226</v>
      </c>
      <c r="N1163" s="14"/>
      <c r="O1163" s="14">
        <f t="shared" si="38"/>
        <v>-12000</v>
      </c>
      <c r="P1163" s="15">
        <f t="shared" si="37"/>
        <v>41863</v>
      </c>
      <c r="Q1163" s="56"/>
      <c r="R1163" s="11"/>
      <c r="S1163" s="11"/>
    </row>
    <row r="1164" spans="1:19" x14ac:dyDescent="0.25">
      <c r="A1164" s="8" t="s">
        <v>16</v>
      </c>
      <c r="B1164" s="8" t="s">
        <v>17</v>
      </c>
      <c r="C1164" s="8" t="s">
        <v>18</v>
      </c>
      <c r="D1164" s="8">
        <v>2014</v>
      </c>
      <c r="E1164" s="9" t="s">
        <v>664</v>
      </c>
      <c r="F1164" s="10">
        <v>41863</v>
      </c>
      <c r="G1164" s="23"/>
      <c r="H1164" s="17" t="s">
        <v>62</v>
      </c>
      <c r="I1164" s="12">
        <f>-55-53-100</f>
        <v>-208</v>
      </c>
      <c r="J1164" s="13" t="s">
        <v>21</v>
      </c>
      <c r="K1164" s="13" t="s">
        <v>63</v>
      </c>
      <c r="L1164" s="13" t="s">
        <v>64</v>
      </c>
      <c r="M1164" s="13"/>
      <c r="N1164" s="14"/>
      <c r="O1164" s="14">
        <f t="shared" si="38"/>
        <v>-208</v>
      </c>
      <c r="P1164" s="15">
        <f t="shared" si="37"/>
        <v>41863</v>
      </c>
      <c r="Q1164" s="56"/>
      <c r="R1164" s="11"/>
      <c r="S1164" s="11"/>
    </row>
    <row r="1165" spans="1:19" x14ac:dyDescent="0.25">
      <c r="A1165" s="23" t="s">
        <v>16</v>
      </c>
      <c r="B1165" s="23" t="s">
        <v>17</v>
      </c>
      <c r="C1165" s="23" t="s">
        <v>18</v>
      </c>
      <c r="D1165" s="8">
        <v>2014</v>
      </c>
      <c r="E1165" s="9" t="s">
        <v>664</v>
      </c>
      <c r="F1165" s="10">
        <v>41863</v>
      </c>
      <c r="G1165" s="23"/>
      <c r="H1165" s="13" t="s">
        <v>233</v>
      </c>
      <c r="I1165" s="12">
        <f>-42-35</f>
        <v>-77</v>
      </c>
      <c r="J1165" s="13" t="s">
        <v>21</v>
      </c>
      <c r="K1165" s="13" t="s">
        <v>22</v>
      </c>
      <c r="L1165" s="13" t="s">
        <v>121</v>
      </c>
      <c r="M1165" s="13"/>
      <c r="N1165" s="31"/>
      <c r="O1165" s="14">
        <f t="shared" si="38"/>
        <v>-77</v>
      </c>
      <c r="P1165" s="15">
        <f t="shared" si="37"/>
        <v>41863</v>
      </c>
      <c r="Q1165" s="56"/>
      <c r="R1165" s="11"/>
      <c r="S1165" s="11"/>
    </row>
    <row r="1166" spans="1:19" x14ac:dyDescent="0.25">
      <c r="A1166" s="8" t="s">
        <v>16</v>
      </c>
      <c r="B1166" s="66" t="s">
        <v>17</v>
      </c>
      <c r="C1166" s="8" t="s">
        <v>18</v>
      </c>
      <c r="D1166" s="8">
        <v>2014</v>
      </c>
      <c r="E1166" s="9" t="s">
        <v>664</v>
      </c>
      <c r="F1166" s="10">
        <v>41863</v>
      </c>
      <c r="G1166" s="23"/>
      <c r="H1166" s="11" t="s">
        <v>595</v>
      </c>
      <c r="I1166" s="12">
        <v>-150</v>
      </c>
      <c r="J1166" s="54" t="s">
        <v>21</v>
      </c>
      <c r="K1166" s="54" t="s">
        <v>56</v>
      </c>
      <c r="L1166" s="54" t="s">
        <v>57</v>
      </c>
      <c r="M1166" s="13" t="s">
        <v>386</v>
      </c>
      <c r="N1166" s="14"/>
      <c r="O1166" s="14">
        <f t="shared" si="38"/>
        <v>-150</v>
      </c>
      <c r="P1166" s="15">
        <f t="shared" si="37"/>
        <v>41863</v>
      </c>
      <c r="Q1166" s="56"/>
      <c r="R1166" s="11"/>
      <c r="S1166" s="11"/>
    </row>
    <row r="1167" spans="1:19" x14ac:dyDescent="0.25">
      <c r="A1167" s="8" t="s">
        <v>16</v>
      </c>
      <c r="B1167" s="8" t="s">
        <v>17</v>
      </c>
      <c r="C1167" s="8" t="s">
        <v>18</v>
      </c>
      <c r="D1167" s="8">
        <v>2014</v>
      </c>
      <c r="E1167" s="9" t="s">
        <v>664</v>
      </c>
      <c r="F1167" s="10">
        <v>41863</v>
      </c>
      <c r="G1167" s="8"/>
      <c r="H1167" s="11" t="s">
        <v>195</v>
      </c>
      <c r="I1167" s="12">
        <v>-1100</v>
      </c>
      <c r="J1167" s="13" t="s">
        <v>21</v>
      </c>
      <c r="K1167" s="13" t="s">
        <v>143</v>
      </c>
      <c r="L1167" s="13" t="s">
        <v>196</v>
      </c>
      <c r="M1167" s="13" t="s">
        <v>197</v>
      </c>
      <c r="N1167" s="14"/>
      <c r="O1167" s="14">
        <f t="shared" si="38"/>
        <v>-1100</v>
      </c>
      <c r="P1167" s="15">
        <f t="shared" si="37"/>
        <v>41863</v>
      </c>
      <c r="Q1167" s="56"/>
      <c r="R1167" s="11"/>
      <c r="S1167" s="11"/>
    </row>
    <row r="1168" spans="1:19" x14ac:dyDescent="0.25">
      <c r="A1168" s="8" t="s">
        <v>16</v>
      </c>
      <c r="B1168" s="8" t="s">
        <v>17</v>
      </c>
      <c r="C1168" s="8" t="s">
        <v>18</v>
      </c>
      <c r="D1168" s="8">
        <v>2014</v>
      </c>
      <c r="E1168" s="9" t="s">
        <v>664</v>
      </c>
      <c r="F1168" s="10">
        <v>41863</v>
      </c>
      <c r="G1168" s="23"/>
      <c r="H1168" s="11" t="s">
        <v>269</v>
      </c>
      <c r="I1168" s="12">
        <v>-800</v>
      </c>
      <c r="J1168" s="54" t="s">
        <v>21</v>
      </c>
      <c r="K1168" s="70" t="s">
        <v>56</v>
      </c>
      <c r="L1168" s="54" t="s">
        <v>57</v>
      </c>
      <c r="M1168" s="13" t="s">
        <v>386</v>
      </c>
      <c r="N1168" s="14"/>
      <c r="O1168" s="14">
        <f t="shared" si="38"/>
        <v>-800</v>
      </c>
      <c r="P1168" s="15">
        <f t="shared" si="37"/>
        <v>41863</v>
      </c>
      <c r="Q1168" s="56"/>
      <c r="R1168" s="11"/>
      <c r="S1168" s="11"/>
    </row>
    <row r="1169" spans="1:19" x14ac:dyDescent="0.25">
      <c r="A1169" s="23" t="s">
        <v>16</v>
      </c>
      <c r="B1169" s="65" t="s">
        <v>17</v>
      </c>
      <c r="C1169" s="23" t="s">
        <v>51</v>
      </c>
      <c r="D1169" s="8">
        <v>2014</v>
      </c>
      <c r="E1169" s="9" t="s">
        <v>664</v>
      </c>
      <c r="F1169" s="10">
        <v>41863</v>
      </c>
      <c r="G1169" s="8">
        <v>11898</v>
      </c>
      <c r="H1169" s="11" t="s">
        <v>689</v>
      </c>
      <c r="I1169" s="12">
        <v>8150</v>
      </c>
      <c r="J1169" s="13" t="s">
        <v>53</v>
      </c>
      <c r="K1169" s="13" t="s">
        <v>54</v>
      </c>
      <c r="L1169" s="13"/>
      <c r="M1169" s="13"/>
      <c r="N1169" s="31"/>
      <c r="O1169" s="14">
        <f t="shared" si="38"/>
        <v>8150</v>
      </c>
      <c r="P1169" s="15">
        <f t="shared" si="37"/>
        <v>41863</v>
      </c>
      <c r="Q1169" s="56"/>
      <c r="R1169" s="11"/>
      <c r="S1169" s="11"/>
    </row>
    <row r="1170" spans="1:19" x14ac:dyDescent="0.25">
      <c r="A1170" s="23" t="s">
        <v>16</v>
      </c>
      <c r="B1170" s="65" t="s">
        <v>17</v>
      </c>
      <c r="C1170" s="23" t="s">
        <v>51</v>
      </c>
      <c r="D1170" s="8">
        <v>2014</v>
      </c>
      <c r="E1170" s="9" t="s">
        <v>664</v>
      </c>
      <c r="F1170" s="10">
        <v>41863</v>
      </c>
      <c r="G1170" s="8">
        <v>11849</v>
      </c>
      <c r="H1170" s="11" t="s">
        <v>624</v>
      </c>
      <c r="I1170" s="12">
        <v>550</v>
      </c>
      <c r="J1170" s="13" t="s">
        <v>53</v>
      </c>
      <c r="K1170" s="13" t="s">
        <v>54</v>
      </c>
      <c r="L1170" s="13"/>
      <c r="M1170" s="13"/>
      <c r="N1170" s="31"/>
      <c r="O1170" s="14">
        <f t="shared" si="38"/>
        <v>550</v>
      </c>
      <c r="P1170" s="15">
        <f t="shared" si="37"/>
        <v>41863</v>
      </c>
      <c r="Q1170" s="56"/>
      <c r="R1170" s="11"/>
      <c r="S1170" s="11"/>
    </row>
    <row r="1171" spans="1:19" x14ac:dyDescent="0.25">
      <c r="A1171" s="23" t="s">
        <v>16</v>
      </c>
      <c r="B1171" s="65" t="s">
        <v>17</v>
      </c>
      <c r="C1171" s="23" t="s">
        <v>51</v>
      </c>
      <c r="D1171" s="8">
        <v>2014</v>
      </c>
      <c r="E1171" s="9" t="s">
        <v>664</v>
      </c>
      <c r="F1171" s="10">
        <v>41863</v>
      </c>
      <c r="G1171" s="8">
        <v>11906</v>
      </c>
      <c r="H1171" s="11" t="s">
        <v>695</v>
      </c>
      <c r="I1171" s="12">
        <v>1230</v>
      </c>
      <c r="J1171" s="13" t="s">
        <v>53</v>
      </c>
      <c r="K1171" s="13" t="s">
        <v>54</v>
      </c>
      <c r="L1171" s="13"/>
      <c r="M1171" s="13"/>
      <c r="N1171" s="31"/>
      <c r="O1171" s="14">
        <f t="shared" si="38"/>
        <v>1230</v>
      </c>
      <c r="P1171" s="15">
        <f t="shared" si="37"/>
        <v>41863</v>
      </c>
      <c r="Q1171" s="56"/>
      <c r="R1171" s="11"/>
      <c r="S1171" s="11"/>
    </row>
    <row r="1172" spans="1:19" x14ac:dyDescent="0.25">
      <c r="A1172" s="23" t="s">
        <v>16</v>
      </c>
      <c r="B1172" s="65" t="s">
        <v>17</v>
      </c>
      <c r="C1172" s="23" t="s">
        <v>51</v>
      </c>
      <c r="D1172" s="8">
        <v>2014</v>
      </c>
      <c r="E1172" s="9" t="s">
        <v>664</v>
      </c>
      <c r="F1172" s="10">
        <v>41863</v>
      </c>
      <c r="G1172" s="8">
        <v>11909</v>
      </c>
      <c r="H1172" s="11" t="s">
        <v>697</v>
      </c>
      <c r="I1172" s="12">
        <v>1000</v>
      </c>
      <c r="J1172" s="13" t="s">
        <v>53</v>
      </c>
      <c r="K1172" s="13" t="s">
        <v>54</v>
      </c>
      <c r="L1172" s="13"/>
      <c r="M1172" s="13"/>
      <c r="N1172" s="31"/>
      <c r="O1172" s="14">
        <f t="shared" si="38"/>
        <v>1000</v>
      </c>
      <c r="P1172" s="15">
        <f t="shared" si="37"/>
        <v>41863</v>
      </c>
      <c r="Q1172" s="56"/>
      <c r="R1172" s="11"/>
      <c r="S1172" s="11"/>
    </row>
    <row r="1173" spans="1:19" x14ac:dyDescent="0.25">
      <c r="A1173" s="23" t="s">
        <v>16</v>
      </c>
      <c r="B1173" s="65" t="s">
        <v>17</v>
      </c>
      <c r="C1173" s="23" t="s">
        <v>51</v>
      </c>
      <c r="D1173" s="8">
        <v>2014</v>
      </c>
      <c r="E1173" s="9" t="s">
        <v>664</v>
      </c>
      <c r="F1173" s="10">
        <v>41863</v>
      </c>
      <c r="G1173" s="8">
        <v>11910</v>
      </c>
      <c r="H1173" s="11" t="s">
        <v>638</v>
      </c>
      <c r="I1173" s="12">
        <v>6570</v>
      </c>
      <c r="J1173" s="13" t="s">
        <v>53</v>
      </c>
      <c r="K1173" s="13" t="s">
        <v>54</v>
      </c>
      <c r="L1173" s="13"/>
      <c r="M1173" s="13"/>
      <c r="N1173" s="31"/>
      <c r="O1173" s="14">
        <f t="shared" si="38"/>
        <v>6570</v>
      </c>
      <c r="P1173" s="15">
        <f t="shared" si="37"/>
        <v>41863</v>
      </c>
      <c r="Q1173" s="56"/>
      <c r="R1173" s="11"/>
      <c r="S1173" s="11"/>
    </row>
    <row r="1174" spans="1:19" x14ac:dyDescent="0.25">
      <c r="A1174" s="8" t="s">
        <v>16</v>
      </c>
      <c r="B1174" s="8" t="s">
        <v>17</v>
      </c>
      <c r="C1174" s="8" t="s">
        <v>18</v>
      </c>
      <c r="D1174" s="8">
        <v>2014</v>
      </c>
      <c r="E1174" s="9" t="s">
        <v>664</v>
      </c>
      <c r="F1174" s="10">
        <v>41864</v>
      </c>
      <c r="G1174" s="23"/>
      <c r="H1174" s="13" t="s">
        <v>642</v>
      </c>
      <c r="I1174" s="12">
        <v>-200</v>
      </c>
      <c r="J1174" s="13" t="s">
        <v>21</v>
      </c>
      <c r="K1174" s="13" t="s">
        <v>22</v>
      </c>
      <c r="L1174" s="13" t="s">
        <v>23</v>
      </c>
      <c r="M1174" s="13"/>
      <c r="N1174" s="31"/>
      <c r="O1174" s="14">
        <f t="shared" si="38"/>
        <v>-200</v>
      </c>
      <c r="P1174" s="15">
        <f t="shared" ref="P1174:P1237" si="39">F1174</f>
        <v>41864</v>
      </c>
      <c r="Q1174" s="56"/>
      <c r="R1174" s="11"/>
      <c r="S1174" s="11"/>
    </row>
    <row r="1175" spans="1:19" x14ac:dyDescent="0.25">
      <c r="A1175" s="23" t="s">
        <v>16</v>
      </c>
      <c r="B1175" s="23" t="s">
        <v>17</v>
      </c>
      <c r="C1175" s="23" t="s">
        <v>18</v>
      </c>
      <c r="D1175" s="8">
        <v>2014</v>
      </c>
      <c r="E1175" s="9" t="s">
        <v>664</v>
      </c>
      <c r="F1175" s="10">
        <v>41864</v>
      </c>
      <c r="G1175" s="23"/>
      <c r="H1175" s="13" t="s">
        <v>122</v>
      </c>
      <c r="I1175" s="12">
        <v>-10000</v>
      </c>
      <c r="J1175" s="13" t="s">
        <v>33</v>
      </c>
      <c r="K1175" s="13" t="s">
        <v>123</v>
      </c>
      <c r="L1175" s="13" t="s">
        <v>124</v>
      </c>
      <c r="M1175" s="25" t="s">
        <v>125</v>
      </c>
      <c r="N1175" s="31"/>
      <c r="O1175" s="14">
        <f t="shared" si="38"/>
        <v>-10000</v>
      </c>
      <c r="P1175" s="15">
        <f t="shared" si="39"/>
        <v>41864</v>
      </c>
      <c r="Q1175" s="56"/>
      <c r="R1175" s="11"/>
      <c r="S1175" s="11"/>
    </row>
    <row r="1176" spans="1:19" x14ac:dyDescent="0.25">
      <c r="A1176" s="8" t="s">
        <v>16</v>
      </c>
      <c r="B1176" s="66" t="s">
        <v>17</v>
      </c>
      <c r="C1176" s="8" t="s">
        <v>18</v>
      </c>
      <c r="D1176" s="8">
        <v>2014</v>
      </c>
      <c r="E1176" s="9" t="s">
        <v>664</v>
      </c>
      <c r="F1176" s="10">
        <v>41864</v>
      </c>
      <c r="G1176" s="23"/>
      <c r="H1176" s="11" t="s">
        <v>595</v>
      </c>
      <c r="I1176" s="12">
        <v>-500</v>
      </c>
      <c r="J1176" s="54" t="s">
        <v>21</v>
      </c>
      <c r="K1176" s="54" t="s">
        <v>56</v>
      </c>
      <c r="L1176" s="54" t="s">
        <v>57</v>
      </c>
      <c r="M1176" s="13" t="s">
        <v>386</v>
      </c>
      <c r="N1176" s="14"/>
      <c r="O1176" s="14">
        <f t="shared" si="38"/>
        <v>-500</v>
      </c>
      <c r="P1176" s="15">
        <f t="shared" si="39"/>
        <v>41864</v>
      </c>
      <c r="Q1176" s="56"/>
      <c r="R1176" s="11"/>
      <c r="S1176" s="11"/>
    </row>
    <row r="1177" spans="1:19" x14ac:dyDescent="0.25">
      <c r="A1177" s="8" t="s">
        <v>16</v>
      </c>
      <c r="B1177" s="8" t="s">
        <v>17</v>
      </c>
      <c r="C1177" s="8" t="s">
        <v>18</v>
      </c>
      <c r="D1177" s="8">
        <v>2014</v>
      </c>
      <c r="E1177" s="9" t="s">
        <v>664</v>
      </c>
      <c r="F1177" s="10">
        <v>41864</v>
      </c>
      <c r="G1177" s="23"/>
      <c r="H1177" s="11" t="s">
        <v>269</v>
      </c>
      <c r="I1177" s="12">
        <v>-300</v>
      </c>
      <c r="J1177" s="54" t="s">
        <v>21</v>
      </c>
      <c r="K1177" s="70" t="s">
        <v>56</v>
      </c>
      <c r="L1177" s="54" t="s">
        <v>57</v>
      </c>
      <c r="M1177" s="13" t="s">
        <v>386</v>
      </c>
      <c r="N1177" s="14"/>
      <c r="O1177" s="14">
        <f t="shared" si="38"/>
        <v>-300</v>
      </c>
      <c r="P1177" s="15">
        <f t="shared" si="39"/>
        <v>41864</v>
      </c>
      <c r="Q1177" s="56"/>
      <c r="R1177" s="11"/>
      <c r="S1177" s="11"/>
    </row>
    <row r="1178" spans="1:19" x14ac:dyDescent="0.25">
      <c r="A1178" s="23" t="s">
        <v>16</v>
      </c>
      <c r="B1178" s="65" t="s">
        <v>17</v>
      </c>
      <c r="C1178" s="23" t="s">
        <v>51</v>
      </c>
      <c r="D1178" s="8">
        <v>2014</v>
      </c>
      <c r="E1178" s="9" t="s">
        <v>664</v>
      </c>
      <c r="F1178" s="10">
        <v>41864</v>
      </c>
      <c r="G1178" s="8">
        <v>11867</v>
      </c>
      <c r="H1178" s="11" t="s">
        <v>652</v>
      </c>
      <c r="I1178" s="12">
        <v>3000</v>
      </c>
      <c r="J1178" s="13" t="s">
        <v>53</v>
      </c>
      <c r="K1178" s="13" t="s">
        <v>54</v>
      </c>
      <c r="L1178" s="13"/>
      <c r="M1178" s="13"/>
      <c r="N1178" s="31"/>
      <c r="O1178" s="14">
        <f t="shared" si="38"/>
        <v>3000</v>
      </c>
      <c r="P1178" s="15">
        <f t="shared" si="39"/>
        <v>41864</v>
      </c>
      <c r="Q1178" s="56"/>
      <c r="R1178" s="11"/>
      <c r="S1178" s="11"/>
    </row>
    <row r="1179" spans="1:19" x14ac:dyDescent="0.25">
      <c r="A1179" s="8" t="s">
        <v>16</v>
      </c>
      <c r="B1179" s="66" t="s">
        <v>17</v>
      </c>
      <c r="C1179" s="8" t="s">
        <v>18</v>
      </c>
      <c r="D1179" s="8">
        <v>2014</v>
      </c>
      <c r="E1179" s="9" t="s">
        <v>664</v>
      </c>
      <c r="F1179" s="10">
        <v>41865</v>
      </c>
      <c r="G1179" s="23"/>
      <c r="H1179" s="11" t="s">
        <v>595</v>
      </c>
      <c r="I1179" s="12">
        <v>-1100</v>
      </c>
      <c r="J1179" s="54" t="s">
        <v>21</v>
      </c>
      <c r="K1179" s="54" t="s">
        <v>56</v>
      </c>
      <c r="L1179" s="54" t="s">
        <v>57</v>
      </c>
      <c r="M1179" s="13" t="s">
        <v>386</v>
      </c>
      <c r="N1179" s="14"/>
      <c r="O1179" s="14">
        <f t="shared" si="38"/>
        <v>-1100</v>
      </c>
      <c r="P1179" s="15">
        <f t="shared" si="39"/>
        <v>41865</v>
      </c>
      <c r="Q1179" s="56"/>
      <c r="R1179" s="11"/>
      <c r="S1179" s="11"/>
    </row>
    <row r="1180" spans="1:19" x14ac:dyDescent="0.25">
      <c r="A1180" s="23" t="s">
        <v>16</v>
      </c>
      <c r="B1180" s="23" t="s">
        <v>17</v>
      </c>
      <c r="C1180" s="23" t="s">
        <v>18</v>
      </c>
      <c r="D1180" s="8">
        <v>2014</v>
      </c>
      <c r="E1180" s="9" t="s">
        <v>664</v>
      </c>
      <c r="F1180" s="10">
        <v>41865</v>
      </c>
      <c r="G1180" s="8" t="s">
        <v>357</v>
      </c>
      <c r="H1180" s="11" t="s">
        <v>406</v>
      </c>
      <c r="I1180" s="12">
        <f>-360-60</f>
        <v>-420</v>
      </c>
      <c r="J1180" s="13" t="s">
        <v>21</v>
      </c>
      <c r="K1180" s="13" t="s">
        <v>143</v>
      </c>
      <c r="L1180" s="13" t="s">
        <v>173</v>
      </c>
      <c r="M1180" s="13"/>
      <c r="N1180" s="14"/>
      <c r="O1180" s="14">
        <f t="shared" si="38"/>
        <v>-420</v>
      </c>
      <c r="P1180" s="15">
        <f t="shared" si="39"/>
        <v>41865</v>
      </c>
      <c r="Q1180" s="56"/>
      <c r="R1180" s="11"/>
      <c r="S1180" s="11"/>
    </row>
    <row r="1181" spans="1:19" x14ac:dyDescent="0.25">
      <c r="A1181" s="8" t="s">
        <v>16</v>
      </c>
      <c r="B1181" s="8" t="s">
        <v>17</v>
      </c>
      <c r="C1181" s="8" t="s">
        <v>18</v>
      </c>
      <c r="D1181" s="8">
        <v>2014</v>
      </c>
      <c r="E1181" s="9" t="s">
        <v>664</v>
      </c>
      <c r="F1181" s="10">
        <v>41865</v>
      </c>
      <c r="G1181" s="8"/>
      <c r="H1181" s="11" t="s">
        <v>530</v>
      </c>
      <c r="I1181" s="12">
        <v>-2500</v>
      </c>
      <c r="J1181" s="13" t="s">
        <v>21</v>
      </c>
      <c r="K1181" s="13" t="s">
        <v>143</v>
      </c>
      <c r="L1181" s="13" t="s">
        <v>193</v>
      </c>
      <c r="M1181" s="13" t="s">
        <v>194</v>
      </c>
      <c r="N1181" s="31"/>
      <c r="O1181" s="14">
        <f t="shared" si="38"/>
        <v>-2500</v>
      </c>
      <c r="P1181" s="15">
        <f t="shared" si="39"/>
        <v>41865</v>
      </c>
      <c r="Q1181" s="56"/>
      <c r="R1181" s="11"/>
      <c r="S1181" s="11"/>
    </row>
    <row r="1182" spans="1:19" x14ac:dyDescent="0.25">
      <c r="A1182" s="8" t="s">
        <v>16</v>
      </c>
      <c r="B1182" s="8" t="s">
        <v>17</v>
      </c>
      <c r="C1182" s="8" t="s">
        <v>18</v>
      </c>
      <c r="D1182" s="8">
        <v>2014</v>
      </c>
      <c r="E1182" s="9" t="s">
        <v>664</v>
      </c>
      <c r="F1182" s="10">
        <v>41865</v>
      </c>
      <c r="G1182" s="8"/>
      <c r="H1182" s="11" t="s">
        <v>698</v>
      </c>
      <c r="I1182" s="12">
        <f>-600-840</f>
        <v>-1440</v>
      </c>
      <c r="J1182" s="13" t="s">
        <v>21</v>
      </c>
      <c r="K1182" s="13" t="s">
        <v>22</v>
      </c>
      <c r="L1182" s="13" t="s">
        <v>121</v>
      </c>
      <c r="M1182" s="13" t="s">
        <v>699</v>
      </c>
      <c r="N1182" s="14"/>
      <c r="O1182" s="14">
        <f t="shared" si="38"/>
        <v>-1440</v>
      </c>
      <c r="P1182" s="15">
        <f t="shared" si="39"/>
        <v>41865</v>
      </c>
      <c r="Q1182" s="56"/>
      <c r="R1182" s="11"/>
      <c r="S1182" s="11"/>
    </row>
    <row r="1183" spans="1:19" x14ac:dyDescent="0.25">
      <c r="A1183" s="23" t="s">
        <v>16</v>
      </c>
      <c r="B1183" s="65" t="s">
        <v>17</v>
      </c>
      <c r="C1183" s="23" t="s">
        <v>18</v>
      </c>
      <c r="D1183" s="8">
        <v>2014</v>
      </c>
      <c r="E1183" s="9" t="s">
        <v>664</v>
      </c>
      <c r="F1183" s="10">
        <v>41865</v>
      </c>
      <c r="G1183" s="8"/>
      <c r="H1183" s="11" t="s">
        <v>399</v>
      </c>
      <c r="I1183" s="12">
        <v>-370</v>
      </c>
      <c r="J1183" s="13" t="s">
        <v>21</v>
      </c>
      <c r="K1183" s="13" t="s">
        <v>56</v>
      </c>
      <c r="L1183" s="13" t="s">
        <v>111</v>
      </c>
      <c r="M1183" s="13" t="s">
        <v>28</v>
      </c>
      <c r="N1183" s="31"/>
      <c r="O1183" s="14">
        <f t="shared" si="38"/>
        <v>-370</v>
      </c>
      <c r="P1183" s="15">
        <f t="shared" si="39"/>
        <v>41865</v>
      </c>
      <c r="Q1183" s="56"/>
      <c r="R1183" s="11"/>
      <c r="S1183" s="11"/>
    </row>
    <row r="1184" spans="1:19" x14ac:dyDescent="0.25">
      <c r="A1184" s="8" t="s">
        <v>16</v>
      </c>
      <c r="B1184" s="8" t="s">
        <v>17</v>
      </c>
      <c r="C1184" s="8" t="s">
        <v>18</v>
      </c>
      <c r="D1184" s="8">
        <v>2014</v>
      </c>
      <c r="E1184" s="9" t="s">
        <v>664</v>
      </c>
      <c r="F1184" s="10">
        <v>41865</v>
      </c>
      <c r="G1184" s="23"/>
      <c r="H1184" s="11" t="s">
        <v>269</v>
      </c>
      <c r="I1184" s="12">
        <v>-600</v>
      </c>
      <c r="J1184" s="54" t="s">
        <v>21</v>
      </c>
      <c r="K1184" s="70" t="s">
        <v>56</v>
      </c>
      <c r="L1184" s="54" t="s">
        <v>57</v>
      </c>
      <c r="M1184" s="13" t="s">
        <v>386</v>
      </c>
      <c r="N1184" s="14"/>
      <c r="O1184" s="14">
        <f t="shared" si="38"/>
        <v>-600</v>
      </c>
      <c r="P1184" s="15">
        <f t="shared" si="39"/>
        <v>41865</v>
      </c>
      <c r="Q1184" s="56"/>
      <c r="R1184" s="11"/>
      <c r="S1184" s="11"/>
    </row>
    <row r="1185" spans="1:19" x14ac:dyDescent="0.25">
      <c r="A1185" s="23" t="s">
        <v>16</v>
      </c>
      <c r="B1185" s="65" t="s">
        <v>17</v>
      </c>
      <c r="C1185" s="23" t="s">
        <v>18</v>
      </c>
      <c r="D1185" s="8">
        <v>2014</v>
      </c>
      <c r="E1185" s="9" t="s">
        <v>664</v>
      </c>
      <c r="F1185" s="30">
        <v>41866</v>
      </c>
      <c r="G1185" s="23"/>
      <c r="H1185" s="13" t="s">
        <v>252</v>
      </c>
      <c r="I1185" s="12">
        <v>-50</v>
      </c>
      <c r="J1185" s="13" t="s">
        <v>21</v>
      </c>
      <c r="K1185" s="13" t="s">
        <v>22</v>
      </c>
      <c r="L1185" s="13" t="s">
        <v>71</v>
      </c>
      <c r="M1185" s="13" t="s">
        <v>206</v>
      </c>
      <c r="N1185" s="31"/>
      <c r="O1185" s="14">
        <f t="shared" si="38"/>
        <v>-50</v>
      </c>
      <c r="P1185" s="15">
        <f t="shared" si="39"/>
        <v>41866</v>
      </c>
      <c r="Q1185" s="56"/>
      <c r="R1185" s="11"/>
      <c r="S1185" s="11"/>
    </row>
    <row r="1186" spans="1:19" x14ac:dyDescent="0.25">
      <c r="A1186" s="8" t="s">
        <v>16</v>
      </c>
      <c r="B1186" s="66" t="s">
        <v>17</v>
      </c>
      <c r="C1186" s="8" t="s">
        <v>18</v>
      </c>
      <c r="D1186" s="8">
        <v>2014</v>
      </c>
      <c r="E1186" s="9" t="s">
        <v>664</v>
      </c>
      <c r="F1186" s="10">
        <v>41866</v>
      </c>
      <c r="G1186" s="8"/>
      <c r="H1186" s="13" t="s">
        <v>80</v>
      </c>
      <c r="I1186" s="12">
        <v>-50</v>
      </c>
      <c r="J1186" s="13" t="s">
        <v>21</v>
      </c>
      <c r="K1186" s="13" t="s">
        <v>22</v>
      </c>
      <c r="L1186" s="13" t="s">
        <v>23</v>
      </c>
      <c r="M1186" s="13" t="s">
        <v>28</v>
      </c>
      <c r="N1186" s="14"/>
      <c r="O1186" s="14">
        <f t="shared" si="38"/>
        <v>-50</v>
      </c>
      <c r="P1186" s="15">
        <f t="shared" si="39"/>
        <v>41866</v>
      </c>
      <c r="Q1186" s="56"/>
      <c r="R1186" s="11"/>
      <c r="S1186" s="11"/>
    </row>
    <row r="1187" spans="1:19" x14ac:dyDescent="0.25">
      <c r="A1187" s="23" t="s">
        <v>16</v>
      </c>
      <c r="B1187" s="65" t="s">
        <v>17</v>
      </c>
      <c r="C1187" s="23" t="s">
        <v>51</v>
      </c>
      <c r="D1187" s="8">
        <v>2014</v>
      </c>
      <c r="E1187" s="9" t="s">
        <v>664</v>
      </c>
      <c r="F1187" s="10">
        <v>41866</v>
      </c>
      <c r="G1187" s="8">
        <v>11854</v>
      </c>
      <c r="H1187" s="11" t="s">
        <v>634</v>
      </c>
      <c r="I1187" s="12">
        <v>3550</v>
      </c>
      <c r="J1187" s="13" t="s">
        <v>53</v>
      </c>
      <c r="K1187" s="13" t="s">
        <v>54</v>
      </c>
      <c r="L1187" s="13"/>
      <c r="M1187" s="13"/>
      <c r="N1187" s="31"/>
      <c r="O1187" s="14">
        <f t="shared" si="38"/>
        <v>3550</v>
      </c>
      <c r="P1187" s="15">
        <f t="shared" si="39"/>
        <v>41866</v>
      </c>
      <c r="Q1187" s="56"/>
      <c r="R1187" s="11"/>
      <c r="S1187" s="11"/>
    </row>
    <row r="1188" spans="1:19" ht="30" x14ac:dyDescent="0.25">
      <c r="A1188" s="8" t="s">
        <v>16</v>
      </c>
      <c r="B1188" s="8" t="s">
        <v>17</v>
      </c>
      <c r="C1188" s="8" t="s">
        <v>18</v>
      </c>
      <c r="D1188" s="72">
        <v>2014</v>
      </c>
      <c r="E1188" s="73" t="s">
        <v>664</v>
      </c>
      <c r="F1188" s="10">
        <v>41866</v>
      </c>
      <c r="G1188" s="74"/>
      <c r="H1188" s="75" t="s">
        <v>700</v>
      </c>
      <c r="I1188" s="76">
        <v>-2280</v>
      </c>
      <c r="J1188" s="77" t="s">
        <v>33</v>
      </c>
      <c r="K1188" s="78" t="s">
        <v>34</v>
      </c>
      <c r="L1188" s="78"/>
      <c r="M1188" s="79"/>
      <c r="N1188" s="79"/>
      <c r="O1188" s="14">
        <f t="shared" si="38"/>
        <v>-2280</v>
      </c>
      <c r="P1188" s="15">
        <f t="shared" si="39"/>
        <v>41866</v>
      </c>
      <c r="Q1188" s="56"/>
      <c r="R1188" s="11"/>
      <c r="S1188" s="11"/>
    </row>
    <row r="1189" spans="1:19" x14ac:dyDescent="0.25">
      <c r="A1189" s="8" t="s">
        <v>16</v>
      </c>
      <c r="B1189" s="8" t="s">
        <v>17</v>
      </c>
      <c r="C1189" s="36" t="s">
        <v>46</v>
      </c>
      <c r="D1189" s="8">
        <v>2014</v>
      </c>
      <c r="E1189" s="73" t="s">
        <v>664</v>
      </c>
      <c r="F1189" s="10">
        <v>41866</v>
      </c>
      <c r="G1189" s="8"/>
      <c r="H1189" s="17" t="s">
        <v>410</v>
      </c>
      <c r="I1189" s="12">
        <v>-3300</v>
      </c>
      <c r="J1189" s="13" t="s">
        <v>48</v>
      </c>
      <c r="K1189" s="48" t="s">
        <v>49</v>
      </c>
      <c r="L1189" s="13" t="s">
        <v>50</v>
      </c>
      <c r="M1189" s="13"/>
      <c r="N1189" s="14"/>
      <c r="O1189" s="14">
        <f t="shared" si="38"/>
        <v>-3300</v>
      </c>
      <c r="P1189" s="15">
        <f t="shared" si="39"/>
        <v>41866</v>
      </c>
      <c r="Q1189" s="56"/>
      <c r="R1189" s="11"/>
      <c r="S1189" s="11"/>
    </row>
    <row r="1190" spans="1:19" x14ac:dyDescent="0.25">
      <c r="A1190" s="23" t="s">
        <v>16</v>
      </c>
      <c r="B1190" s="23" t="s">
        <v>17</v>
      </c>
      <c r="C1190" s="23" t="s">
        <v>18</v>
      </c>
      <c r="D1190" s="8">
        <v>2014</v>
      </c>
      <c r="E1190" s="9" t="s">
        <v>664</v>
      </c>
      <c r="F1190" s="10">
        <v>41866</v>
      </c>
      <c r="G1190" s="23"/>
      <c r="H1190" s="13" t="s">
        <v>617</v>
      </c>
      <c r="I1190" s="12">
        <f>-730-2000</f>
        <v>-2730</v>
      </c>
      <c r="J1190" s="13" t="s">
        <v>38</v>
      </c>
      <c r="K1190" s="13" t="s">
        <v>90</v>
      </c>
      <c r="L1190" s="13" t="s">
        <v>91</v>
      </c>
      <c r="M1190" s="13"/>
      <c r="N1190" s="31"/>
      <c r="O1190" s="14">
        <f t="shared" si="38"/>
        <v>-2730</v>
      </c>
      <c r="P1190" s="15">
        <f t="shared" si="39"/>
        <v>41866</v>
      </c>
      <c r="Q1190" s="56"/>
      <c r="R1190" s="11"/>
      <c r="S1190" s="11"/>
    </row>
    <row r="1191" spans="1:19" x14ac:dyDescent="0.25">
      <c r="A1191" s="23" t="s">
        <v>16</v>
      </c>
      <c r="B1191" s="23" t="s">
        <v>17</v>
      </c>
      <c r="C1191" s="23" t="s">
        <v>18</v>
      </c>
      <c r="D1191" s="8">
        <v>2014</v>
      </c>
      <c r="E1191" s="9" t="s">
        <v>664</v>
      </c>
      <c r="F1191" s="10">
        <v>41866</v>
      </c>
      <c r="G1191" s="8"/>
      <c r="H1191" s="11" t="s">
        <v>378</v>
      </c>
      <c r="I1191" s="12">
        <v>-164</v>
      </c>
      <c r="J1191" s="13" t="s">
        <v>38</v>
      </c>
      <c r="K1191" s="13" t="s">
        <v>155</v>
      </c>
      <c r="L1191" s="13" t="s">
        <v>91</v>
      </c>
      <c r="M1191" s="13"/>
      <c r="N1191" s="31"/>
      <c r="O1191" s="14">
        <f t="shared" si="38"/>
        <v>-164</v>
      </c>
      <c r="P1191" s="15">
        <f t="shared" si="39"/>
        <v>41866</v>
      </c>
      <c r="Q1191" s="56"/>
      <c r="R1191" s="11"/>
      <c r="S1191" s="11"/>
    </row>
    <row r="1192" spans="1:19" x14ac:dyDescent="0.25">
      <c r="A1192" s="23" t="s">
        <v>16</v>
      </c>
      <c r="B1192" s="23" t="s">
        <v>17</v>
      </c>
      <c r="C1192" s="23" t="s">
        <v>18</v>
      </c>
      <c r="D1192" s="8">
        <v>2014</v>
      </c>
      <c r="E1192" s="9" t="s">
        <v>664</v>
      </c>
      <c r="F1192" s="10">
        <v>41866</v>
      </c>
      <c r="G1192" s="8"/>
      <c r="H1192" s="11" t="s">
        <v>350</v>
      </c>
      <c r="I1192" s="12">
        <v>-305</v>
      </c>
      <c r="J1192" s="13" t="s">
        <v>38</v>
      </c>
      <c r="K1192" s="13" t="s">
        <v>155</v>
      </c>
      <c r="L1192" s="13" t="s">
        <v>91</v>
      </c>
      <c r="M1192" s="13"/>
      <c r="N1192" s="31"/>
      <c r="O1192" s="14">
        <f t="shared" si="38"/>
        <v>-305</v>
      </c>
      <c r="P1192" s="15">
        <f t="shared" si="39"/>
        <v>41866</v>
      </c>
      <c r="Q1192" s="56"/>
      <c r="R1192" s="11"/>
      <c r="S1192" s="11"/>
    </row>
    <row r="1193" spans="1:19" x14ac:dyDescent="0.25">
      <c r="A1193" s="23" t="s">
        <v>16</v>
      </c>
      <c r="B1193" s="23" t="s">
        <v>17</v>
      </c>
      <c r="C1193" s="23" t="s">
        <v>18</v>
      </c>
      <c r="D1193" s="8">
        <v>2014</v>
      </c>
      <c r="E1193" s="9" t="s">
        <v>664</v>
      </c>
      <c r="F1193" s="10">
        <v>41866</v>
      </c>
      <c r="G1193" s="8"/>
      <c r="H1193" s="11" t="s">
        <v>419</v>
      </c>
      <c r="I1193" s="12">
        <v>-352</v>
      </c>
      <c r="J1193" s="13" t="s">
        <v>38</v>
      </c>
      <c r="K1193" s="13" t="s">
        <v>155</v>
      </c>
      <c r="L1193" s="13" t="s">
        <v>91</v>
      </c>
      <c r="M1193" s="13"/>
      <c r="N1193" s="31"/>
      <c r="O1193" s="14">
        <f t="shared" si="38"/>
        <v>-352</v>
      </c>
      <c r="P1193" s="15">
        <f t="shared" si="39"/>
        <v>41866</v>
      </c>
      <c r="Q1193" s="56"/>
      <c r="R1193" s="11"/>
      <c r="S1193" s="11"/>
    </row>
    <row r="1194" spans="1:19" x14ac:dyDescent="0.25">
      <c r="A1194" s="23" t="s">
        <v>16</v>
      </c>
      <c r="B1194" s="23" t="s">
        <v>17</v>
      </c>
      <c r="C1194" s="23" t="s">
        <v>18</v>
      </c>
      <c r="D1194" s="8">
        <v>2014</v>
      </c>
      <c r="E1194" s="9" t="s">
        <v>664</v>
      </c>
      <c r="F1194" s="10">
        <v>41866</v>
      </c>
      <c r="G1194" s="8"/>
      <c r="H1194" s="11" t="s">
        <v>420</v>
      </c>
      <c r="I1194" s="12">
        <v>-141</v>
      </c>
      <c r="J1194" s="13" t="s">
        <v>38</v>
      </c>
      <c r="K1194" s="13" t="s">
        <v>155</v>
      </c>
      <c r="L1194" s="13" t="s">
        <v>91</v>
      </c>
      <c r="M1194" s="13"/>
      <c r="N1194" s="31"/>
      <c r="O1194" s="14">
        <f t="shared" si="38"/>
        <v>-141</v>
      </c>
      <c r="P1194" s="15">
        <f t="shared" si="39"/>
        <v>41866</v>
      </c>
      <c r="Q1194" s="56"/>
      <c r="R1194" s="11"/>
      <c r="S1194" s="11"/>
    </row>
    <row r="1195" spans="1:19" x14ac:dyDescent="0.25">
      <c r="A1195" s="23" t="s">
        <v>16</v>
      </c>
      <c r="B1195" s="23" t="s">
        <v>17</v>
      </c>
      <c r="C1195" s="23" t="s">
        <v>18</v>
      </c>
      <c r="D1195" s="8">
        <v>2014</v>
      </c>
      <c r="E1195" s="9" t="s">
        <v>664</v>
      </c>
      <c r="F1195" s="10">
        <v>41866</v>
      </c>
      <c r="G1195" s="8"/>
      <c r="H1195" s="11" t="s">
        <v>593</v>
      </c>
      <c r="I1195" s="12">
        <v>-188</v>
      </c>
      <c r="J1195" s="13" t="s">
        <v>38</v>
      </c>
      <c r="K1195" s="13" t="s">
        <v>155</v>
      </c>
      <c r="L1195" s="13" t="s">
        <v>91</v>
      </c>
      <c r="M1195" s="13"/>
      <c r="N1195" s="31"/>
      <c r="O1195" s="14">
        <f t="shared" si="38"/>
        <v>-188</v>
      </c>
      <c r="P1195" s="15">
        <f t="shared" si="39"/>
        <v>41866</v>
      </c>
      <c r="Q1195" s="56"/>
      <c r="R1195" s="11"/>
      <c r="S1195" s="11"/>
    </row>
    <row r="1196" spans="1:19" x14ac:dyDescent="0.25">
      <c r="A1196" s="8" t="s">
        <v>16</v>
      </c>
      <c r="B1196" s="8" t="s">
        <v>17</v>
      </c>
      <c r="C1196" s="8" t="s">
        <v>51</v>
      </c>
      <c r="D1196" s="8">
        <v>2014</v>
      </c>
      <c r="E1196" s="9" t="s">
        <v>664</v>
      </c>
      <c r="F1196" s="10">
        <v>41866</v>
      </c>
      <c r="G1196" s="8">
        <v>11841</v>
      </c>
      <c r="H1196" s="11" t="s">
        <v>613</v>
      </c>
      <c r="I1196" s="12">
        <v>1000</v>
      </c>
      <c r="J1196" s="13" t="s">
        <v>53</v>
      </c>
      <c r="K1196" s="13" t="s">
        <v>54</v>
      </c>
      <c r="L1196" s="13"/>
      <c r="M1196" s="13"/>
      <c r="N1196" s="14"/>
      <c r="O1196" s="14">
        <f t="shared" si="38"/>
        <v>1000</v>
      </c>
      <c r="P1196" s="15">
        <f t="shared" si="39"/>
        <v>41866</v>
      </c>
      <c r="Q1196" s="56"/>
      <c r="R1196" s="11"/>
      <c r="S1196" s="11"/>
    </row>
    <row r="1197" spans="1:19" x14ac:dyDescent="0.25">
      <c r="A1197" s="23" t="s">
        <v>16</v>
      </c>
      <c r="B1197" s="23" t="s">
        <v>17</v>
      </c>
      <c r="C1197" s="23" t="s">
        <v>18</v>
      </c>
      <c r="D1197" s="8">
        <v>2014</v>
      </c>
      <c r="E1197" s="9" t="s">
        <v>664</v>
      </c>
      <c r="F1197" s="10">
        <v>41866</v>
      </c>
      <c r="G1197" s="8"/>
      <c r="H1197" s="11" t="s">
        <v>340</v>
      </c>
      <c r="I1197" s="12">
        <v>-1240</v>
      </c>
      <c r="J1197" s="13" t="s">
        <v>21</v>
      </c>
      <c r="K1197" s="13" t="s">
        <v>56</v>
      </c>
      <c r="L1197" s="13" t="s">
        <v>57</v>
      </c>
      <c r="M1197" s="13"/>
      <c r="N1197" s="14"/>
      <c r="O1197" s="14">
        <f t="shared" si="38"/>
        <v>-1240</v>
      </c>
      <c r="P1197" s="15">
        <f t="shared" si="39"/>
        <v>41866</v>
      </c>
      <c r="Q1197" s="56"/>
      <c r="R1197" s="11"/>
      <c r="S1197" s="11"/>
    </row>
    <row r="1198" spans="1:19" x14ac:dyDescent="0.25">
      <c r="A1198" s="8" t="s">
        <v>16</v>
      </c>
      <c r="B1198" s="8" t="s">
        <v>17</v>
      </c>
      <c r="C1198" s="8" t="s">
        <v>51</v>
      </c>
      <c r="D1198" s="8">
        <v>2014</v>
      </c>
      <c r="E1198" s="9" t="s">
        <v>664</v>
      </c>
      <c r="F1198" s="10">
        <v>41867</v>
      </c>
      <c r="G1198" s="8">
        <v>11835</v>
      </c>
      <c r="H1198" s="11" t="s">
        <v>701</v>
      </c>
      <c r="I1198" s="12">
        <v>4350</v>
      </c>
      <c r="J1198" s="13" t="s">
        <v>53</v>
      </c>
      <c r="K1198" s="13" t="s">
        <v>54</v>
      </c>
      <c r="L1198" s="13"/>
      <c r="M1198" s="13"/>
      <c r="N1198" s="14"/>
      <c r="O1198" s="14">
        <f t="shared" si="38"/>
        <v>4350</v>
      </c>
      <c r="P1198" s="15">
        <f t="shared" si="39"/>
        <v>41867</v>
      </c>
      <c r="Q1198" s="56"/>
      <c r="R1198" s="11"/>
      <c r="S1198" s="11"/>
    </row>
    <row r="1199" spans="1:19" x14ac:dyDescent="0.25">
      <c r="A1199" s="8" t="s">
        <v>16</v>
      </c>
      <c r="B1199" s="8" t="s">
        <v>17</v>
      </c>
      <c r="C1199" s="8" t="s">
        <v>51</v>
      </c>
      <c r="D1199" s="8">
        <v>2014</v>
      </c>
      <c r="E1199" s="9" t="s">
        <v>664</v>
      </c>
      <c r="F1199" s="10">
        <v>41867</v>
      </c>
      <c r="G1199" s="8">
        <v>11912</v>
      </c>
      <c r="H1199" s="11" t="s">
        <v>702</v>
      </c>
      <c r="I1199" s="12">
        <v>500</v>
      </c>
      <c r="J1199" s="13" t="s">
        <v>53</v>
      </c>
      <c r="K1199" s="13" t="s">
        <v>54</v>
      </c>
      <c r="L1199" s="13"/>
      <c r="M1199" s="13"/>
      <c r="N1199" s="14"/>
      <c r="O1199" s="14">
        <f t="shared" si="38"/>
        <v>500</v>
      </c>
      <c r="P1199" s="15">
        <f t="shared" si="39"/>
        <v>41867</v>
      </c>
      <c r="Q1199" s="56"/>
      <c r="R1199" s="11"/>
      <c r="S1199" s="11"/>
    </row>
    <row r="1200" spans="1:19" x14ac:dyDescent="0.25">
      <c r="A1200" s="8" t="s">
        <v>16</v>
      </c>
      <c r="B1200" s="8" t="s">
        <v>17</v>
      </c>
      <c r="C1200" s="8" t="s">
        <v>51</v>
      </c>
      <c r="D1200" s="8">
        <v>2014</v>
      </c>
      <c r="E1200" s="9" t="s">
        <v>664</v>
      </c>
      <c r="F1200" s="10">
        <v>41867</v>
      </c>
      <c r="G1200" s="8">
        <v>11913</v>
      </c>
      <c r="H1200" s="11" t="s">
        <v>703</v>
      </c>
      <c r="I1200" s="12">
        <v>1000</v>
      </c>
      <c r="J1200" s="13" t="s">
        <v>53</v>
      </c>
      <c r="K1200" s="13" t="s">
        <v>54</v>
      </c>
      <c r="L1200" s="13"/>
      <c r="M1200" s="13"/>
      <c r="N1200" s="14"/>
      <c r="O1200" s="14">
        <f t="shared" si="38"/>
        <v>1000</v>
      </c>
      <c r="P1200" s="15">
        <f t="shared" si="39"/>
        <v>41867</v>
      </c>
      <c r="Q1200" s="56"/>
      <c r="R1200" s="11"/>
      <c r="S1200" s="11"/>
    </row>
    <row r="1201" spans="1:19" x14ac:dyDescent="0.25">
      <c r="A1201" s="8" t="s">
        <v>16</v>
      </c>
      <c r="B1201" s="8" t="s">
        <v>17</v>
      </c>
      <c r="C1201" s="8" t="s">
        <v>51</v>
      </c>
      <c r="D1201" s="8">
        <v>2014</v>
      </c>
      <c r="E1201" s="9" t="s">
        <v>664</v>
      </c>
      <c r="F1201" s="10">
        <v>41867</v>
      </c>
      <c r="G1201" s="8">
        <v>11914</v>
      </c>
      <c r="H1201" s="11" t="s">
        <v>704</v>
      </c>
      <c r="I1201" s="12">
        <v>100</v>
      </c>
      <c r="J1201" s="13" t="s">
        <v>53</v>
      </c>
      <c r="K1201" s="13" t="s">
        <v>54</v>
      </c>
      <c r="L1201" s="13"/>
      <c r="M1201" s="13"/>
      <c r="N1201" s="14"/>
      <c r="O1201" s="14">
        <f t="shared" si="38"/>
        <v>100</v>
      </c>
      <c r="P1201" s="15">
        <f t="shared" si="39"/>
        <v>41867</v>
      </c>
      <c r="Q1201" s="56"/>
      <c r="R1201" s="11"/>
      <c r="S1201" s="11"/>
    </row>
    <row r="1202" spans="1:19" x14ac:dyDescent="0.25">
      <c r="A1202" s="8" t="s">
        <v>16</v>
      </c>
      <c r="B1202" s="8" t="s">
        <v>17</v>
      </c>
      <c r="C1202" s="8" t="s">
        <v>51</v>
      </c>
      <c r="D1202" s="8">
        <v>2014</v>
      </c>
      <c r="E1202" s="9" t="s">
        <v>664</v>
      </c>
      <c r="F1202" s="10">
        <v>41867</v>
      </c>
      <c r="G1202" s="8">
        <v>11916</v>
      </c>
      <c r="H1202" s="11" t="s">
        <v>705</v>
      </c>
      <c r="I1202" s="12">
        <v>4000</v>
      </c>
      <c r="J1202" s="13" t="s">
        <v>53</v>
      </c>
      <c r="K1202" s="13" t="s">
        <v>54</v>
      </c>
      <c r="L1202" s="13"/>
      <c r="M1202" s="13"/>
      <c r="N1202" s="14"/>
      <c r="O1202" s="14">
        <f t="shared" si="38"/>
        <v>4000</v>
      </c>
      <c r="P1202" s="15">
        <f t="shared" si="39"/>
        <v>41867</v>
      </c>
      <c r="Q1202" s="56"/>
      <c r="R1202" s="11"/>
      <c r="S1202" s="11"/>
    </row>
    <row r="1203" spans="1:19" x14ac:dyDescent="0.25">
      <c r="A1203" s="8" t="s">
        <v>16</v>
      </c>
      <c r="B1203" s="8" t="s">
        <v>17</v>
      </c>
      <c r="C1203" s="8" t="s">
        <v>51</v>
      </c>
      <c r="D1203" s="8">
        <v>2014</v>
      </c>
      <c r="E1203" s="9" t="s">
        <v>664</v>
      </c>
      <c r="F1203" s="10">
        <v>41867</v>
      </c>
      <c r="G1203" s="8">
        <v>11806</v>
      </c>
      <c r="H1203" s="11" t="s">
        <v>706</v>
      </c>
      <c r="I1203" s="12">
        <v>12200</v>
      </c>
      <c r="J1203" s="13" t="s">
        <v>53</v>
      </c>
      <c r="K1203" s="13" t="s">
        <v>54</v>
      </c>
      <c r="L1203" s="13"/>
      <c r="M1203" s="13"/>
      <c r="N1203" s="14"/>
      <c r="O1203" s="14">
        <f t="shared" si="38"/>
        <v>12200</v>
      </c>
      <c r="P1203" s="15">
        <f t="shared" si="39"/>
        <v>41867</v>
      </c>
      <c r="Q1203" s="56"/>
      <c r="R1203" s="11"/>
      <c r="S1203" s="11"/>
    </row>
    <row r="1204" spans="1:19" x14ac:dyDescent="0.25">
      <c r="A1204" s="8" t="s">
        <v>16</v>
      </c>
      <c r="B1204" s="66" t="s">
        <v>17</v>
      </c>
      <c r="C1204" s="8" t="s">
        <v>18</v>
      </c>
      <c r="D1204" s="8">
        <v>2014</v>
      </c>
      <c r="E1204" s="9" t="s">
        <v>664</v>
      </c>
      <c r="F1204" s="10">
        <v>41868</v>
      </c>
      <c r="G1204" s="23"/>
      <c r="H1204" s="11" t="s">
        <v>595</v>
      </c>
      <c r="I1204" s="12">
        <v>-500</v>
      </c>
      <c r="J1204" s="54" t="s">
        <v>21</v>
      </c>
      <c r="K1204" s="54" t="s">
        <v>56</v>
      </c>
      <c r="L1204" s="54" t="s">
        <v>57</v>
      </c>
      <c r="M1204" s="13" t="s">
        <v>386</v>
      </c>
      <c r="N1204" s="14"/>
      <c r="O1204" s="14">
        <f t="shared" si="38"/>
        <v>-500</v>
      </c>
      <c r="P1204" s="15">
        <f t="shared" si="39"/>
        <v>41868</v>
      </c>
      <c r="Q1204" s="56"/>
      <c r="R1204" s="11"/>
      <c r="S1204" s="11"/>
    </row>
    <row r="1205" spans="1:19" x14ac:dyDescent="0.25">
      <c r="A1205" s="8" t="s">
        <v>16</v>
      </c>
      <c r="B1205" s="8" t="s">
        <v>17</v>
      </c>
      <c r="C1205" s="8" t="s">
        <v>51</v>
      </c>
      <c r="D1205" s="8">
        <v>2014</v>
      </c>
      <c r="E1205" s="9" t="s">
        <v>664</v>
      </c>
      <c r="F1205" s="10">
        <v>41870</v>
      </c>
      <c r="G1205" s="8">
        <v>11908</v>
      </c>
      <c r="H1205" s="11" t="s">
        <v>696</v>
      </c>
      <c r="I1205" s="12">
        <v>2000</v>
      </c>
      <c r="J1205" s="13" t="s">
        <v>53</v>
      </c>
      <c r="K1205" s="13" t="s">
        <v>54</v>
      </c>
      <c r="L1205" s="13"/>
      <c r="M1205" s="13"/>
      <c r="N1205" s="14"/>
      <c r="O1205" s="14">
        <f t="shared" si="38"/>
        <v>2000</v>
      </c>
      <c r="P1205" s="15">
        <f t="shared" si="39"/>
        <v>41870</v>
      </c>
      <c r="Q1205" s="56"/>
      <c r="R1205" s="11"/>
      <c r="S1205" s="11"/>
    </row>
    <row r="1206" spans="1:19" x14ac:dyDescent="0.25">
      <c r="A1206" s="8" t="s">
        <v>16</v>
      </c>
      <c r="B1206" s="8" t="s">
        <v>17</v>
      </c>
      <c r="C1206" s="8" t="s">
        <v>51</v>
      </c>
      <c r="D1206" s="8">
        <v>2014</v>
      </c>
      <c r="E1206" s="9" t="s">
        <v>664</v>
      </c>
      <c r="F1206" s="10">
        <v>41870</v>
      </c>
      <c r="G1206" s="8">
        <v>11914</v>
      </c>
      <c r="H1206" s="11" t="s">
        <v>707</v>
      </c>
      <c r="I1206" s="12">
        <v>1000</v>
      </c>
      <c r="J1206" s="13" t="s">
        <v>53</v>
      </c>
      <c r="K1206" s="13" t="s">
        <v>54</v>
      </c>
      <c r="L1206" s="13"/>
      <c r="M1206" s="13"/>
      <c r="N1206" s="14"/>
      <c r="O1206" s="14">
        <f t="shared" si="38"/>
        <v>1000</v>
      </c>
      <c r="P1206" s="15">
        <f t="shared" si="39"/>
        <v>41870</v>
      </c>
      <c r="Q1206" s="56"/>
      <c r="R1206" s="11"/>
      <c r="S1206" s="11"/>
    </row>
    <row r="1207" spans="1:19" x14ac:dyDescent="0.25">
      <c r="A1207" s="8" t="s">
        <v>16</v>
      </c>
      <c r="B1207" s="8" t="s">
        <v>17</v>
      </c>
      <c r="C1207" s="8" t="s">
        <v>51</v>
      </c>
      <c r="D1207" s="8">
        <v>2014</v>
      </c>
      <c r="E1207" s="9" t="s">
        <v>664</v>
      </c>
      <c r="F1207" s="10">
        <v>41870</v>
      </c>
      <c r="G1207" s="8">
        <v>11919</v>
      </c>
      <c r="H1207" s="11" t="s">
        <v>708</v>
      </c>
      <c r="I1207" s="12">
        <v>13000</v>
      </c>
      <c r="J1207" s="13" t="s">
        <v>53</v>
      </c>
      <c r="K1207" s="13" t="s">
        <v>54</v>
      </c>
      <c r="L1207" s="13"/>
      <c r="M1207" s="13"/>
      <c r="N1207" s="14"/>
      <c r="O1207" s="14">
        <f t="shared" si="38"/>
        <v>13000</v>
      </c>
      <c r="P1207" s="15">
        <f t="shared" si="39"/>
        <v>41870</v>
      </c>
      <c r="Q1207" s="56"/>
      <c r="R1207" s="11"/>
      <c r="S1207" s="11"/>
    </row>
    <row r="1208" spans="1:19" x14ac:dyDescent="0.25">
      <c r="A1208" s="8" t="s">
        <v>16</v>
      </c>
      <c r="B1208" s="8" t="s">
        <v>17</v>
      </c>
      <c r="C1208" s="8" t="s">
        <v>51</v>
      </c>
      <c r="D1208" s="8">
        <v>2014</v>
      </c>
      <c r="E1208" s="9" t="s">
        <v>664</v>
      </c>
      <c r="F1208" s="10">
        <v>41870</v>
      </c>
      <c r="G1208" s="8">
        <v>11837</v>
      </c>
      <c r="H1208" s="11" t="s">
        <v>608</v>
      </c>
      <c r="I1208" s="12">
        <v>4800</v>
      </c>
      <c r="J1208" s="13" t="s">
        <v>53</v>
      </c>
      <c r="K1208" s="13" t="s">
        <v>54</v>
      </c>
      <c r="L1208" s="13"/>
      <c r="M1208" s="13"/>
      <c r="N1208" s="14"/>
      <c r="O1208" s="14">
        <f t="shared" si="38"/>
        <v>4800</v>
      </c>
      <c r="P1208" s="15">
        <f t="shared" si="39"/>
        <v>41870</v>
      </c>
      <c r="Q1208" s="56"/>
      <c r="R1208" s="11"/>
      <c r="S1208" s="11"/>
    </row>
    <row r="1209" spans="1:19" x14ac:dyDescent="0.25">
      <c r="A1209" s="8" t="s">
        <v>16</v>
      </c>
      <c r="B1209" s="8" t="s">
        <v>17</v>
      </c>
      <c r="C1209" s="8" t="s">
        <v>51</v>
      </c>
      <c r="D1209" s="8">
        <v>2014</v>
      </c>
      <c r="E1209" s="9" t="s">
        <v>664</v>
      </c>
      <c r="F1209" s="10">
        <v>41870</v>
      </c>
      <c r="G1209" s="8">
        <v>11734</v>
      </c>
      <c r="H1209" s="11" t="s">
        <v>391</v>
      </c>
      <c r="I1209" s="12">
        <v>4000</v>
      </c>
      <c r="J1209" s="13" t="s">
        <v>53</v>
      </c>
      <c r="K1209" s="13" t="s">
        <v>54</v>
      </c>
      <c r="L1209" s="13"/>
      <c r="M1209" s="13"/>
      <c r="N1209" s="14"/>
      <c r="O1209" s="14">
        <f t="shared" si="38"/>
        <v>4000</v>
      </c>
      <c r="P1209" s="15">
        <f t="shared" si="39"/>
        <v>41870</v>
      </c>
      <c r="Q1209" s="56"/>
      <c r="R1209" s="11"/>
      <c r="S1209" s="11"/>
    </row>
    <row r="1210" spans="1:19" x14ac:dyDescent="0.25">
      <c r="A1210" s="23" t="s">
        <v>16</v>
      </c>
      <c r="B1210" s="23" t="s">
        <v>17</v>
      </c>
      <c r="C1210" s="23" t="s">
        <v>18</v>
      </c>
      <c r="D1210" s="8">
        <v>2014</v>
      </c>
      <c r="E1210" s="9" t="s">
        <v>664</v>
      </c>
      <c r="F1210" s="10">
        <v>41870</v>
      </c>
      <c r="G1210" s="23"/>
      <c r="H1210" s="13" t="s">
        <v>627</v>
      </c>
      <c r="I1210" s="12">
        <v>-180</v>
      </c>
      <c r="J1210" s="13" t="s">
        <v>21</v>
      </c>
      <c r="K1210" s="13" t="s">
        <v>22</v>
      </c>
      <c r="L1210" s="13" t="s">
        <v>71</v>
      </c>
      <c r="M1210" s="13"/>
      <c r="N1210" s="14"/>
      <c r="O1210" s="14">
        <f t="shared" si="38"/>
        <v>-180</v>
      </c>
      <c r="P1210" s="15">
        <f t="shared" si="39"/>
        <v>41870</v>
      </c>
      <c r="Q1210" s="56"/>
      <c r="R1210" s="11"/>
      <c r="S1210" s="11"/>
    </row>
    <row r="1211" spans="1:19" x14ac:dyDescent="0.25">
      <c r="A1211" s="23" t="s">
        <v>16</v>
      </c>
      <c r="B1211" s="23" t="s">
        <v>17</v>
      </c>
      <c r="C1211" s="23" t="s">
        <v>18</v>
      </c>
      <c r="D1211" s="8">
        <v>2014</v>
      </c>
      <c r="E1211" s="9" t="s">
        <v>664</v>
      </c>
      <c r="F1211" s="10">
        <v>41870</v>
      </c>
      <c r="G1211" s="8"/>
      <c r="H1211" s="11" t="s">
        <v>377</v>
      </c>
      <c r="I1211" s="12">
        <v>-455</v>
      </c>
      <c r="J1211" s="13" t="s">
        <v>21</v>
      </c>
      <c r="K1211" s="13" t="s">
        <v>56</v>
      </c>
      <c r="L1211" s="13" t="s">
        <v>111</v>
      </c>
      <c r="M1211" s="13" t="s">
        <v>28</v>
      </c>
      <c r="N1211" s="14"/>
      <c r="O1211" s="14">
        <f t="shared" si="38"/>
        <v>-455</v>
      </c>
      <c r="P1211" s="15">
        <f t="shared" si="39"/>
        <v>41870</v>
      </c>
      <c r="Q1211" s="56"/>
      <c r="R1211" s="11"/>
      <c r="S1211" s="11"/>
    </row>
    <row r="1212" spans="1:19" x14ac:dyDescent="0.25">
      <c r="A1212" s="23" t="s">
        <v>16</v>
      </c>
      <c r="B1212" s="65" t="s">
        <v>17</v>
      </c>
      <c r="C1212" s="23" t="s">
        <v>18</v>
      </c>
      <c r="D1212" s="8">
        <v>2014</v>
      </c>
      <c r="E1212" s="9" t="s">
        <v>664</v>
      </c>
      <c r="F1212" s="10">
        <v>41870</v>
      </c>
      <c r="G1212" s="8"/>
      <c r="H1212" s="11" t="s">
        <v>399</v>
      </c>
      <c r="I1212" s="12">
        <f>-90-89</f>
        <v>-179</v>
      </c>
      <c r="J1212" s="13" t="s">
        <v>21</v>
      </c>
      <c r="K1212" s="13" t="s">
        <v>56</v>
      </c>
      <c r="L1212" s="13" t="s">
        <v>111</v>
      </c>
      <c r="M1212" s="13" t="s">
        <v>28</v>
      </c>
      <c r="N1212" s="31"/>
      <c r="O1212" s="14">
        <f t="shared" si="38"/>
        <v>-179</v>
      </c>
      <c r="P1212" s="15">
        <f t="shared" si="39"/>
        <v>41870</v>
      </c>
      <c r="Q1212" s="56"/>
      <c r="R1212" s="11"/>
      <c r="S1212" s="11"/>
    </row>
    <row r="1213" spans="1:19" x14ac:dyDescent="0.25">
      <c r="A1213" s="8" t="s">
        <v>16</v>
      </c>
      <c r="B1213" s="8" t="s">
        <v>17</v>
      </c>
      <c r="C1213" s="36" t="s">
        <v>46</v>
      </c>
      <c r="D1213" s="8">
        <v>2014</v>
      </c>
      <c r="E1213" s="9" t="s">
        <v>664</v>
      </c>
      <c r="F1213" s="10">
        <v>41870</v>
      </c>
      <c r="G1213" s="8"/>
      <c r="H1213" s="17" t="s">
        <v>508</v>
      </c>
      <c r="I1213" s="12">
        <v>-10000</v>
      </c>
      <c r="J1213" s="13" t="s">
        <v>48</v>
      </c>
      <c r="K1213" s="13" t="s">
        <v>49</v>
      </c>
      <c r="L1213" s="13" t="s">
        <v>50</v>
      </c>
      <c r="M1213" s="13"/>
      <c r="N1213" s="14"/>
      <c r="O1213" s="14">
        <f t="shared" si="38"/>
        <v>-10000</v>
      </c>
      <c r="P1213" s="15">
        <f t="shared" si="39"/>
        <v>41870</v>
      </c>
      <c r="Q1213" s="56"/>
      <c r="R1213" s="11"/>
      <c r="S1213" s="11"/>
    </row>
    <row r="1214" spans="1:19" x14ac:dyDescent="0.25">
      <c r="A1214" s="23" t="s">
        <v>16</v>
      </c>
      <c r="B1214" s="23" t="s">
        <v>17</v>
      </c>
      <c r="C1214" s="23" t="s">
        <v>18</v>
      </c>
      <c r="D1214" s="8">
        <v>2014</v>
      </c>
      <c r="E1214" s="9" t="s">
        <v>664</v>
      </c>
      <c r="F1214" s="10">
        <v>41870</v>
      </c>
      <c r="G1214" s="8"/>
      <c r="H1214" s="11" t="s">
        <v>340</v>
      </c>
      <c r="I1214" s="12">
        <v>-1354</v>
      </c>
      <c r="J1214" s="13" t="s">
        <v>21</v>
      </c>
      <c r="K1214" s="13" t="s">
        <v>56</v>
      </c>
      <c r="L1214" s="13" t="s">
        <v>57</v>
      </c>
      <c r="M1214" s="13"/>
      <c r="N1214" s="14"/>
      <c r="O1214" s="14">
        <f t="shared" si="38"/>
        <v>-1354</v>
      </c>
      <c r="P1214" s="15">
        <f t="shared" si="39"/>
        <v>41870</v>
      </c>
      <c r="Q1214" s="56"/>
      <c r="R1214" s="11"/>
      <c r="S1214" s="11"/>
    </row>
    <row r="1215" spans="1:19" x14ac:dyDescent="0.25">
      <c r="A1215" s="8" t="s">
        <v>16</v>
      </c>
      <c r="B1215" s="8" t="s">
        <v>17</v>
      </c>
      <c r="C1215" s="8" t="s">
        <v>51</v>
      </c>
      <c r="D1215" s="8">
        <v>2014</v>
      </c>
      <c r="E1215" s="9" t="s">
        <v>664</v>
      </c>
      <c r="F1215" s="10">
        <v>41871</v>
      </c>
      <c r="G1215" s="8">
        <v>11889</v>
      </c>
      <c r="H1215" s="11" t="s">
        <v>709</v>
      </c>
      <c r="I1215" s="12">
        <v>11600</v>
      </c>
      <c r="J1215" s="13" t="s">
        <v>53</v>
      </c>
      <c r="K1215" s="13" t="s">
        <v>54</v>
      </c>
      <c r="L1215" s="13"/>
      <c r="M1215" s="13"/>
      <c r="N1215" s="14"/>
      <c r="O1215" s="14">
        <f t="shared" si="38"/>
        <v>11600</v>
      </c>
      <c r="P1215" s="15">
        <f t="shared" si="39"/>
        <v>41871</v>
      </c>
      <c r="Q1215" s="56"/>
      <c r="R1215" s="11"/>
      <c r="S1215" s="11"/>
    </row>
    <row r="1216" spans="1:19" x14ac:dyDescent="0.25">
      <c r="A1216" s="8" t="s">
        <v>16</v>
      </c>
      <c r="B1216" s="8" t="s">
        <v>17</v>
      </c>
      <c r="C1216" s="8" t="s">
        <v>51</v>
      </c>
      <c r="D1216" s="8">
        <v>2014</v>
      </c>
      <c r="E1216" s="9" t="s">
        <v>664</v>
      </c>
      <c r="F1216" s="10">
        <v>41871</v>
      </c>
      <c r="G1216" s="8">
        <v>11833</v>
      </c>
      <c r="H1216" s="11" t="s">
        <v>609</v>
      </c>
      <c r="I1216" s="12">
        <v>3200</v>
      </c>
      <c r="J1216" s="13" t="s">
        <v>53</v>
      </c>
      <c r="K1216" s="13" t="s">
        <v>54</v>
      </c>
      <c r="L1216" s="13"/>
      <c r="M1216" s="13"/>
      <c r="N1216" s="14"/>
      <c r="O1216" s="14">
        <f t="shared" si="38"/>
        <v>3200</v>
      </c>
      <c r="P1216" s="15">
        <f t="shared" si="39"/>
        <v>41871</v>
      </c>
      <c r="Q1216" s="56"/>
      <c r="R1216" s="11"/>
      <c r="S1216" s="11"/>
    </row>
    <row r="1217" spans="1:19" x14ac:dyDescent="0.25">
      <c r="A1217" s="8" t="s">
        <v>16</v>
      </c>
      <c r="B1217" s="8" t="s">
        <v>17</v>
      </c>
      <c r="C1217" s="8" t="s">
        <v>51</v>
      </c>
      <c r="D1217" s="8">
        <v>2014</v>
      </c>
      <c r="E1217" s="9" t="s">
        <v>664</v>
      </c>
      <c r="F1217" s="10">
        <v>41871</v>
      </c>
      <c r="G1217" s="8">
        <v>11822</v>
      </c>
      <c r="H1217" s="11" t="s">
        <v>710</v>
      </c>
      <c r="I1217" s="12">
        <v>3900</v>
      </c>
      <c r="J1217" s="13" t="s">
        <v>53</v>
      </c>
      <c r="K1217" s="13" t="s">
        <v>54</v>
      </c>
      <c r="L1217" s="13"/>
      <c r="M1217" s="13"/>
      <c r="N1217" s="14"/>
      <c r="O1217" s="14">
        <f t="shared" si="38"/>
        <v>3900</v>
      </c>
      <c r="P1217" s="15">
        <f t="shared" si="39"/>
        <v>41871</v>
      </c>
      <c r="Q1217" s="56"/>
      <c r="R1217" s="11"/>
      <c r="S1217" s="11"/>
    </row>
    <row r="1218" spans="1:19" x14ac:dyDescent="0.25">
      <c r="A1218" s="23" t="s">
        <v>16</v>
      </c>
      <c r="B1218" s="23" t="s">
        <v>17</v>
      </c>
      <c r="C1218" s="23" t="s">
        <v>18</v>
      </c>
      <c r="D1218" s="8">
        <v>2014</v>
      </c>
      <c r="E1218" s="9" t="s">
        <v>664</v>
      </c>
      <c r="F1218" s="10">
        <v>41871</v>
      </c>
      <c r="G1218" s="23"/>
      <c r="H1218" s="13" t="s">
        <v>122</v>
      </c>
      <c r="I1218" s="12">
        <v>-5000</v>
      </c>
      <c r="J1218" s="13" t="s">
        <v>33</v>
      </c>
      <c r="K1218" s="13" t="s">
        <v>123</v>
      </c>
      <c r="L1218" s="13" t="s">
        <v>124</v>
      </c>
      <c r="M1218" s="25" t="s">
        <v>125</v>
      </c>
      <c r="N1218" s="31"/>
      <c r="O1218" s="14">
        <f t="shared" si="38"/>
        <v>-5000</v>
      </c>
      <c r="P1218" s="15">
        <f t="shared" si="39"/>
        <v>41871</v>
      </c>
      <c r="Q1218" s="56"/>
      <c r="R1218" s="11"/>
      <c r="S1218" s="11"/>
    </row>
    <row r="1219" spans="1:19" x14ac:dyDescent="0.25">
      <c r="A1219" s="8" t="s">
        <v>16</v>
      </c>
      <c r="B1219" s="66" t="s">
        <v>17</v>
      </c>
      <c r="C1219" s="8" t="s">
        <v>18</v>
      </c>
      <c r="D1219" s="8">
        <v>2014</v>
      </c>
      <c r="E1219" s="9" t="s">
        <v>664</v>
      </c>
      <c r="F1219" s="10">
        <v>41871</v>
      </c>
      <c r="G1219" s="8"/>
      <c r="H1219" s="13" t="s">
        <v>153</v>
      </c>
      <c r="I1219" s="12">
        <v>-330</v>
      </c>
      <c r="J1219" s="13" t="s">
        <v>33</v>
      </c>
      <c r="K1219" s="13" t="s">
        <v>34</v>
      </c>
      <c r="L1219" s="13" t="s">
        <v>76</v>
      </c>
      <c r="M1219" s="13"/>
      <c r="N1219" s="14"/>
      <c r="O1219" s="14">
        <f t="shared" ref="O1219:O1282" si="40">IF(B1219="$",I1219,I1219/N1219)</f>
        <v>-330</v>
      </c>
      <c r="P1219" s="15">
        <f t="shared" si="39"/>
        <v>41871</v>
      </c>
      <c r="Q1219" s="56"/>
      <c r="R1219" s="11"/>
      <c r="S1219" s="11"/>
    </row>
    <row r="1220" spans="1:19" x14ac:dyDescent="0.25">
      <c r="A1220" s="8" t="s">
        <v>16</v>
      </c>
      <c r="B1220" s="8" t="s">
        <v>17</v>
      </c>
      <c r="C1220" s="8" t="s">
        <v>18</v>
      </c>
      <c r="D1220" s="8">
        <v>2014</v>
      </c>
      <c r="E1220" s="9" t="s">
        <v>664</v>
      </c>
      <c r="F1220" s="10">
        <v>41871</v>
      </c>
      <c r="G1220" s="23"/>
      <c r="H1220" s="11" t="s">
        <v>711</v>
      </c>
      <c r="I1220" s="12">
        <v>-881</v>
      </c>
      <c r="J1220" s="54" t="s">
        <v>21</v>
      </c>
      <c r="K1220" s="70" t="s">
        <v>56</v>
      </c>
      <c r="L1220" s="54" t="s">
        <v>57</v>
      </c>
      <c r="M1220" s="13" t="s">
        <v>386</v>
      </c>
      <c r="N1220" s="14"/>
      <c r="O1220" s="14">
        <f t="shared" si="40"/>
        <v>-881</v>
      </c>
      <c r="P1220" s="15">
        <f t="shared" si="39"/>
        <v>41871</v>
      </c>
      <c r="Q1220" s="56"/>
      <c r="R1220" s="11"/>
      <c r="S1220" s="11"/>
    </row>
    <row r="1221" spans="1:19" x14ac:dyDescent="0.25">
      <c r="A1221" s="8" t="s">
        <v>16</v>
      </c>
      <c r="B1221" s="8" t="s">
        <v>17</v>
      </c>
      <c r="C1221" s="8" t="s">
        <v>18</v>
      </c>
      <c r="D1221" s="8">
        <v>2014</v>
      </c>
      <c r="E1221" s="9" t="s">
        <v>664</v>
      </c>
      <c r="F1221" s="10">
        <v>41871</v>
      </c>
      <c r="G1221" s="8"/>
      <c r="H1221" s="11" t="s">
        <v>174</v>
      </c>
      <c r="I1221" s="12">
        <v>-240.25</v>
      </c>
      <c r="J1221" s="13" t="s">
        <v>21</v>
      </c>
      <c r="K1221" s="13" t="s">
        <v>25</v>
      </c>
      <c r="L1221" s="13" t="s">
        <v>26</v>
      </c>
      <c r="M1221" s="13"/>
      <c r="N1221" s="14"/>
      <c r="O1221" s="14">
        <f t="shared" si="40"/>
        <v>-240.25</v>
      </c>
      <c r="P1221" s="15">
        <f t="shared" si="39"/>
        <v>41871</v>
      </c>
      <c r="Q1221" s="56"/>
      <c r="R1221" s="11"/>
      <c r="S1221" s="11"/>
    </row>
    <row r="1222" spans="1:19" x14ac:dyDescent="0.25">
      <c r="A1222" s="8" t="s">
        <v>16</v>
      </c>
      <c r="B1222" s="8" t="s">
        <v>17</v>
      </c>
      <c r="C1222" s="36" t="s">
        <v>18</v>
      </c>
      <c r="D1222" s="8">
        <v>2014</v>
      </c>
      <c r="E1222" s="9" t="s">
        <v>664</v>
      </c>
      <c r="F1222" s="10">
        <v>41871</v>
      </c>
      <c r="G1222" s="8"/>
      <c r="H1222" s="13" t="s">
        <v>712</v>
      </c>
      <c r="I1222" s="12">
        <v>-1180</v>
      </c>
      <c r="J1222" s="13" t="s">
        <v>21</v>
      </c>
      <c r="K1222" s="13" t="s">
        <v>63</v>
      </c>
      <c r="L1222" s="13" t="s">
        <v>83</v>
      </c>
      <c r="M1222" s="13"/>
      <c r="N1222" s="14"/>
      <c r="O1222" s="14">
        <f t="shared" si="40"/>
        <v>-1180</v>
      </c>
      <c r="P1222" s="15">
        <f t="shared" si="39"/>
        <v>41871</v>
      </c>
      <c r="Q1222" s="56"/>
      <c r="R1222" s="11"/>
      <c r="S1222" s="11"/>
    </row>
    <row r="1223" spans="1:19" x14ac:dyDescent="0.25">
      <c r="A1223" s="23" t="s">
        <v>16</v>
      </c>
      <c r="B1223" s="23" t="s">
        <v>17</v>
      </c>
      <c r="C1223" s="23" t="s">
        <v>18</v>
      </c>
      <c r="D1223" s="8">
        <v>2014</v>
      </c>
      <c r="E1223" s="9" t="s">
        <v>664</v>
      </c>
      <c r="F1223" s="10">
        <v>41871</v>
      </c>
      <c r="G1223" s="23"/>
      <c r="H1223" s="13" t="s">
        <v>233</v>
      </c>
      <c r="I1223" s="12">
        <v>-28</v>
      </c>
      <c r="J1223" s="13" t="s">
        <v>21</v>
      </c>
      <c r="K1223" s="13" t="s">
        <v>22</v>
      </c>
      <c r="L1223" s="13" t="s">
        <v>121</v>
      </c>
      <c r="M1223" s="13"/>
      <c r="N1223" s="31"/>
      <c r="O1223" s="14">
        <f t="shared" si="40"/>
        <v>-28</v>
      </c>
      <c r="P1223" s="15">
        <f t="shared" si="39"/>
        <v>41871</v>
      </c>
      <c r="Q1223" s="56"/>
      <c r="R1223" s="11"/>
      <c r="S1223" s="11"/>
    </row>
    <row r="1224" spans="1:19" x14ac:dyDescent="0.25">
      <c r="A1224" s="8" t="s">
        <v>16</v>
      </c>
      <c r="B1224" s="8" t="s">
        <v>17</v>
      </c>
      <c r="C1224" s="8" t="s">
        <v>18</v>
      </c>
      <c r="D1224" s="8">
        <v>2014</v>
      </c>
      <c r="E1224" s="9" t="s">
        <v>664</v>
      </c>
      <c r="F1224" s="10">
        <v>41871</v>
      </c>
      <c r="G1224" s="23"/>
      <c r="H1224" s="17" t="s">
        <v>62</v>
      </c>
      <c r="I1224" s="12">
        <v>-191</v>
      </c>
      <c r="J1224" s="13" t="s">
        <v>21</v>
      </c>
      <c r="K1224" s="13" t="s">
        <v>63</v>
      </c>
      <c r="L1224" s="13" t="s">
        <v>64</v>
      </c>
      <c r="M1224" s="13"/>
      <c r="N1224" s="14"/>
      <c r="O1224" s="14">
        <f t="shared" si="40"/>
        <v>-191</v>
      </c>
      <c r="P1224" s="15">
        <f t="shared" si="39"/>
        <v>41871</v>
      </c>
      <c r="Q1224" s="56"/>
      <c r="R1224" s="11"/>
      <c r="S1224" s="11"/>
    </row>
    <row r="1225" spans="1:19" x14ac:dyDescent="0.25">
      <c r="A1225" s="8" t="s">
        <v>16</v>
      </c>
      <c r="B1225" s="8" t="s">
        <v>17</v>
      </c>
      <c r="C1225" s="8" t="s">
        <v>18</v>
      </c>
      <c r="D1225" s="8">
        <v>2014</v>
      </c>
      <c r="E1225" s="9" t="s">
        <v>664</v>
      </c>
      <c r="F1225" s="10">
        <v>41871</v>
      </c>
      <c r="G1225" s="23"/>
      <c r="H1225" s="13" t="s">
        <v>641</v>
      </c>
      <c r="I1225" s="12">
        <v>-2600</v>
      </c>
      <c r="J1225" s="13" t="s">
        <v>33</v>
      </c>
      <c r="K1225" s="13" t="s">
        <v>317</v>
      </c>
      <c r="L1225" s="13" t="s">
        <v>318</v>
      </c>
      <c r="M1225" s="13"/>
      <c r="N1225" s="14"/>
      <c r="O1225" s="14">
        <f t="shared" si="40"/>
        <v>-2600</v>
      </c>
      <c r="P1225" s="15">
        <f t="shared" si="39"/>
        <v>41871</v>
      </c>
      <c r="Q1225" s="56"/>
      <c r="R1225" s="11"/>
      <c r="S1225" s="11"/>
    </row>
    <row r="1226" spans="1:19" x14ac:dyDescent="0.25">
      <c r="A1226" s="23" t="s">
        <v>16</v>
      </c>
      <c r="B1226" s="23" t="s">
        <v>17</v>
      </c>
      <c r="C1226" s="23" t="s">
        <v>18</v>
      </c>
      <c r="D1226" s="8">
        <v>2014</v>
      </c>
      <c r="E1226" s="9" t="s">
        <v>664</v>
      </c>
      <c r="F1226" s="10">
        <v>41871</v>
      </c>
      <c r="G1226" s="8"/>
      <c r="H1226" s="11" t="s">
        <v>340</v>
      </c>
      <c r="I1226" s="12">
        <v>-1020</v>
      </c>
      <c r="J1226" s="13" t="s">
        <v>21</v>
      </c>
      <c r="K1226" s="13" t="s">
        <v>56</v>
      </c>
      <c r="L1226" s="13" t="s">
        <v>57</v>
      </c>
      <c r="M1226" s="13"/>
      <c r="N1226" s="14"/>
      <c r="O1226" s="14">
        <f t="shared" si="40"/>
        <v>-1020</v>
      </c>
      <c r="P1226" s="15">
        <f t="shared" si="39"/>
        <v>41871</v>
      </c>
      <c r="Q1226" s="56"/>
      <c r="R1226" s="11"/>
      <c r="S1226" s="11"/>
    </row>
    <row r="1227" spans="1:19" x14ac:dyDescent="0.25">
      <c r="A1227" s="8" t="s">
        <v>16</v>
      </c>
      <c r="B1227" s="66" t="s">
        <v>17</v>
      </c>
      <c r="C1227" s="8" t="s">
        <v>18</v>
      </c>
      <c r="D1227" s="8">
        <v>2014</v>
      </c>
      <c r="E1227" s="9" t="s">
        <v>664</v>
      </c>
      <c r="F1227" s="10">
        <v>41871</v>
      </c>
      <c r="G1227" s="23"/>
      <c r="H1227" s="11" t="s">
        <v>595</v>
      </c>
      <c r="I1227" s="12">
        <v>-700</v>
      </c>
      <c r="J1227" s="54" t="s">
        <v>21</v>
      </c>
      <c r="K1227" s="54" t="s">
        <v>56</v>
      </c>
      <c r="L1227" s="54" t="s">
        <v>57</v>
      </c>
      <c r="M1227" s="13" t="s">
        <v>386</v>
      </c>
      <c r="N1227" s="14"/>
      <c r="O1227" s="14">
        <f t="shared" si="40"/>
        <v>-700</v>
      </c>
      <c r="P1227" s="15">
        <f t="shared" si="39"/>
        <v>41871</v>
      </c>
      <c r="Q1227" s="56"/>
      <c r="R1227" s="11"/>
      <c r="S1227" s="11"/>
    </row>
    <row r="1228" spans="1:19" x14ac:dyDescent="0.25">
      <c r="A1228" s="8" t="s">
        <v>16</v>
      </c>
      <c r="B1228" s="8" t="s">
        <v>17</v>
      </c>
      <c r="C1228" s="8" t="s">
        <v>51</v>
      </c>
      <c r="D1228" s="8">
        <v>2014</v>
      </c>
      <c r="E1228" s="9" t="s">
        <v>664</v>
      </c>
      <c r="F1228" s="10">
        <v>41872</v>
      </c>
      <c r="G1228" s="8">
        <v>11824</v>
      </c>
      <c r="H1228" s="11" t="s">
        <v>713</v>
      </c>
      <c r="I1228" s="12">
        <v>12600</v>
      </c>
      <c r="J1228" s="13" t="s">
        <v>53</v>
      </c>
      <c r="K1228" s="13" t="s">
        <v>54</v>
      </c>
      <c r="L1228" s="13"/>
      <c r="M1228" s="13"/>
      <c r="N1228" s="14"/>
      <c r="O1228" s="14">
        <f t="shared" si="40"/>
        <v>12600</v>
      </c>
      <c r="P1228" s="15">
        <f t="shared" si="39"/>
        <v>41872</v>
      </c>
      <c r="Q1228" s="56"/>
      <c r="R1228" s="11"/>
      <c r="S1228" s="11"/>
    </row>
    <row r="1229" spans="1:19" x14ac:dyDescent="0.25">
      <c r="A1229" s="23" t="s">
        <v>16</v>
      </c>
      <c r="B1229" s="23" t="s">
        <v>17</v>
      </c>
      <c r="C1229" s="23" t="s">
        <v>18</v>
      </c>
      <c r="D1229" s="8">
        <v>2014</v>
      </c>
      <c r="E1229" s="9" t="s">
        <v>664</v>
      </c>
      <c r="F1229" s="10">
        <v>41872</v>
      </c>
      <c r="G1229" s="8" t="s">
        <v>357</v>
      </c>
      <c r="H1229" s="11" t="s">
        <v>406</v>
      </c>
      <c r="I1229" s="12">
        <v>-120</v>
      </c>
      <c r="J1229" s="13" t="s">
        <v>21</v>
      </c>
      <c r="K1229" s="13" t="s">
        <v>143</v>
      </c>
      <c r="L1229" s="13" t="s">
        <v>173</v>
      </c>
      <c r="M1229" s="13"/>
      <c r="N1229" s="14"/>
      <c r="O1229" s="14">
        <f t="shared" si="40"/>
        <v>-120</v>
      </c>
      <c r="P1229" s="15">
        <f t="shared" si="39"/>
        <v>41872</v>
      </c>
      <c r="Q1229" s="56"/>
      <c r="R1229" s="11"/>
      <c r="S1229" s="11"/>
    </row>
    <row r="1230" spans="1:19" x14ac:dyDescent="0.25">
      <c r="A1230" s="23" t="s">
        <v>16</v>
      </c>
      <c r="B1230" s="23" t="s">
        <v>17</v>
      </c>
      <c r="C1230" s="23" t="s">
        <v>18</v>
      </c>
      <c r="D1230" s="8">
        <v>2014</v>
      </c>
      <c r="E1230" s="9" t="s">
        <v>664</v>
      </c>
      <c r="F1230" s="10">
        <v>41872</v>
      </c>
      <c r="G1230" s="8"/>
      <c r="H1230" s="11" t="s">
        <v>340</v>
      </c>
      <c r="I1230" s="12">
        <v>-809</v>
      </c>
      <c r="J1230" s="13" t="s">
        <v>21</v>
      </c>
      <c r="K1230" s="13" t="s">
        <v>56</v>
      </c>
      <c r="L1230" s="13" t="s">
        <v>57</v>
      </c>
      <c r="M1230" s="13"/>
      <c r="N1230" s="14"/>
      <c r="O1230" s="14">
        <f t="shared" si="40"/>
        <v>-809</v>
      </c>
      <c r="P1230" s="15">
        <f t="shared" si="39"/>
        <v>41872</v>
      </c>
      <c r="Q1230" s="56"/>
      <c r="R1230" s="11"/>
      <c r="S1230" s="11"/>
    </row>
    <row r="1231" spans="1:19" x14ac:dyDescent="0.25">
      <c r="A1231" s="8" t="s">
        <v>16</v>
      </c>
      <c r="B1231" s="66" t="s">
        <v>17</v>
      </c>
      <c r="C1231" s="8" t="s">
        <v>18</v>
      </c>
      <c r="D1231" s="8">
        <v>2014</v>
      </c>
      <c r="E1231" s="9" t="s">
        <v>664</v>
      </c>
      <c r="F1231" s="10">
        <v>41872</v>
      </c>
      <c r="G1231" s="23"/>
      <c r="H1231" s="11" t="s">
        <v>595</v>
      </c>
      <c r="I1231" s="12">
        <v>-1100</v>
      </c>
      <c r="J1231" s="54" t="s">
        <v>21</v>
      </c>
      <c r="K1231" s="54" t="s">
        <v>56</v>
      </c>
      <c r="L1231" s="54" t="s">
        <v>57</v>
      </c>
      <c r="M1231" s="13" t="s">
        <v>386</v>
      </c>
      <c r="N1231" s="14"/>
      <c r="O1231" s="14">
        <f t="shared" si="40"/>
        <v>-1100</v>
      </c>
      <c r="P1231" s="15">
        <f t="shared" si="39"/>
        <v>41872</v>
      </c>
      <c r="Q1231" s="56"/>
      <c r="R1231" s="11"/>
      <c r="S1231" s="11"/>
    </row>
    <row r="1232" spans="1:19" x14ac:dyDescent="0.25">
      <c r="A1232" s="8" t="s">
        <v>16</v>
      </c>
      <c r="B1232" s="8" t="s">
        <v>17</v>
      </c>
      <c r="C1232" s="8" t="s">
        <v>18</v>
      </c>
      <c r="D1232" s="8">
        <v>2014</v>
      </c>
      <c r="E1232" s="9" t="s">
        <v>664</v>
      </c>
      <c r="F1232" s="10">
        <v>41872</v>
      </c>
      <c r="G1232" s="23"/>
      <c r="H1232" s="13" t="s">
        <v>643</v>
      </c>
      <c r="I1232" s="12">
        <v>-600</v>
      </c>
      <c r="J1232" s="13" t="s">
        <v>21</v>
      </c>
      <c r="K1232" s="13" t="s">
        <v>22</v>
      </c>
      <c r="L1232" s="13" t="s">
        <v>23</v>
      </c>
      <c r="M1232" s="13"/>
      <c r="N1232" s="31"/>
      <c r="O1232" s="14">
        <f t="shared" si="40"/>
        <v>-600</v>
      </c>
      <c r="P1232" s="15">
        <f t="shared" si="39"/>
        <v>41872</v>
      </c>
      <c r="Q1232" s="56"/>
      <c r="R1232" s="11"/>
      <c r="S1232" s="11"/>
    </row>
    <row r="1233" spans="1:19" x14ac:dyDescent="0.25">
      <c r="A1233" s="8" t="s">
        <v>16</v>
      </c>
      <c r="B1233" s="8" t="s">
        <v>17</v>
      </c>
      <c r="C1233" s="8" t="s">
        <v>51</v>
      </c>
      <c r="D1233" s="8">
        <v>2014</v>
      </c>
      <c r="E1233" s="9" t="s">
        <v>664</v>
      </c>
      <c r="F1233" s="30">
        <v>41873</v>
      </c>
      <c r="G1233" s="8">
        <v>11855</v>
      </c>
      <c r="H1233" s="11" t="s">
        <v>638</v>
      </c>
      <c r="I1233" s="12">
        <v>11118</v>
      </c>
      <c r="J1233" s="13" t="s">
        <v>53</v>
      </c>
      <c r="K1233" s="13" t="s">
        <v>54</v>
      </c>
      <c r="L1233" s="13"/>
      <c r="M1233" s="13"/>
      <c r="N1233" s="14"/>
      <c r="O1233" s="14">
        <f t="shared" si="40"/>
        <v>11118</v>
      </c>
      <c r="P1233" s="15">
        <f t="shared" si="39"/>
        <v>41873</v>
      </c>
      <c r="Q1233" s="56"/>
      <c r="R1233" s="11"/>
      <c r="S1233" s="11"/>
    </row>
    <row r="1234" spans="1:19" x14ac:dyDescent="0.25">
      <c r="A1234" s="8" t="s">
        <v>16</v>
      </c>
      <c r="B1234" s="8" t="s">
        <v>17</v>
      </c>
      <c r="C1234" s="8" t="s">
        <v>51</v>
      </c>
      <c r="D1234" s="8">
        <v>2014</v>
      </c>
      <c r="E1234" s="9" t="s">
        <v>664</v>
      </c>
      <c r="F1234" s="10">
        <v>41873</v>
      </c>
      <c r="G1234" s="8">
        <v>11890</v>
      </c>
      <c r="H1234" s="11" t="s">
        <v>677</v>
      </c>
      <c r="I1234" s="12">
        <v>10000</v>
      </c>
      <c r="J1234" s="13" t="s">
        <v>53</v>
      </c>
      <c r="K1234" s="13" t="s">
        <v>54</v>
      </c>
      <c r="L1234" s="13"/>
      <c r="M1234" s="13"/>
      <c r="N1234" s="14"/>
      <c r="O1234" s="14">
        <f t="shared" si="40"/>
        <v>10000</v>
      </c>
      <c r="P1234" s="15">
        <f t="shared" si="39"/>
        <v>41873</v>
      </c>
      <c r="Q1234" s="56"/>
      <c r="R1234" s="11"/>
      <c r="S1234" s="11"/>
    </row>
    <row r="1235" spans="1:19" x14ac:dyDescent="0.25">
      <c r="A1235" s="8" t="s">
        <v>16</v>
      </c>
      <c r="B1235" s="8" t="s">
        <v>17</v>
      </c>
      <c r="C1235" s="8" t="s">
        <v>51</v>
      </c>
      <c r="D1235" s="8">
        <v>2014</v>
      </c>
      <c r="E1235" s="9" t="s">
        <v>664</v>
      </c>
      <c r="F1235" s="10">
        <v>41873</v>
      </c>
      <c r="G1235" s="8">
        <v>11916</v>
      </c>
      <c r="H1235" s="11" t="s">
        <v>714</v>
      </c>
      <c r="I1235" s="12">
        <v>5000</v>
      </c>
      <c r="J1235" s="13" t="s">
        <v>53</v>
      </c>
      <c r="K1235" s="13" t="s">
        <v>54</v>
      </c>
      <c r="L1235" s="13"/>
      <c r="M1235" s="13"/>
      <c r="N1235" s="14"/>
      <c r="O1235" s="14">
        <f t="shared" si="40"/>
        <v>5000</v>
      </c>
      <c r="P1235" s="15">
        <f t="shared" si="39"/>
        <v>41873</v>
      </c>
      <c r="Q1235" s="56"/>
      <c r="R1235" s="11"/>
      <c r="S1235" s="11"/>
    </row>
    <row r="1236" spans="1:19" x14ac:dyDescent="0.25">
      <c r="A1236" s="8" t="s">
        <v>16</v>
      </c>
      <c r="B1236" s="8" t="s">
        <v>17</v>
      </c>
      <c r="C1236" s="8" t="s">
        <v>51</v>
      </c>
      <c r="D1236" s="8">
        <v>2014</v>
      </c>
      <c r="E1236" s="9" t="s">
        <v>664</v>
      </c>
      <c r="F1236" s="10">
        <v>41873</v>
      </c>
      <c r="G1236" s="8">
        <v>11921</v>
      </c>
      <c r="H1236" s="11" t="s">
        <v>715</v>
      </c>
      <c r="I1236" s="12">
        <v>10000</v>
      </c>
      <c r="J1236" s="13" t="s">
        <v>53</v>
      </c>
      <c r="K1236" s="13" t="s">
        <v>54</v>
      </c>
      <c r="L1236" s="13"/>
      <c r="M1236" s="13"/>
      <c r="N1236" s="14"/>
      <c r="O1236" s="14">
        <f t="shared" si="40"/>
        <v>10000</v>
      </c>
      <c r="P1236" s="15">
        <f t="shared" si="39"/>
        <v>41873</v>
      </c>
      <c r="Q1236" s="56"/>
      <c r="R1236" s="11"/>
      <c r="S1236" s="11"/>
    </row>
    <row r="1237" spans="1:19" x14ac:dyDescent="0.25">
      <c r="A1237" s="23" t="s">
        <v>16</v>
      </c>
      <c r="B1237" s="23" t="s">
        <v>17</v>
      </c>
      <c r="C1237" s="23" t="s">
        <v>18</v>
      </c>
      <c r="D1237" s="8">
        <v>2014</v>
      </c>
      <c r="E1237" s="9" t="s">
        <v>664</v>
      </c>
      <c r="F1237" s="10">
        <v>41873</v>
      </c>
      <c r="G1237" s="23"/>
      <c r="H1237" s="13" t="s">
        <v>122</v>
      </c>
      <c r="I1237" s="12">
        <v>-7000</v>
      </c>
      <c r="J1237" s="13" t="s">
        <v>33</v>
      </c>
      <c r="K1237" s="13" t="s">
        <v>123</v>
      </c>
      <c r="L1237" s="13" t="s">
        <v>124</v>
      </c>
      <c r="M1237" s="25" t="s">
        <v>125</v>
      </c>
      <c r="N1237" s="31"/>
      <c r="O1237" s="14">
        <f t="shared" si="40"/>
        <v>-7000</v>
      </c>
      <c r="P1237" s="15">
        <f t="shared" si="39"/>
        <v>41873</v>
      </c>
      <c r="Q1237" s="56"/>
      <c r="R1237" s="11"/>
      <c r="S1237" s="11"/>
    </row>
    <row r="1238" spans="1:19" x14ac:dyDescent="0.25">
      <c r="A1238" s="23" t="s">
        <v>16</v>
      </c>
      <c r="B1238" s="65" t="s">
        <v>17</v>
      </c>
      <c r="C1238" s="23" t="s">
        <v>18</v>
      </c>
      <c r="D1238" s="8">
        <v>2014</v>
      </c>
      <c r="E1238" s="9" t="s">
        <v>664</v>
      </c>
      <c r="F1238" s="10">
        <v>41873</v>
      </c>
      <c r="G1238" s="23"/>
      <c r="H1238" s="13" t="s">
        <v>252</v>
      </c>
      <c r="I1238" s="12">
        <v>-50</v>
      </c>
      <c r="J1238" s="13" t="s">
        <v>21</v>
      </c>
      <c r="K1238" s="13" t="s">
        <v>22</v>
      </c>
      <c r="L1238" s="13" t="s">
        <v>71</v>
      </c>
      <c r="M1238" s="13" t="s">
        <v>206</v>
      </c>
      <c r="N1238" s="31"/>
      <c r="O1238" s="14">
        <f t="shared" si="40"/>
        <v>-50</v>
      </c>
      <c r="P1238" s="15">
        <f t="shared" ref="P1238:P1301" si="41">F1238</f>
        <v>41873</v>
      </c>
      <c r="Q1238" s="56"/>
      <c r="R1238" s="11"/>
      <c r="S1238" s="11"/>
    </row>
    <row r="1239" spans="1:19" x14ac:dyDescent="0.25">
      <c r="A1239" s="8" t="s">
        <v>16</v>
      </c>
      <c r="B1239" s="66" t="s">
        <v>17</v>
      </c>
      <c r="C1239" s="8" t="s">
        <v>18</v>
      </c>
      <c r="D1239" s="8">
        <v>2014</v>
      </c>
      <c r="E1239" s="9" t="s">
        <v>664</v>
      </c>
      <c r="F1239" s="10">
        <v>41873</v>
      </c>
      <c r="G1239" s="8"/>
      <c r="H1239" s="13" t="s">
        <v>80</v>
      </c>
      <c r="I1239" s="12">
        <v>-50</v>
      </c>
      <c r="J1239" s="13" t="s">
        <v>21</v>
      </c>
      <c r="K1239" s="13" t="s">
        <v>22</v>
      </c>
      <c r="L1239" s="13" t="s">
        <v>23</v>
      </c>
      <c r="M1239" s="13" t="s">
        <v>28</v>
      </c>
      <c r="N1239" s="14"/>
      <c r="O1239" s="14">
        <f t="shared" si="40"/>
        <v>-50</v>
      </c>
      <c r="P1239" s="15">
        <f t="shared" si="41"/>
        <v>41873</v>
      </c>
      <c r="Q1239" s="56"/>
      <c r="R1239" s="11"/>
      <c r="S1239" s="11"/>
    </row>
    <row r="1240" spans="1:19" x14ac:dyDescent="0.25">
      <c r="A1240" s="8" t="s">
        <v>16</v>
      </c>
      <c r="B1240" s="8" t="s">
        <v>17</v>
      </c>
      <c r="C1240" s="8" t="s">
        <v>46</v>
      </c>
      <c r="D1240" s="8">
        <v>2014</v>
      </c>
      <c r="E1240" s="9" t="s">
        <v>664</v>
      </c>
      <c r="F1240" s="10">
        <v>41873</v>
      </c>
      <c r="G1240" s="8"/>
      <c r="H1240" s="17" t="s">
        <v>315</v>
      </c>
      <c r="I1240" s="12">
        <v>-1000</v>
      </c>
      <c r="J1240" s="13" t="s">
        <v>68</v>
      </c>
      <c r="K1240" s="13"/>
      <c r="L1240" s="13"/>
      <c r="M1240" s="13"/>
      <c r="N1240" s="14"/>
      <c r="O1240" s="14">
        <f t="shared" si="40"/>
        <v>-1000</v>
      </c>
      <c r="P1240" s="15">
        <f t="shared" si="41"/>
        <v>41873</v>
      </c>
      <c r="Q1240" s="56"/>
      <c r="R1240" s="11"/>
      <c r="S1240" s="11"/>
    </row>
    <row r="1241" spans="1:19" x14ac:dyDescent="0.25">
      <c r="A1241" s="8" t="s">
        <v>16</v>
      </c>
      <c r="B1241" s="8" t="s">
        <v>17</v>
      </c>
      <c r="C1241" s="8" t="s">
        <v>46</v>
      </c>
      <c r="D1241" s="8">
        <v>2014</v>
      </c>
      <c r="E1241" s="9" t="s">
        <v>664</v>
      </c>
      <c r="F1241" s="10">
        <v>41873</v>
      </c>
      <c r="G1241" s="8"/>
      <c r="H1241" s="17" t="s">
        <v>87</v>
      </c>
      <c r="I1241" s="12">
        <v>-20000</v>
      </c>
      <c r="J1241" s="13" t="s">
        <v>68</v>
      </c>
      <c r="K1241" s="13"/>
      <c r="L1241" s="13"/>
      <c r="M1241" s="13"/>
      <c r="N1241" s="14"/>
      <c r="O1241" s="14">
        <f t="shared" si="40"/>
        <v>-20000</v>
      </c>
      <c r="P1241" s="15">
        <f t="shared" si="41"/>
        <v>41873</v>
      </c>
      <c r="Q1241" s="56"/>
      <c r="R1241" s="11"/>
      <c r="S1241" s="11"/>
    </row>
    <row r="1242" spans="1:19" x14ac:dyDescent="0.25">
      <c r="A1242" s="8" t="s">
        <v>16</v>
      </c>
      <c r="B1242" s="8" t="s">
        <v>17</v>
      </c>
      <c r="C1242" s="8" t="s">
        <v>18</v>
      </c>
      <c r="D1242" s="8">
        <v>2014</v>
      </c>
      <c r="E1242" s="9" t="s">
        <v>664</v>
      </c>
      <c r="F1242" s="10">
        <v>41873</v>
      </c>
      <c r="G1242" s="23"/>
      <c r="H1242" s="17" t="s">
        <v>62</v>
      </c>
      <c r="I1242" s="12">
        <v>-115</v>
      </c>
      <c r="J1242" s="13" t="s">
        <v>21</v>
      </c>
      <c r="K1242" s="13" t="s">
        <v>63</v>
      </c>
      <c r="L1242" s="13" t="s">
        <v>64</v>
      </c>
      <c r="M1242" s="13"/>
      <c r="N1242" s="14"/>
      <c r="O1242" s="14">
        <f t="shared" si="40"/>
        <v>-115</v>
      </c>
      <c r="P1242" s="15">
        <f t="shared" si="41"/>
        <v>41873</v>
      </c>
      <c r="Q1242" s="56"/>
      <c r="R1242" s="11"/>
      <c r="S1242" s="11"/>
    </row>
    <row r="1243" spans="1:19" x14ac:dyDescent="0.25">
      <c r="A1243" s="8" t="s">
        <v>16</v>
      </c>
      <c r="B1243" s="8" t="s">
        <v>17</v>
      </c>
      <c r="C1243" s="8" t="s">
        <v>18</v>
      </c>
      <c r="D1243" s="8">
        <v>2014</v>
      </c>
      <c r="E1243" s="9" t="s">
        <v>664</v>
      </c>
      <c r="F1243" s="10">
        <v>41873</v>
      </c>
      <c r="G1243" s="23"/>
      <c r="H1243" s="13" t="s">
        <v>716</v>
      </c>
      <c r="I1243" s="12">
        <f>-15-15-6-6-50-32-25</f>
        <v>-149</v>
      </c>
      <c r="J1243" s="13" t="s">
        <v>21</v>
      </c>
      <c r="K1243" s="13" t="s">
        <v>56</v>
      </c>
      <c r="L1243" s="13" t="s">
        <v>254</v>
      </c>
      <c r="M1243" s="26"/>
      <c r="N1243" s="31"/>
      <c r="O1243" s="14">
        <f t="shared" si="40"/>
        <v>-149</v>
      </c>
      <c r="P1243" s="15">
        <f t="shared" si="41"/>
        <v>41873</v>
      </c>
      <c r="Q1243" s="56"/>
      <c r="R1243" s="11"/>
      <c r="S1243" s="11"/>
    </row>
    <row r="1244" spans="1:19" x14ac:dyDescent="0.25">
      <c r="A1244" s="23" t="s">
        <v>16</v>
      </c>
      <c r="B1244" s="23" t="s">
        <v>17</v>
      </c>
      <c r="C1244" s="23" t="s">
        <v>18</v>
      </c>
      <c r="D1244" s="8">
        <v>2014</v>
      </c>
      <c r="E1244" s="9" t="s">
        <v>664</v>
      </c>
      <c r="F1244" s="10">
        <v>41873</v>
      </c>
      <c r="G1244" s="8"/>
      <c r="H1244" s="11" t="s">
        <v>378</v>
      </c>
      <c r="I1244" s="12">
        <v>-300</v>
      </c>
      <c r="J1244" s="13" t="s">
        <v>38</v>
      </c>
      <c r="K1244" s="13" t="s">
        <v>155</v>
      </c>
      <c r="L1244" s="13" t="s">
        <v>91</v>
      </c>
      <c r="M1244" s="13"/>
      <c r="N1244" s="31"/>
      <c r="O1244" s="14">
        <f t="shared" si="40"/>
        <v>-300</v>
      </c>
      <c r="P1244" s="15">
        <f t="shared" si="41"/>
        <v>41873</v>
      </c>
      <c r="Q1244" s="56"/>
      <c r="R1244" s="11"/>
      <c r="S1244" s="11"/>
    </row>
    <row r="1245" spans="1:19" x14ac:dyDescent="0.25">
      <c r="A1245" s="23" t="s">
        <v>16</v>
      </c>
      <c r="B1245" s="23" t="s">
        <v>17</v>
      </c>
      <c r="C1245" s="23" t="s">
        <v>18</v>
      </c>
      <c r="D1245" s="8">
        <v>2014</v>
      </c>
      <c r="E1245" s="9" t="s">
        <v>664</v>
      </c>
      <c r="F1245" s="10">
        <v>41873</v>
      </c>
      <c r="G1245" s="8"/>
      <c r="H1245" s="11" t="s">
        <v>350</v>
      </c>
      <c r="I1245" s="12">
        <v>-560</v>
      </c>
      <c r="J1245" s="13" t="s">
        <v>38</v>
      </c>
      <c r="K1245" s="13" t="s">
        <v>155</v>
      </c>
      <c r="L1245" s="13" t="s">
        <v>91</v>
      </c>
      <c r="M1245" s="13"/>
      <c r="N1245" s="31"/>
      <c r="O1245" s="14">
        <f t="shared" si="40"/>
        <v>-560</v>
      </c>
      <c r="P1245" s="15">
        <f t="shared" si="41"/>
        <v>41873</v>
      </c>
      <c r="Q1245" s="56"/>
      <c r="R1245" s="11"/>
      <c r="S1245" s="11"/>
    </row>
    <row r="1246" spans="1:19" x14ac:dyDescent="0.25">
      <c r="A1246" s="23" t="s">
        <v>16</v>
      </c>
      <c r="B1246" s="23" t="s">
        <v>17</v>
      </c>
      <c r="C1246" s="23" t="s">
        <v>18</v>
      </c>
      <c r="D1246" s="8">
        <v>2014</v>
      </c>
      <c r="E1246" s="9" t="s">
        <v>664</v>
      </c>
      <c r="F1246" s="10">
        <v>41873</v>
      </c>
      <c r="G1246" s="8"/>
      <c r="H1246" s="11" t="s">
        <v>419</v>
      </c>
      <c r="I1246" s="12">
        <v>-869</v>
      </c>
      <c r="J1246" s="13" t="s">
        <v>38</v>
      </c>
      <c r="K1246" s="13" t="s">
        <v>155</v>
      </c>
      <c r="L1246" s="13" t="s">
        <v>91</v>
      </c>
      <c r="M1246" s="13"/>
      <c r="N1246" s="31"/>
      <c r="O1246" s="14">
        <f t="shared" si="40"/>
        <v>-869</v>
      </c>
      <c r="P1246" s="15">
        <f t="shared" si="41"/>
        <v>41873</v>
      </c>
      <c r="Q1246" s="56"/>
      <c r="R1246" s="11"/>
      <c r="S1246" s="11"/>
    </row>
    <row r="1247" spans="1:19" x14ac:dyDescent="0.25">
      <c r="A1247" s="23" t="s">
        <v>16</v>
      </c>
      <c r="B1247" s="23" t="s">
        <v>17</v>
      </c>
      <c r="C1247" s="23" t="s">
        <v>18</v>
      </c>
      <c r="D1247" s="8">
        <v>2014</v>
      </c>
      <c r="E1247" s="9" t="s">
        <v>664</v>
      </c>
      <c r="F1247" s="10">
        <v>41873</v>
      </c>
      <c r="G1247" s="8"/>
      <c r="H1247" s="11" t="s">
        <v>420</v>
      </c>
      <c r="I1247" s="12">
        <v>-500</v>
      </c>
      <c r="J1247" s="13" t="s">
        <v>38</v>
      </c>
      <c r="K1247" s="13" t="s">
        <v>155</v>
      </c>
      <c r="L1247" s="13" t="s">
        <v>91</v>
      </c>
      <c r="M1247" s="13"/>
      <c r="N1247" s="31"/>
      <c r="O1247" s="14">
        <f t="shared" si="40"/>
        <v>-500</v>
      </c>
      <c r="P1247" s="15">
        <f t="shared" si="41"/>
        <v>41873</v>
      </c>
      <c r="Q1247" s="56"/>
      <c r="R1247" s="11"/>
      <c r="S1247" s="11"/>
    </row>
    <row r="1248" spans="1:19" x14ac:dyDescent="0.25">
      <c r="A1248" s="23" t="s">
        <v>16</v>
      </c>
      <c r="B1248" s="23" t="s">
        <v>17</v>
      </c>
      <c r="C1248" s="23" t="s">
        <v>18</v>
      </c>
      <c r="D1248" s="8">
        <v>2014</v>
      </c>
      <c r="E1248" s="9" t="s">
        <v>664</v>
      </c>
      <c r="F1248" s="10">
        <v>41873</v>
      </c>
      <c r="G1248" s="8"/>
      <c r="H1248" s="11" t="s">
        <v>345</v>
      </c>
      <c r="I1248" s="12">
        <v>-98</v>
      </c>
      <c r="J1248" s="13" t="s">
        <v>38</v>
      </c>
      <c r="K1248" s="13" t="s">
        <v>155</v>
      </c>
      <c r="L1248" s="13" t="s">
        <v>91</v>
      </c>
      <c r="M1248" s="13"/>
      <c r="N1248" s="31"/>
      <c r="O1248" s="14">
        <f t="shared" si="40"/>
        <v>-98</v>
      </c>
      <c r="P1248" s="15">
        <f t="shared" si="41"/>
        <v>41873</v>
      </c>
      <c r="Q1248" s="56"/>
      <c r="R1248" s="11"/>
      <c r="S1248" s="11"/>
    </row>
    <row r="1249" spans="1:19" x14ac:dyDescent="0.25">
      <c r="A1249" s="23" t="s">
        <v>16</v>
      </c>
      <c r="B1249" s="23" t="s">
        <v>17</v>
      </c>
      <c r="C1249" s="23" t="s">
        <v>18</v>
      </c>
      <c r="D1249" s="8">
        <v>2014</v>
      </c>
      <c r="E1249" s="9" t="s">
        <v>664</v>
      </c>
      <c r="F1249" s="10">
        <v>41873</v>
      </c>
      <c r="G1249" s="8"/>
      <c r="H1249" s="11" t="s">
        <v>511</v>
      </c>
      <c r="I1249" s="12">
        <v>-98</v>
      </c>
      <c r="J1249" s="13" t="s">
        <v>38</v>
      </c>
      <c r="K1249" s="13" t="s">
        <v>155</v>
      </c>
      <c r="L1249" s="13" t="s">
        <v>91</v>
      </c>
      <c r="M1249" s="13"/>
      <c r="N1249" s="31"/>
      <c r="O1249" s="14">
        <f t="shared" si="40"/>
        <v>-98</v>
      </c>
      <c r="P1249" s="15">
        <f t="shared" si="41"/>
        <v>41873</v>
      </c>
      <c r="Q1249" s="56"/>
      <c r="R1249" s="11"/>
      <c r="S1249" s="11"/>
    </row>
    <row r="1250" spans="1:19" x14ac:dyDescent="0.25">
      <c r="A1250" s="23" t="s">
        <v>16</v>
      </c>
      <c r="B1250" s="23" t="s">
        <v>17</v>
      </c>
      <c r="C1250" s="23" t="s">
        <v>18</v>
      </c>
      <c r="D1250" s="8">
        <v>2014</v>
      </c>
      <c r="E1250" s="9" t="s">
        <v>664</v>
      </c>
      <c r="F1250" s="10">
        <v>41873</v>
      </c>
      <c r="G1250" s="23"/>
      <c r="H1250" s="13" t="s">
        <v>717</v>
      </c>
      <c r="I1250" s="12">
        <v>-300</v>
      </c>
      <c r="J1250" s="13" t="s">
        <v>38</v>
      </c>
      <c r="K1250" s="13" t="s">
        <v>90</v>
      </c>
      <c r="L1250" s="13" t="s">
        <v>91</v>
      </c>
      <c r="M1250" s="13"/>
      <c r="N1250" s="31"/>
      <c r="O1250" s="14">
        <f t="shared" si="40"/>
        <v>-300</v>
      </c>
      <c r="P1250" s="15">
        <f t="shared" si="41"/>
        <v>41873</v>
      </c>
      <c r="Q1250" s="56"/>
      <c r="R1250" s="11"/>
      <c r="S1250" s="11"/>
    </row>
    <row r="1251" spans="1:19" x14ac:dyDescent="0.25">
      <c r="A1251" s="23" t="s">
        <v>16</v>
      </c>
      <c r="B1251" s="23" t="s">
        <v>17</v>
      </c>
      <c r="C1251" s="23" t="s">
        <v>18</v>
      </c>
      <c r="D1251" s="8">
        <v>2014</v>
      </c>
      <c r="E1251" s="9" t="s">
        <v>664</v>
      </c>
      <c r="F1251" s="10">
        <v>41873</v>
      </c>
      <c r="G1251" s="23"/>
      <c r="H1251" s="13" t="s">
        <v>175</v>
      </c>
      <c r="I1251" s="12">
        <v>-600</v>
      </c>
      <c r="J1251" s="13" t="s">
        <v>38</v>
      </c>
      <c r="K1251" s="13" t="s">
        <v>90</v>
      </c>
      <c r="L1251" s="13" t="s">
        <v>91</v>
      </c>
      <c r="M1251" s="13"/>
      <c r="N1251" s="31"/>
      <c r="O1251" s="14">
        <f t="shared" si="40"/>
        <v>-600</v>
      </c>
      <c r="P1251" s="15">
        <f t="shared" si="41"/>
        <v>41873</v>
      </c>
      <c r="Q1251" s="56"/>
      <c r="R1251" s="11"/>
      <c r="S1251" s="11"/>
    </row>
    <row r="1252" spans="1:19" x14ac:dyDescent="0.25">
      <c r="A1252" s="23" t="s">
        <v>16</v>
      </c>
      <c r="B1252" s="23" t="s">
        <v>17</v>
      </c>
      <c r="C1252" s="23" t="s">
        <v>18</v>
      </c>
      <c r="D1252" s="8">
        <v>2014</v>
      </c>
      <c r="E1252" s="9" t="s">
        <v>664</v>
      </c>
      <c r="F1252" s="10">
        <v>41873</v>
      </c>
      <c r="G1252" s="23"/>
      <c r="H1252" s="13" t="s">
        <v>718</v>
      </c>
      <c r="I1252" s="12">
        <v>-500</v>
      </c>
      <c r="J1252" s="13" t="s">
        <v>38</v>
      </c>
      <c r="K1252" s="13" t="s">
        <v>90</v>
      </c>
      <c r="L1252" s="13" t="s">
        <v>91</v>
      </c>
      <c r="M1252" s="13"/>
      <c r="N1252" s="31"/>
      <c r="O1252" s="14">
        <f t="shared" si="40"/>
        <v>-500</v>
      </c>
      <c r="P1252" s="15">
        <f t="shared" si="41"/>
        <v>41873</v>
      </c>
      <c r="Q1252" s="56"/>
      <c r="R1252" s="11"/>
      <c r="S1252" s="11"/>
    </row>
    <row r="1253" spans="1:19" x14ac:dyDescent="0.25">
      <c r="A1253" s="23" t="s">
        <v>16</v>
      </c>
      <c r="B1253" s="23" t="s">
        <v>17</v>
      </c>
      <c r="C1253" s="23" t="s">
        <v>18</v>
      </c>
      <c r="D1253" s="8">
        <v>2014</v>
      </c>
      <c r="E1253" s="9" t="s">
        <v>664</v>
      </c>
      <c r="F1253" s="10">
        <v>41873</v>
      </c>
      <c r="G1253" s="23"/>
      <c r="H1253" s="13" t="s">
        <v>617</v>
      </c>
      <c r="I1253" s="12">
        <f>-623-441</f>
        <v>-1064</v>
      </c>
      <c r="J1253" s="13" t="s">
        <v>38</v>
      </c>
      <c r="K1253" s="13" t="s">
        <v>90</v>
      </c>
      <c r="L1253" s="13" t="s">
        <v>91</v>
      </c>
      <c r="M1253" s="13"/>
      <c r="N1253" s="31"/>
      <c r="O1253" s="14">
        <f t="shared" si="40"/>
        <v>-1064</v>
      </c>
      <c r="P1253" s="15">
        <f t="shared" si="41"/>
        <v>41873</v>
      </c>
      <c r="Q1253" s="56"/>
      <c r="R1253" s="11"/>
      <c r="S1253" s="11"/>
    </row>
    <row r="1254" spans="1:19" x14ac:dyDescent="0.25">
      <c r="A1254" s="23" t="s">
        <v>16</v>
      </c>
      <c r="B1254" s="23" t="s">
        <v>17</v>
      </c>
      <c r="C1254" s="23" t="s">
        <v>18</v>
      </c>
      <c r="D1254" s="8">
        <v>2014</v>
      </c>
      <c r="E1254" s="9" t="s">
        <v>664</v>
      </c>
      <c r="F1254" s="10">
        <v>41873</v>
      </c>
      <c r="G1254" s="23"/>
      <c r="H1254" s="13" t="s">
        <v>719</v>
      </c>
      <c r="I1254" s="12">
        <v>-100</v>
      </c>
      <c r="J1254" s="13" t="s">
        <v>38</v>
      </c>
      <c r="K1254" s="13" t="s">
        <v>90</v>
      </c>
      <c r="L1254" s="13" t="s">
        <v>91</v>
      </c>
      <c r="M1254" s="13"/>
      <c r="N1254" s="31"/>
      <c r="O1254" s="14">
        <f t="shared" si="40"/>
        <v>-100</v>
      </c>
      <c r="P1254" s="15">
        <f t="shared" si="41"/>
        <v>41873</v>
      </c>
      <c r="Q1254" s="56"/>
      <c r="R1254" s="11"/>
      <c r="S1254" s="11"/>
    </row>
    <row r="1255" spans="1:19" x14ac:dyDescent="0.25">
      <c r="A1255" s="23" t="s">
        <v>16</v>
      </c>
      <c r="B1255" s="65" t="s">
        <v>17</v>
      </c>
      <c r="C1255" s="23" t="s">
        <v>18</v>
      </c>
      <c r="D1255" s="8">
        <v>2014</v>
      </c>
      <c r="E1255" s="9" t="s">
        <v>664</v>
      </c>
      <c r="F1255" s="10">
        <v>41873</v>
      </c>
      <c r="G1255" s="8"/>
      <c r="H1255" s="11" t="s">
        <v>399</v>
      </c>
      <c r="I1255" s="12">
        <f>-39-65-20-90</f>
        <v>-214</v>
      </c>
      <c r="J1255" s="13" t="s">
        <v>21</v>
      </c>
      <c r="K1255" s="13" t="s">
        <v>56</v>
      </c>
      <c r="L1255" s="13" t="s">
        <v>111</v>
      </c>
      <c r="M1255" s="13" t="s">
        <v>28</v>
      </c>
      <c r="N1255" s="31"/>
      <c r="O1255" s="14">
        <f t="shared" si="40"/>
        <v>-214</v>
      </c>
      <c r="P1255" s="15">
        <f t="shared" si="41"/>
        <v>41873</v>
      </c>
      <c r="Q1255" s="56"/>
      <c r="R1255" s="11"/>
      <c r="S1255" s="11"/>
    </row>
    <row r="1256" spans="1:19" x14ac:dyDescent="0.25">
      <c r="A1256" s="23" t="s">
        <v>16</v>
      </c>
      <c r="B1256" s="23" t="s">
        <v>17</v>
      </c>
      <c r="C1256" s="23" t="s">
        <v>18</v>
      </c>
      <c r="D1256" s="8">
        <v>2014</v>
      </c>
      <c r="E1256" s="9" t="s">
        <v>664</v>
      </c>
      <c r="F1256" s="10">
        <v>41873</v>
      </c>
      <c r="G1256" s="8"/>
      <c r="H1256" s="11" t="s">
        <v>340</v>
      </c>
      <c r="I1256" s="12">
        <v>-1338</v>
      </c>
      <c r="J1256" s="13" t="s">
        <v>21</v>
      </c>
      <c r="K1256" s="13" t="s">
        <v>56</v>
      </c>
      <c r="L1256" s="13" t="s">
        <v>57</v>
      </c>
      <c r="M1256" s="13"/>
      <c r="N1256" s="14"/>
      <c r="O1256" s="14">
        <f t="shared" si="40"/>
        <v>-1338</v>
      </c>
      <c r="P1256" s="15">
        <f t="shared" si="41"/>
        <v>41873</v>
      </c>
      <c r="Q1256" s="56"/>
      <c r="R1256" s="11"/>
      <c r="S1256" s="11"/>
    </row>
    <row r="1257" spans="1:19" x14ac:dyDescent="0.25">
      <c r="A1257" s="23" t="s">
        <v>16</v>
      </c>
      <c r="B1257" s="23" t="s">
        <v>17</v>
      </c>
      <c r="C1257" s="23" t="s">
        <v>18</v>
      </c>
      <c r="D1257" s="8">
        <v>2014</v>
      </c>
      <c r="E1257" s="9" t="s">
        <v>664</v>
      </c>
      <c r="F1257" s="10">
        <v>41873</v>
      </c>
      <c r="G1257" s="23"/>
      <c r="H1257" s="13" t="s">
        <v>492</v>
      </c>
      <c r="I1257" s="12">
        <v>-111</v>
      </c>
      <c r="J1257" s="13" t="s">
        <v>21</v>
      </c>
      <c r="K1257" s="13" t="s">
        <v>22</v>
      </c>
      <c r="L1257" s="13" t="s">
        <v>71</v>
      </c>
      <c r="M1257" s="13"/>
      <c r="N1257" s="14"/>
      <c r="O1257" s="14">
        <f t="shared" si="40"/>
        <v>-111</v>
      </c>
      <c r="P1257" s="15">
        <f t="shared" si="41"/>
        <v>41873</v>
      </c>
      <c r="Q1257" s="56"/>
      <c r="R1257" s="11"/>
      <c r="S1257" s="11"/>
    </row>
    <row r="1258" spans="1:19" x14ac:dyDescent="0.25">
      <c r="A1258" s="8" t="s">
        <v>16</v>
      </c>
      <c r="B1258" s="66" t="s">
        <v>17</v>
      </c>
      <c r="C1258" s="8" t="s">
        <v>18</v>
      </c>
      <c r="D1258" s="8">
        <v>2014</v>
      </c>
      <c r="E1258" s="9" t="s">
        <v>664</v>
      </c>
      <c r="F1258" s="10">
        <v>41873</v>
      </c>
      <c r="G1258" s="23"/>
      <c r="H1258" s="11" t="s">
        <v>595</v>
      </c>
      <c r="I1258" s="12">
        <v>-1000</v>
      </c>
      <c r="J1258" s="54" t="s">
        <v>21</v>
      </c>
      <c r="K1258" s="54" t="s">
        <v>56</v>
      </c>
      <c r="L1258" s="54" t="s">
        <v>57</v>
      </c>
      <c r="M1258" s="13" t="s">
        <v>386</v>
      </c>
      <c r="N1258" s="14"/>
      <c r="O1258" s="14">
        <f t="shared" si="40"/>
        <v>-1000</v>
      </c>
      <c r="P1258" s="15">
        <f t="shared" si="41"/>
        <v>41873</v>
      </c>
      <c r="Q1258" s="56"/>
      <c r="R1258" s="11"/>
      <c r="S1258" s="11"/>
    </row>
    <row r="1259" spans="1:19" x14ac:dyDescent="0.25">
      <c r="A1259" s="8" t="s">
        <v>16</v>
      </c>
      <c r="B1259" s="8" t="s">
        <v>17</v>
      </c>
      <c r="C1259" s="8" t="s">
        <v>51</v>
      </c>
      <c r="D1259" s="8">
        <v>2014</v>
      </c>
      <c r="E1259" s="9" t="s">
        <v>664</v>
      </c>
      <c r="F1259" s="10">
        <v>41873</v>
      </c>
      <c r="G1259" s="8">
        <v>11826</v>
      </c>
      <c r="H1259" s="11" t="s">
        <v>599</v>
      </c>
      <c r="I1259" s="12">
        <v>850</v>
      </c>
      <c r="J1259" s="13" t="s">
        <v>53</v>
      </c>
      <c r="K1259" s="13" t="s">
        <v>54</v>
      </c>
      <c r="L1259" s="13"/>
      <c r="M1259" s="13"/>
      <c r="N1259" s="14"/>
      <c r="O1259" s="14">
        <f t="shared" si="40"/>
        <v>850</v>
      </c>
      <c r="P1259" s="15">
        <f t="shared" si="41"/>
        <v>41873</v>
      </c>
      <c r="Q1259" s="56"/>
      <c r="R1259" s="11"/>
      <c r="S1259" s="11"/>
    </row>
    <row r="1260" spans="1:19" x14ac:dyDescent="0.25">
      <c r="A1260" s="8" t="s">
        <v>16</v>
      </c>
      <c r="B1260" s="8" t="s">
        <v>17</v>
      </c>
      <c r="C1260" s="8" t="s">
        <v>51</v>
      </c>
      <c r="D1260" s="8">
        <v>2014</v>
      </c>
      <c r="E1260" s="9" t="s">
        <v>664</v>
      </c>
      <c r="F1260" s="10">
        <v>41874</v>
      </c>
      <c r="G1260" s="8">
        <v>11922</v>
      </c>
      <c r="H1260" s="11" t="s">
        <v>720</v>
      </c>
      <c r="I1260" s="12">
        <v>13000</v>
      </c>
      <c r="J1260" s="13" t="s">
        <v>53</v>
      </c>
      <c r="K1260" s="13" t="s">
        <v>54</v>
      </c>
      <c r="L1260" s="13"/>
      <c r="M1260" s="13"/>
      <c r="N1260" s="14"/>
      <c r="O1260" s="14">
        <f t="shared" si="40"/>
        <v>13000</v>
      </c>
      <c r="P1260" s="15">
        <f t="shared" si="41"/>
        <v>41874</v>
      </c>
      <c r="Q1260" s="56"/>
      <c r="R1260" s="11"/>
      <c r="S1260" s="11"/>
    </row>
    <row r="1261" spans="1:19" x14ac:dyDescent="0.25">
      <c r="A1261" s="8" t="s">
        <v>16</v>
      </c>
      <c r="B1261" s="8" t="s">
        <v>17</v>
      </c>
      <c r="C1261" s="8" t="s">
        <v>51</v>
      </c>
      <c r="D1261" s="8">
        <v>2014</v>
      </c>
      <c r="E1261" s="9" t="s">
        <v>664</v>
      </c>
      <c r="F1261" s="10">
        <v>41874</v>
      </c>
      <c r="G1261" s="8">
        <v>11923</v>
      </c>
      <c r="H1261" s="11" t="s">
        <v>721</v>
      </c>
      <c r="I1261" s="12">
        <v>100</v>
      </c>
      <c r="J1261" s="13" t="s">
        <v>53</v>
      </c>
      <c r="K1261" s="13" t="s">
        <v>54</v>
      </c>
      <c r="L1261" s="13"/>
      <c r="M1261" s="13"/>
      <c r="N1261" s="14"/>
      <c r="O1261" s="14">
        <f t="shared" si="40"/>
        <v>100</v>
      </c>
      <c r="P1261" s="15">
        <f t="shared" si="41"/>
        <v>41874</v>
      </c>
      <c r="Q1261" s="56"/>
      <c r="R1261" s="11"/>
      <c r="S1261" s="11"/>
    </row>
    <row r="1262" spans="1:19" x14ac:dyDescent="0.25">
      <c r="A1262" s="8" t="s">
        <v>16</v>
      </c>
      <c r="B1262" s="8" t="s">
        <v>17</v>
      </c>
      <c r="C1262" s="8" t="s">
        <v>51</v>
      </c>
      <c r="D1262" s="8">
        <v>2014</v>
      </c>
      <c r="E1262" s="9" t="s">
        <v>664</v>
      </c>
      <c r="F1262" s="10">
        <v>41874</v>
      </c>
      <c r="G1262" s="8">
        <v>11924</v>
      </c>
      <c r="H1262" s="11" t="s">
        <v>722</v>
      </c>
      <c r="I1262" s="12">
        <v>500</v>
      </c>
      <c r="J1262" s="13" t="s">
        <v>53</v>
      </c>
      <c r="K1262" s="13" t="s">
        <v>54</v>
      </c>
      <c r="L1262" s="13"/>
      <c r="M1262" s="13"/>
      <c r="N1262" s="14"/>
      <c r="O1262" s="14">
        <f t="shared" si="40"/>
        <v>500</v>
      </c>
      <c r="P1262" s="15">
        <f t="shared" si="41"/>
        <v>41874</v>
      </c>
      <c r="Q1262" s="56"/>
      <c r="R1262" s="11"/>
      <c r="S1262" s="11"/>
    </row>
    <row r="1263" spans="1:19" x14ac:dyDescent="0.25">
      <c r="A1263" s="8" t="s">
        <v>16</v>
      </c>
      <c r="B1263" s="8" t="s">
        <v>17</v>
      </c>
      <c r="C1263" s="8" t="s">
        <v>51</v>
      </c>
      <c r="D1263" s="8">
        <v>2014</v>
      </c>
      <c r="E1263" s="9" t="s">
        <v>664</v>
      </c>
      <c r="F1263" s="10">
        <v>41874</v>
      </c>
      <c r="G1263" s="8">
        <v>11914</v>
      </c>
      <c r="H1263" s="11" t="s">
        <v>723</v>
      </c>
      <c r="I1263" s="12">
        <v>60000</v>
      </c>
      <c r="J1263" s="13" t="s">
        <v>53</v>
      </c>
      <c r="K1263" s="13" t="s">
        <v>54</v>
      </c>
      <c r="L1263" s="13"/>
      <c r="M1263" s="13"/>
      <c r="N1263" s="14"/>
      <c r="O1263" s="14">
        <f t="shared" si="40"/>
        <v>60000</v>
      </c>
      <c r="P1263" s="15">
        <f t="shared" si="41"/>
        <v>41874</v>
      </c>
      <c r="Q1263" s="56"/>
      <c r="R1263" s="11"/>
      <c r="S1263" s="11"/>
    </row>
    <row r="1264" spans="1:19" x14ac:dyDescent="0.25">
      <c r="A1264" s="8" t="s">
        <v>16</v>
      </c>
      <c r="B1264" s="8" t="s">
        <v>17</v>
      </c>
      <c r="C1264" s="8" t="s">
        <v>51</v>
      </c>
      <c r="D1264" s="8">
        <v>2014</v>
      </c>
      <c r="E1264" s="9" t="s">
        <v>664</v>
      </c>
      <c r="F1264" s="10">
        <v>41874</v>
      </c>
      <c r="G1264" s="8">
        <v>11900</v>
      </c>
      <c r="H1264" s="11" t="s">
        <v>724</v>
      </c>
      <c r="I1264" s="12">
        <v>14500</v>
      </c>
      <c r="J1264" s="13" t="s">
        <v>53</v>
      </c>
      <c r="K1264" s="13" t="s">
        <v>54</v>
      </c>
      <c r="L1264" s="13"/>
      <c r="M1264" s="13"/>
      <c r="N1264" s="14"/>
      <c r="O1264" s="14">
        <f t="shared" si="40"/>
        <v>14500</v>
      </c>
      <c r="P1264" s="15">
        <f t="shared" si="41"/>
        <v>41874</v>
      </c>
      <c r="Q1264" s="56"/>
      <c r="R1264" s="11"/>
      <c r="S1264" s="11"/>
    </row>
    <row r="1265" spans="1:19" x14ac:dyDescent="0.25">
      <c r="A1265" s="8" t="s">
        <v>16</v>
      </c>
      <c r="B1265" s="8" t="s">
        <v>17</v>
      </c>
      <c r="C1265" s="8" t="s">
        <v>51</v>
      </c>
      <c r="D1265" s="8">
        <v>2014</v>
      </c>
      <c r="E1265" s="9" t="s">
        <v>664</v>
      </c>
      <c r="F1265" s="10">
        <v>41874</v>
      </c>
      <c r="G1265" s="8">
        <v>11926</v>
      </c>
      <c r="H1265" s="11" t="s">
        <v>725</v>
      </c>
      <c r="I1265" s="12">
        <v>3500</v>
      </c>
      <c r="J1265" s="13" t="s">
        <v>53</v>
      </c>
      <c r="K1265" s="13" t="s">
        <v>54</v>
      </c>
      <c r="L1265" s="13"/>
      <c r="M1265" s="13"/>
      <c r="N1265" s="14"/>
      <c r="O1265" s="14">
        <f t="shared" si="40"/>
        <v>3500</v>
      </c>
      <c r="P1265" s="15">
        <f t="shared" si="41"/>
        <v>41874</v>
      </c>
      <c r="Q1265" s="56"/>
      <c r="R1265" s="11"/>
      <c r="S1265" s="11"/>
    </row>
    <row r="1266" spans="1:19" x14ac:dyDescent="0.25">
      <c r="A1266" s="8" t="s">
        <v>16</v>
      </c>
      <c r="B1266" s="8" t="s">
        <v>17</v>
      </c>
      <c r="C1266" s="8" t="s">
        <v>51</v>
      </c>
      <c r="D1266" s="8">
        <v>2014</v>
      </c>
      <c r="E1266" s="9" t="s">
        <v>664</v>
      </c>
      <c r="F1266" s="10">
        <v>41875</v>
      </c>
      <c r="G1266" s="8">
        <v>11927</v>
      </c>
      <c r="H1266" s="11" t="s">
        <v>726</v>
      </c>
      <c r="I1266" s="12">
        <v>1000</v>
      </c>
      <c r="J1266" s="13" t="s">
        <v>53</v>
      </c>
      <c r="K1266" s="13" t="s">
        <v>54</v>
      </c>
      <c r="L1266" s="13"/>
      <c r="M1266" s="13"/>
      <c r="N1266" s="14"/>
      <c r="O1266" s="14">
        <f t="shared" si="40"/>
        <v>1000</v>
      </c>
      <c r="P1266" s="15">
        <f t="shared" si="41"/>
        <v>41875</v>
      </c>
      <c r="Q1266" s="56"/>
      <c r="R1266" s="11"/>
      <c r="S1266" s="11"/>
    </row>
    <row r="1267" spans="1:19" x14ac:dyDescent="0.25">
      <c r="A1267" s="8" t="s">
        <v>16</v>
      </c>
      <c r="B1267" s="8" t="s">
        <v>17</v>
      </c>
      <c r="C1267" s="8" t="s">
        <v>51</v>
      </c>
      <c r="D1267" s="8">
        <v>2014</v>
      </c>
      <c r="E1267" s="9" t="s">
        <v>664</v>
      </c>
      <c r="F1267" s="10">
        <v>41876</v>
      </c>
      <c r="G1267" s="8">
        <v>11920</v>
      </c>
      <c r="H1267" s="11" t="s">
        <v>727</v>
      </c>
      <c r="I1267" s="12">
        <v>8000</v>
      </c>
      <c r="J1267" s="13" t="s">
        <v>53</v>
      </c>
      <c r="K1267" s="13" t="s">
        <v>54</v>
      </c>
      <c r="L1267" s="13"/>
      <c r="M1267" s="13"/>
      <c r="N1267" s="14"/>
      <c r="O1267" s="14">
        <f t="shared" si="40"/>
        <v>8000</v>
      </c>
      <c r="P1267" s="15">
        <f t="shared" si="41"/>
        <v>41876</v>
      </c>
      <c r="Q1267" s="56"/>
      <c r="R1267" s="11"/>
      <c r="S1267" s="11"/>
    </row>
    <row r="1268" spans="1:19" x14ac:dyDescent="0.25">
      <c r="A1268" s="8" t="s">
        <v>16</v>
      </c>
      <c r="B1268" s="8" t="s">
        <v>17</v>
      </c>
      <c r="C1268" s="8" t="s">
        <v>46</v>
      </c>
      <c r="D1268" s="8">
        <v>2014</v>
      </c>
      <c r="E1268" s="9" t="s">
        <v>664</v>
      </c>
      <c r="F1268" s="10">
        <v>41876</v>
      </c>
      <c r="G1268" s="8"/>
      <c r="H1268" s="17" t="s">
        <v>87</v>
      </c>
      <c r="I1268" s="12">
        <v>-25000</v>
      </c>
      <c r="J1268" s="13" t="s">
        <v>68</v>
      </c>
      <c r="K1268" s="13"/>
      <c r="L1268" s="13"/>
      <c r="M1268" s="13"/>
      <c r="N1268" s="14"/>
      <c r="O1268" s="14">
        <f t="shared" si="40"/>
        <v>-25000</v>
      </c>
      <c r="P1268" s="15">
        <f t="shared" si="41"/>
        <v>41876</v>
      </c>
      <c r="Q1268" s="56"/>
      <c r="R1268" s="11"/>
      <c r="S1268" s="11"/>
    </row>
    <row r="1269" spans="1:19" x14ac:dyDescent="0.25">
      <c r="A1269" s="8" t="s">
        <v>16</v>
      </c>
      <c r="B1269" s="66" t="s">
        <v>17</v>
      </c>
      <c r="C1269" s="36" t="s">
        <v>18</v>
      </c>
      <c r="D1269" s="8">
        <v>2014</v>
      </c>
      <c r="E1269" s="9" t="s">
        <v>664</v>
      </c>
      <c r="F1269" s="10">
        <v>41876</v>
      </c>
      <c r="G1269" s="8"/>
      <c r="H1269" s="11" t="s">
        <v>29</v>
      </c>
      <c r="I1269" s="12">
        <v>-3800</v>
      </c>
      <c r="J1269" s="13" t="s">
        <v>21</v>
      </c>
      <c r="K1269" s="13" t="s">
        <v>30</v>
      </c>
      <c r="L1269" s="13" t="s">
        <v>31</v>
      </c>
      <c r="M1269" s="13" t="s">
        <v>28</v>
      </c>
      <c r="N1269" s="14"/>
      <c r="O1269" s="14">
        <f t="shared" si="40"/>
        <v>-3800</v>
      </c>
      <c r="P1269" s="15">
        <f t="shared" si="41"/>
        <v>41876</v>
      </c>
      <c r="Q1269" s="56"/>
      <c r="R1269" s="11"/>
      <c r="S1269" s="11"/>
    </row>
    <row r="1270" spans="1:19" x14ac:dyDescent="0.25">
      <c r="A1270" s="8" t="s">
        <v>16</v>
      </c>
      <c r="B1270" s="8" t="s">
        <v>17</v>
      </c>
      <c r="C1270" s="8" t="s">
        <v>18</v>
      </c>
      <c r="D1270" s="8">
        <v>2014</v>
      </c>
      <c r="E1270" s="9" t="s">
        <v>664</v>
      </c>
      <c r="F1270" s="10">
        <v>41876</v>
      </c>
      <c r="G1270" s="23"/>
      <c r="H1270" s="11" t="s">
        <v>269</v>
      </c>
      <c r="I1270" s="12">
        <v>-400</v>
      </c>
      <c r="J1270" s="54" t="s">
        <v>21</v>
      </c>
      <c r="K1270" s="70" t="s">
        <v>56</v>
      </c>
      <c r="L1270" s="54" t="s">
        <v>57</v>
      </c>
      <c r="M1270" s="13" t="s">
        <v>386</v>
      </c>
      <c r="N1270" s="14"/>
      <c r="O1270" s="14">
        <f t="shared" si="40"/>
        <v>-400</v>
      </c>
      <c r="P1270" s="15">
        <f t="shared" si="41"/>
        <v>41876</v>
      </c>
      <c r="Q1270" s="56"/>
      <c r="R1270" s="11"/>
      <c r="S1270" s="11"/>
    </row>
    <row r="1271" spans="1:19" x14ac:dyDescent="0.25">
      <c r="A1271" s="23" t="s">
        <v>16</v>
      </c>
      <c r="B1271" s="23" t="s">
        <v>17</v>
      </c>
      <c r="C1271" s="8" t="s">
        <v>18</v>
      </c>
      <c r="D1271" s="8">
        <v>2014</v>
      </c>
      <c r="E1271" s="9" t="s">
        <v>664</v>
      </c>
      <c r="F1271" s="10">
        <v>41876</v>
      </c>
      <c r="G1271" s="8"/>
      <c r="H1271" s="11" t="s">
        <v>329</v>
      </c>
      <c r="I1271" s="12">
        <v>-1320</v>
      </c>
      <c r="J1271" s="13" t="s">
        <v>21</v>
      </c>
      <c r="K1271" s="13" t="s">
        <v>63</v>
      </c>
      <c r="L1271" s="13" t="s">
        <v>64</v>
      </c>
      <c r="M1271" s="13"/>
      <c r="N1271" s="14"/>
      <c r="O1271" s="14">
        <f t="shared" si="40"/>
        <v>-1320</v>
      </c>
      <c r="P1271" s="15">
        <f t="shared" si="41"/>
        <v>41876</v>
      </c>
      <c r="Q1271" s="56"/>
      <c r="R1271" s="11"/>
      <c r="S1271" s="11"/>
    </row>
    <row r="1272" spans="1:19" x14ac:dyDescent="0.25">
      <c r="A1272" s="8" t="s">
        <v>16</v>
      </c>
      <c r="B1272" s="66" t="s">
        <v>17</v>
      </c>
      <c r="C1272" s="8" t="s">
        <v>18</v>
      </c>
      <c r="D1272" s="8">
        <v>2014</v>
      </c>
      <c r="E1272" s="9" t="s">
        <v>664</v>
      </c>
      <c r="F1272" s="10">
        <v>41876</v>
      </c>
      <c r="G1272" s="23"/>
      <c r="H1272" s="11" t="s">
        <v>595</v>
      </c>
      <c r="I1272" s="12">
        <v>-1200</v>
      </c>
      <c r="J1272" s="54" t="s">
        <v>21</v>
      </c>
      <c r="K1272" s="54" t="s">
        <v>56</v>
      </c>
      <c r="L1272" s="54" t="s">
        <v>57</v>
      </c>
      <c r="M1272" s="13" t="s">
        <v>386</v>
      </c>
      <c r="N1272" s="14"/>
      <c r="O1272" s="14">
        <f t="shared" si="40"/>
        <v>-1200</v>
      </c>
      <c r="P1272" s="15">
        <f t="shared" si="41"/>
        <v>41876</v>
      </c>
      <c r="Q1272" s="56"/>
      <c r="R1272" s="11"/>
      <c r="S1272" s="11"/>
    </row>
    <row r="1273" spans="1:19" x14ac:dyDescent="0.25">
      <c r="A1273" s="23" t="s">
        <v>16</v>
      </c>
      <c r="B1273" s="23" t="s">
        <v>17</v>
      </c>
      <c r="C1273" s="23" t="s">
        <v>18</v>
      </c>
      <c r="D1273" s="8">
        <v>2014</v>
      </c>
      <c r="E1273" s="9" t="s">
        <v>664</v>
      </c>
      <c r="F1273" s="10">
        <v>41876</v>
      </c>
      <c r="G1273" s="8"/>
      <c r="H1273" s="11" t="s">
        <v>377</v>
      </c>
      <c r="I1273" s="12">
        <v>-475</v>
      </c>
      <c r="J1273" s="13" t="s">
        <v>21</v>
      </c>
      <c r="K1273" s="13" t="s">
        <v>56</v>
      </c>
      <c r="L1273" s="13" t="s">
        <v>111</v>
      </c>
      <c r="M1273" s="13" t="s">
        <v>28</v>
      </c>
      <c r="N1273" s="14"/>
      <c r="O1273" s="14">
        <f t="shared" si="40"/>
        <v>-475</v>
      </c>
      <c r="P1273" s="15">
        <f t="shared" si="41"/>
        <v>41876</v>
      </c>
      <c r="Q1273" s="56"/>
      <c r="R1273" s="11"/>
      <c r="S1273" s="11"/>
    </row>
    <row r="1274" spans="1:19" x14ac:dyDescent="0.25">
      <c r="A1274" s="8" t="s">
        <v>16</v>
      </c>
      <c r="B1274" s="8" t="s">
        <v>17</v>
      </c>
      <c r="C1274" s="36" t="s">
        <v>18</v>
      </c>
      <c r="D1274" s="8">
        <v>2014</v>
      </c>
      <c r="E1274" s="9" t="s">
        <v>664</v>
      </c>
      <c r="F1274" s="10">
        <v>41876</v>
      </c>
      <c r="G1274" s="8"/>
      <c r="H1274" s="17" t="s">
        <v>443</v>
      </c>
      <c r="I1274" s="12">
        <v>-5432.86</v>
      </c>
      <c r="J1274" s="13" t="s">
        <v>33</v>
      </c>
      <c r="K1274" s="13" t="s">
        <v>224</v>
      </c>
      <c r="L1274" s="13" t="s">
        <v>231</v>
      </c>
      <c r="M1274" s="13"/>
      <c r="N1274" s="14"/>
      <c r="O1274" s="14">
        <f t="shared" si="40"/>
        <v>-5432.86</v>
      </c>
      <c r="P1274" s="15">
        <f t="shared" si="41"/>
        <v>41876</v>
      </c>
      <c r="Q1274" s="56"/>
      <c r="R1274" s="11"/>
      <c r="S1274" s="11"/>
    </row>
    <row r="1275" spans="1:19" x14ac:dyDescent="0.25">
      <c r="A1275" s="23" t="s">
        <v>16</v>
      </c>
      <c r="B1275" s="65" t="s">
        <v>17</v>
      </c>
      <c r="C1275" s="23" t="s">
        <v>18</v>
      </c>
      <c r="D1275" s="8">
        <v>2014</v>
      </c>
      <c r="E1275" s="9" t="s">
        <v>664</v>
      </c>
      <c r="F1275" s="10">
        <v>41877</v>
      </c>
      <c r="G1275" s="8"/>
      <c r="H1275" s="11" t="s">
        <v>399</v>
      </c>
      <c r="I1275" s="12">
        <f>-150-100-110-100-190-30</f>
        <v>-680</v>
      </c>
      <c r="J1275" s="13" t="s">
        <v>21</v>
      </c>
      <c r="K1275" s="13" t="s">
        <v>56</v>
      </c>
      <c r="L1275" s="13" t="s">
        <v>111</v>
      </c>
      <c r="M1275" s="13" t="s">
        <v>28</v>
      </c>
      <c r="N1275" s="31"/>
      <c r="O1275" s="14">
        <f t="shared" si="40"/>
        <v>-680</v>
      </c>
      <c r="P1275" s="15">
        <f t="shared" si="41"/>
        <v>41877</v>
      </c>
      <c r="Q1275" s="56"/>
      <c r="R1275" s="11"/>
      <c r="S1275" s="11"/>
    </row>
    <row r="1276" spans="1:19" x14ac:dyDescent="0.25">
      <c r="A1276" s="23" t="s">
        <v>16</v>
      </c>
      <c r="B1276" s="23" t="s">
        <v>17</v>
      </c>
      <c r="C1276" s="36" t="s">
        <v>46</v>
      </c>
      <c r="D1276" s="8">
        <v>2014</v>
      </c>
      <c r="E1276" s="9" t="s">
        <v>664</v>
      </c>
      <c r="F1276" s="10">
        <v>41877</v>
      </c>
      <c r="G1276" s="23"/>
      <c r="H1276" s="17" t="s">
        <v>660</v>
      </c>
      <c r="I1276" s="12">
        <v>-4000</v>
      </c>
      <c r="J1276" s="13" t="s">
        <v>48</v>
      </c>
      <c r="K1276" s="13" t="s">
        <v>326</v>
      </c>
      <c r="L1276" s="13"/>
      <c r="M1276" s="13" t="s">
        <v>226</v>
      </c>
      <c r="N1276" s="14"/>
      <c r="O1276" s="14">
        <f t="shared" si="40"/>
        <v>-4000</v>
      </c>
      <c r="P1276" s="15">
        <f t="shared" si="41"/>
        <v>41877</v>
      </c>
      <c r="Q1276" s="56"/>
      <c r="R1276" s="11"/>
      <c r="S1276" s="11"/>
    </row>
    <row r="1277" spans="1:19" x14ac:dyDescent="0.25">
      <c r="A1277" s="8" t="s">
        <v>16</v>
      </c>
      <c r="B1277" s="8" t="s">
        <v>17</v>
      </c>
      <c r="C1277" s="36" t="s">
        <v>18</v>
      </c>
      <c r="D1277" s="8">
        <v>2014</v>
      </c>
      <c r="E1277" s="9" t="s">
        <v>664</v>
      </c>
      <c r="F1277" s="10">
        <v>41877</v>
      </c>
      <c r="G1277" s="8"/>
      <c r="H1277" s="17" t="s">
        <v>501</v>
      </c>
      <c r="I1277" s="12">
        <v>-335</v>
      </c>
      <c r="J1277" s="13" t="s">
        <v>21</v>
      </c>
      <c r="K1277" s="13" t="s">
        <v>143</v>
      </c>
      <c r="L1277" s="13" t="s">
        <v>382</v>
      </c>
      <c r="M1277" s="13" t="s">
        <v>145</v>
      </c>
      <c r="N1277" s="14"/>
      <c r="O1277" s="14">
        <f t="shared" si="40"/>
        <v>-335</v>
      </c>
      <c r="P1277" s="15">
        <f t="shared" si="41"/>
        <v>41877</v>
      </c>
      <c r="Q1277" s="56"/>
      <c r="R1277" s="11"/>
      <c r="S1277" s="11"/>
    </row>
    <row r="1278" spans="1:19" x14ac:dyDescent="0.25">
      <c r="A1278" s="8" t="s">
        <v>16</v>
      </c>
      <c r="B1278" s="8" t="s">
        <v>17</v>
      </c>
      <c r="C1278" s="36" t="s">
        <v>18</v>
      </c>
      <c r="D1278" s="8">
        <v>2014</v>
      </c>
      <c r="E1278" s="9" t="s">
        <v>664</v>
      </c>
      <c r="F1278" s="10">
        <v>41877</v>
      </c>
      <c r="G1278" s="8"/>
      <c r="H1278" s="17" t="s">
        <v>526</v>
      </c>
      <c r="I1278" s="12">
        <v>-47.79</v>
      </c>
      <c r="J1278" s="13" t="s">
        <v>21</v>
      </c>
      <c r="K1278" s="13" t="s">
        <v>143</v>
      </c>
      <c r="L1278" s="13" t="s">
        <v>144</v>
      </c>
      <c r="M1278" s="13" t="s">
        <v>145</v>
      </c>
      <c r="N1278" s="14"/>
      <c r="O1278" s="14">
        <f t="shared" si="40"/>
        <v>-47.79</v>
      </c>
      <c r="P1278" s="15">
        <f t="shared" si="41"/>
        <v>41877</v>
      </c>
      <c r="Q1278" s="56"/>
      <c r="R1278" s="11"/>
      <c r="S1278" s="11"/>
    </row>
    <row r="1279" spans="1:19" x14ac:dyDescent="0.25">
      <c r="A1279" s="8" t="s">
        <v>16</v>
      </c>
      <c r="B1279" s="8" t="s">
        <v>17</v>
      </c>
      <c r="C1279" s="8" t="s">
        <v>46</v>
      </c>
      <c r="D1279" s="80">
        <v>2014</v>
      </c>
      <c r="E1279" s="9" t="s">
        <v>664</v>
      </c>
      <c r="F1279" s="10">
        <v>41877</v>
      </c>
      <c r="G1279" s="8"/>
      <c r="H1279" s="81" t="s">
        <v>87</v>
      </c>
      <c r="I1279" s="82">
        <v>-25000</v>
      </c>
      <c r="J1279" s="33" t="s">
        <v>68</v>
      </c>
      <c r="K1279" s="83"/>
      <c r="L1279" s="83"/>
      <c r="M1279" s="33"/>
      <c r="N1279" s="71"/>
      <c r="O1279" s="14">
        <f t="shared" si="40"/>
        <v>-25000</v>
      </c>
      <c r="P1279" s="15">
        <f t="shared" si="41"/>
        <v>41877</v>
      </c>
      <c r="Q1279" s="56"/>
      <c r="R1279" s="11"/>
      <c r="S1279" s="11"/>
    </row>
    <row r="1280" spans="1:19" ht="30" x14ac:dyDescent="0.25">
      <c r="A1280" s="8" t="s">
        <v>16</v>
      </c>
      <c r="B1280" s="66" t="s">
        <v>17</v>
      </c>
      <c r="C1280" s="8" t="s">
        <v>18</v>
      </c>
      <c r="D1280" s="25">
        <v>2014</v>
      </c>
      <c r="E1280" s="9" t="s">
        <v>664</v>
      </c>
      <c r="F1280" s="10">
        <v>41877</v>
      </c>
      <c r="G1280" s="74"/>
      <c r="H1280" s="84" t="s">
        <v>700</v>
      </c>
      <c r="I1280" s="58">
        <v>-185</v>
      </c>
      <c r="J1280" s="19" t="s">
        <v>33</v>
      </c>
      <c r="K1280" s="19" t="s">
        <v>34</v>
      </c>
      <c r="L1280" s="19"/>
      <c r="M1280" s="25"/>
      <c r="N1280" s="25"/>
      <c r="O1280" s="14">
        <f t="shared" si="40"/>
        <v>-185</v>
      </c>
      <c r="P1280" s="15">
        <f t="shared" si="41"/>
        <v>41877</v>
      </c>
      <c r="Q1280" s="56"/>
      <c r="R1280" s="11"/>
      <c r="S1280" s="11"/>
    </row>
    <row r="1281" spans="1:19" x14ac:dyDescent="0.25">
      <c r="A1281" s="8" t="s">
        <v>16</v>
      </c>
      <c r="B1281" s="8" t="s">
        <v>17</v>
      </c>
      <c r="C1281" s="8" t="s">
        <v>18</v>
      </c>
      <c r="D1281" s="8">
        <v>2014</v>
      </c>
      <c r="E1281" s="9" t="s">
        <v>664</v>
      </c>
      <c r="F1281" s="10">
        <v>41877</v>
      </c>
      <c r="G1281" s="23"/>
      <c r="H1281" s="11" t="s">
        <v>595</v>
      </c>
      <c r="I1281" s="12">
        <v>-700</v>
      </c>
      <c r="J1281" s="54" t="s">
        <v>21</v>
      </c>
      <c r="K1281" s="54" t="s">
        <v>56</v>
      </c>
      <c r="L1281" s="54" t="s">
        <v>57</v>
      </c>
      <c r="M1281" s="13" t="s">
        <v>386</v>
      </c>
      <c r="N1281" s="14"/>
      <c r="O1281" s="14">
        <f t="shared" si="40"/>
        <v>-700</v>
      </c>
      <c r="P1281" s="15">
        <f t="shared" si="41"/>
        <v>41877</v>
      </c>
      <c r="Q1281" s="56"/>
      <c r="R1281" s="11"/>
      <c r="S1281" s="11"/>
    </row>
    <row r="1282" spans="1:19" x14ac:dyDescent="0.25">
      <c r="A1282" s="23" t="s">
        <v>16</v>
      </c>
      <c r="B1282" s="23" t="s">
        <v>17</v>
      </c>
      <c r="C1282" s="23" t="s">
        <v>18</v>
      </c>
      <c r="D1282" s="8">
        <v>2014</v>
      </c>
      <c r="E1282" s="9" t="s">
        <v>664</v>
      </c>
      <c r="F1282" s="10">
        <v>41877</v>
      </c>
      <c r="G1282" s="8"/>
      <c r="H1282" s="11" t="s">
        <v>340</v>
      </c>
      <c r="I1282" s="12">
        <v>-1300</v>
      </c>
      <c r="J1282" s="13" t="s">
        <v>21</v>
      </c>
      <c r="K1282" s="13" t="s">
        <v>56</v>
      </c>
      <c r="L1282" s="13" t="s">
        <v>57</v>
      </c>
      <c r="M1282" s="13"/>
      <c r="N1282" s="14"/>
      <c r="O1282" s="14">
        <f t="shared" si="40"/>
        <v>-1300</v>
      </c>
      <c r="P1282" s="15">
        <f t="shared" si="41"/>
        <v>41877</v>
      </c>
      <c r="Q1282" s="56"/>
      <c r="R1282" s="11"/>
      <c r="S1282" s="11"/>
    </row>
    <row r="1283" spans="1:19" x14ac:dyDescent="0.25">
      <c r="A1283" s="23" t="s">
        <v>16</v>
      </c>
      <c r="B1283" s="23" t="s">
        <v>17</v>
      </c>
      <c r="C1283" s="23" t="s">
        <v>18</v>
      </c>
      <c r="D1283" s="8">
        <v>2014</v>
      </c>
      <c r="E1283" s="9" t="s">
        <v>664</v>
      </c>
      <c r="F1283" s="10">
        <v>41877</v>
      </c>
      <c r="G1283" s="23"/>
      <c r="H1283" s="13" t="s">
        <v>233</v>
      </c>
      <c r="I1283" s="12">
        <f>-540-7.5</f>
        <v>-547.5</v>
      </c>
      <c r="J1283" s="13" t="s">
        <v>21</v>
      </c>
      <c r="K1283" s="13" t="s">
        <v>22</v>
      </c>
      <c r="L1283" s="13" t="s">
        <v>121</v>
      </c>
      <c r="M1283" s="13"/>
      <c r="N1283" s="31"/>
      <c r="O1283" s="14">
        <f t="shared" ref="O1283:O1346" si="42">IF(B1283="$",I1283,I1283/N1283)</f>
        <v>-547.5</v>
      </c>
      <c r="P1283" s="15">
        <f t="shared" si="41"/>
        <v>41877</v>
      </c>
      <c r="Q1283" s="56"/>
      <c r="R1283" s="11"/>
      <c r="S1283" s="11"/>
    </row>
    <row r="1284" spans="1:19" x14ac:dyDescent="0.25">
      <c r="A1284" s="8" t="s">
        <v>16</v>
      </c>
      <c r="B1284" s="8" t="s">
        <v>17</v>
      </c>
      <c r="C1284" s="8" t="s">
        <v>18</v>
      </c>
      <c r="D1284" s="8">
        <v>2014</v>
      </c>
      <c r="E1284" s="9" t="s">
        <v>664</v>
      </c>
      <c r="F1284" s="10">
        <v>41877</v>
      </c>
      <c r="G1284" s="23"/>
      <c r="H1284" s="17" t="s">
        <v>62</v>
      </c>
      <c r="I1284" s="12">
        <f>-57-41-150-84-130</f>
        <v>-462</v>
      </c>
      <c r="J1284" s="13" t="s">
        <v>21</v>
      </c>
      <c r="K1284" s="13" t="s">
        <v>63</v>
      </c>
      <c r="L1284" s="13" t="s">
        <v>64</v>
      </c>
      <c r="M1284" s="13"/>
      <c r="N1284" s="14"/>
      <c r="O1284" s="14">
        <f t="shared" si="42"/>
        <v>-462</v>
      </c>
      <c r="P1284" s="15">
        <f t="shared" si="41"/>
        <v>41877</v>
      </c>
      <c r="Q1284" s="56"/>
      <c r="R1284" s="11"/>
      <c r="S1284" s="11"/>
    </row>
    <row r="1285" spans="1:19" x14ac:dyDescent="0.25">
      <c r="A1285" s="8" t="s">
        <v>16</v>
      </c>
      <c r="B1285" s="8" t="s">
        <v>17</v>
      </c>
      <c r="C1285" s="8" t="s">
        <v>18</v>
      </c>
      <c r="D1285" s="8">
        <v>2014</v>
      </c>
      <c r="E1285" s="9" t="s">
        <v>664</v>
      </c>
      <c r="F1285" s="10">
        <v>41877</v>
      </c>
      <c r="G1285" s="23"/>
      <c r="H1285" s="13" t="s">
        <v>642</v>
      </c>
      <c r="I1285" s="12">
        <v>-200</v>
      </c>
      <c r="J1285" s="13" t="s">
        <v>21</v>
      </c>
      <c r="K1285" s="13" t="s">
        <v>22</v>
      </c>
      <c r="L1285" s="13" t="s">
        <v>23</v>
      </c>
      <c r="M1285" s="13"/>
      <c r="N1285" s="31"/>
      <c r="O1285" s="14">
        <f t="shared" si="42"/>
        <v>-200</v>
      </c>
      <c r="P1285" s="15">
        <f t="shared" si="41"/>
        <v>41877</v>
      </c>
      <c r="Q1285" s="56"/>
      <c r="R1285" s="11"/>
      <c r="S1285" s="11"/>
    </row>
    <row r="1286" spans="1:19" x14ac:dyDescent="0.25">
      <c r="A1286" s="8" t="s">
        <v>16</v>
      </c>
      <c r="B1286" s="66" t="s">
        <v>17</v>
      </c>
      <c r="C1286" s="8" t="s">
        <v>18</v>
      </c>
      <c r="D1286" s="8">
        <v>2014</v>
      </c>
      <c r="E1286" s="9" t="s">
        <v>664</v>
      </c>
      <c r="F1286" s="10">
        <v>41877</v>
      </c>
      <c r="G1286" s="8"/>
      <c r="H1286" s="11" t="s">
        <v>698</v>
      </c>
      <c r="I1286" s="12">
        <v>-1682</v>
      </c>
      <c r="J1286" s="13" t="s">
        <v>21</v>
      </c>
      <c r="K1286" s="13" t="s">
        <v>22</v>
      </c>
      <c r="L1286" s="13" t="s">
        <v>121</v>
      </c>
      <c r="M1286" s="13" t="s">
        <v>699</v>
      </c>
      <c r="N1286" s="14"/>
      <c r="O1286" s="14">
        <f t="shared" si="42"/>
        <v>-1682</v>
      </c>
      <c r="P1286" s="15">
        <f t="shared" si="41"/>
        <v>41877</v>
      </c>
      <c r="Q1286" s="56"/>
      <c r="R1286" s="11"/>
      <c r="S1286" s="11"/>
    </row>
    <row r="1287" spans="1:19" x14ac:dyDescent="0.25">
      <c r="A1287" s="8" t="s">
        <v>16</v>
      </c>
      <c r="B1287" s="66" t="s">
        <v>17</v>
      </c>
      <c r="C1287" s="8" t="s">
        <v>18</v>
      </c>
      <c r="D1287" s="8">
        <v>2014</v>
      </c>
      <c r="E1287" s="9" t="s">
        <v>664</v>
      </c>
      <c r="F1287" s="10">
        <v>41877</v>
      </c>
      <c r="G1287" s="8"/>
      <c r="H1287" s="13" t="s">
        <v>153</v>
      </c>
      <c r="I1287" s="12">
        <v>-60</v>
      </c>
      <c r="J1287" s="13" t="s">
        <v>33</v>
      </c>
      <c r="K1287" s="13" t="s">
        <v>34</v>
      </c>
      <c r="L1287" s="13" t="s">
        <v>76</v>
      </c>
      <c r="M1287" s="13"/>
      <c r="N1287" s="14"/>
      <c r="O1287" s="14">
        <f t="shared" si="42"/>
        <v>-60</v>
      </c>
      <c r="P1287" s="15">
        <f t="shared" si="41"/>
        <v>41877</v>
      </c>
      <c r="Q1287" s="56"/>
      <c r="R1287" s="11"/>
      <c r="S1287" s="11"/>
    </row>
    <row r="1288" spans="1:19" x14ac:dyDescent="0.25">
      <c r="A1288" s="8" t="s">
        <v>16</v>
      </c>
      <c r="B1288" s="8" t="s">
        <v>17</v>
      </c>
      <c r="C1288" s="8" t="s">
        <v>51</v>
      </c>
      <c r="D1288" s="8">
        <v>2014</v>
      </c>
      <c r="E1288" s="9" t="s">
        <v>664</v>
      </c>
      <c r="F1288" s="10">
        <v>41877</v>
      </c>
      <c r="G1288" s="8">
        <v>11853</v>
      </c>
      <c r="H1288" s="11" t="s">
        <v>728</v>
      </c>
      <c r="I1288" s="12">
        <v>955</v>
      </c>
      <c r="J1288" s="13" t="s">
        <v>53</v>
      </c>
      <c r="K1288" s="13" t="s">
        <v>54</v>
      </c>
      <c r="L1288" s="13"/>
      <c r="M1288" s="13"/>
      <c r="N1288" s="14"/>
      <c r="O1288" s="14">
        <f t="shared" si="42"/>
        <v>955</v>
      </c>
      <c r="P1288" s="15">
        <f t="shared" si="41"/>
        <v>41877</v>
      </c>
      <c r="Q1288" s="56"/>
      <c r="R1288" s="11"/>
      <c r="S1288" s="11"/>
    </row>
    <row r="1289" spans="1:19" x14ac:dyDescent="0.25">
      <c r="A1289" s="8" t="s">
        <v>16</v>
      </c>
      <c r="B1289" s="8" t="s">
        <v>17</v>
      </c>
      <c r="C1289" s="8" t="s">
        <v>51</v>
      </c>
      <c r="D1289" s="8">
        <v>2014</v>
      </c>
      <c r="E1289" s="9" t="s">
        <v>664</v>
      </c>
      <c r="F1289" s="10">
        <v>41877</v>
      </c>
      <c r="G1289" s="8">
        <v>11859</v>
      </c>
      <c r="H1289" s="11" t="s">
        <v>644</v>
      </c>
      <c r="I1289" s="12">
        <v>8800</v>
      </c>
      <c r="J1289" s="13" t="s">
        <v>53</v>
      </c>
      <c r="K1289" s="13" t="s">
        <v>54</v>
      </c>
      <c r="L1289" s="13"/>
      <c r="M1289" s="13"/>
      <c r="N1289" s="14"/>
      <c r="O1289" s="14">
        <f t="shared" si="42"/>
        <v>8800</v>
      </c>
      <c r="P1289" s="15">
        <f t="shared" si="41"/>
        <v>41877</v>
      </c>
      <c r="Q1289" s="56"/>
      <c r="R1289" s="11"/>
      <c r="S1289" s="11"/>
    </row>
    <row r="1290" spans="1:19" x14ac:dyDescent="0.25">
      <c r="A1290" s="8" t="s">
        <v>16</v>
      </c>
      <c r="B1290" s="8" t="s">
        <v>17</v>
      </c>
      <c r="C1290" s="8" t="s">
        <v>51</v>
      </c>
      <c r="D1290" s="8">
        <v>2014</v>
      </c>
      <c r="E1290" s="9" t="s">
        <v>664</v>
      </c>
      <c r="F1290" s="10">
        <v>41877</v>
      </c>
      <c r="G1290" s="8">
        <v>11928</v>
      </c>
      <c r="H1290" s="11" t="s">
        <v>729</v>
      </c>
      <c r="I1290" s="12">
        <v>900</v>
      </c>
      <c r="J1290" s="13" t="s">
        <v>53</v>
      </c>
      <c r="K1290" s="13" t="s">
        <v>54</v>
      </c>
      <c r="L1290" s="13"/>
      <c r="M1290" s="13"/>
      <c r="N1290" s="14"/>
      <c r="O1290" s="14">
        <f t="shared" si="42"/>
        <v>900</v>
      </c>
      <c r="P1290" s="15">
        <f t="shared" si="41"/>
        <v>41877</v>
      </c>
      <c r="Q1290" s="56"/>
      <c r="R1290" s="11"/>
      <c r="S1290" s="11"/>
    </row>
    <row r="1291" spans="1:19" x14ac:dyDescent="0.25">
      <c r="A1291" s="8" t="s">
        <v>16</v>
      </c>
      <c r="B1291" s="8" t="s">
        <v>17</v>
      </c>
      <c r="C1291" s="8" t="s">
        <v>18</v>
      </c>
      <c r="D1291" s="8">
        <v>2014</v>
      </c>
      <c r="E1291" s="9" t="s">
        <v>664</v>
      </c>
      <c r="F1291" s="10">
        <v>41878</v>
      </c>
      <c r="G1291" s="23"/>
      <c r="H1291" s="11" t="s">
        <v>595</v>
      </c>
      <c r="I1291" s="12">
        <v>-650</v>
      </c>
      <c r="J1291" s="54" t="s">
        <v>21</v>
      </c>
      <c r="K1291" s="54" t="s">
        <v>56</v>
      </c>
      <c r="L1291" s="54" t="s">
        <v>57</v>
      </c>
      <c r="M1291" s="13" t="s">
        <v>386</v>
      </c>
      <c r="N1291" s="14"/>
      <c r="O1291" s="14">
        <f t="shared" si="42"/>
        <v>-650</v>
      </c>
      <c r="P1291" s="15">
        <f t="shared" si="41"/>
        <v>41878</v>
      </c>
      <c r="Q1291" s="56"/>
      <c r="R1291" s="11"/>
      <c r="S1291" s="11"/>
    </row>
    <row r="1292" spans="1:19" x14ac:dyDescent="0.25">
      <c r="A1292" s="23" t="s">
        <v>16</v>
      </c>
      <c r="B1292" s="23" t="s">
        <v>17</v>
      </c>
      <c r="C1292" s="23" t="s">
        <v>18</v>
      </c>
      <c r="D1292" s="8">
        <v>2014</v>
      </c>
      <c r="E1292" s="9" t="s">
        <v>664</v>
      </c>
      <c r="F1292" s="10">
        <v>41878</v>
      </c>
      <c r="G1292" s="8"/>
      <c r="H1292" s="11" t="s">
        <v>340</v>
      </c>
      <c r="I1292" s="12">
        <v>-480</v>
      </c>
      <c r="J1292" s="13" t="s">
        <v>21</v>
      </c>
      <c r="K1292" s="48" t="s">
        <v>56</v>
      </c>
      <c r="L1292" s="13" t="s">
        <v>57</v>
      </c>
      <c r="M1292" s="13"/>
      <c r="N1292" s="14"/>
      <c r="O1292" s="14">
        <f t="shared" si="42"/>
        <v>-480</v>
      </c>
      <c r="P1292" s="15">
        <f t="shared" si="41"/>
        <v>41878</v>
      </c>
      <c r="Q1292" s="56"/>
      <c r="R1292" s="11"/>
      <c r="S1292" s="11"/>
    </row>
    <row r="1293" spans="1:19" x14ac:dyDescent="0.25">
      <c r="A1293" s="8" t="s">
        <v>16</v>
      </c>
      <c r="B1293" s="8" t="s">
        <v>17</v>
      </c>
      <c r="C1293" s="8" t="s">
        <v>51</v>
      </c>
      <c r="D1293" s="8">
        <v>2014</v>
      </c>
      <c r="E1293" s="9" t="s">
        <v>664</v>
      </c>
      <c r="F1293" s="10">
        <v>41878</v>
      </c>
      <c r="G1293" s="8">
        <v>11929</v>
      </c>
      <c r="H1293" s="11" t="s">
        <v>730</v>
      </c>
      <c r="I1293" s="12">
        <v>5000</v>
      </c>
      <c r="J1293" s="13" t="s">
        <v>53</v>
      </c>
      <c r="K1293" s="13" t="s">
        <v>54</v>
      </c>
      <c r="L1293" s="13"/>
      <c r="M1293" s="13"/>
      <c r="N1293" s="14"/>
      <c r="O1293" s="14">
        <f t="shared" si="42"/>
        <v>5000</v>
      </c>
      <c r="P1293" s="15">
        <f t="shared" si="41"/>
        <v>41878</v>
      </c>
      <c r="Q1293" s="56"/>
      <c r="R1293" s="11"/>
      <c r="S1293" s="11"/>
    </row>
    <row r="1294" spans="1:19" x14ac:dyDescent="0.25">
      <c r="A1294" s="23" t="s">
        <v>16</v>
      </c>
      <c r="B1294" s="65" t="s">
        <v>17</v>
      </c>
      <c r="C1294" s="23" t="s">
        <v>18</v>
      </c>
      <c r="D1294" s="8">
        <v>2014</v>
      </c>
      <c r="E1294" s="9" t="s">
        <v>664</v>
      </c>
      <c r="F1294" s="10">
        <v>41879</v>
      </c>
      <c r="G1294" s="23"/>
      <c r="H1294" s="13" t="s">
        <v>122</v>
      </c>
      <c r="I1294" s="12">
        <v>-10000</v>
      </c>
      <c r="J1294" s="13" t="s">
        <v>33</v>
      </c>
      <c r="K1294" s="13" t="s">
        <v>123</v>
      </c>
      <c r="L1294" s="13" t="s">
        <v>124</v>
      </c>
      <c r="M1294" s="25" t="s">
        <v>125</v>
      </c>
      <c r="N1294" s="31"/>
      <c r="O1294" s="14">
        <f t="shared" si="42"/>
        <v>-10000</v>
      </c>
      <c r="P1294" s="15">
        <f t="shared" si="41"/>
        <v>41879</v>
      </c>
      <c r="Q1294" s="56"/>
      <c r="R1294" s="11"/>
      <c r="S1294" s="11"/>
    </row>
    <row r="1295" spans="1:19" x14ac:dyDescent="0.25">
      <c r="A1295" s="8" t="s">
        <v>16</v>
      </c>
      <c r="B1295" s="8" t="s">
        <v>17</v>
      </c>
      <c r="C1295" s="8" t="s">
        <v>18</v>
      </c>
      <c r="D1295" s="8">
        <v>2014</v>
      </c>
      <c r="E1295" s="9" t="s">
        <v>664</v>
      </c>
      <c r="F1295" s="10">
        <v>41879</v>
      </c>
      <c r="G1295" s="8"/>
      <c r="H1295" s="11" t="s">
        <v>152</v>
      </c>
      <c r="I1295" s="12">
        <f>-110-62</f>
        <v>-172</v>
      </c>
      <c r="J1295" s="13" t="s">
        <v>21</v>
      </c>
      <c r="K1295" s="13" t="s">
        <v>22</v>
      </c>
      <c r="L1295" s="13" t="s">
        <v>71</v>
      </c>
      <c r="M1295" s="13"/>
      <c r="N1295" s="14"/>
      <c r="O1295" s="14">
        <f t="shared" si="42"/>
        <v>-172</v>
      </c>
      <c r="P1295" s="15">
        <f t="shared" si="41"/>
        <v>41879</v>
      </c>
      <c r="Q1295" s="56"/>
      <c r="R1295" s="11"/>
      <c r="S1295" s="11"/>
    </row>
    <row r="1296" spans="1:19" x14ac:dyDescent="0.25">
      <c r="A1296" s="8" t="s">
        <v>16</v>
      </c>
      <c r="B1296" s="66" t="s">
        <v>17</v>
      </c>
      <c r="C1296" s="36" t="s">
        <v>18</v>
      </c>
      <c r="D1296" s="8">
        <v>2014</v>
      </c>
      <c r="E1296" s="9" t="s">
        <v>664</v>
      </c>
      <c r="F1296" s="10">
        <v>41879</v>
      </c>
      <c r="G1296" s="8"/>
      <c r="H1296" s="11" t="s">
        <v>148</v>
      </c>
      <c r="I1296" s="12">
        <v>-300</v>
      </c>
      <c r="J1296" s="13" t="s">
        <v>21</v>
      </c>
      <c r="K1296" s="13" t="s">
        <v>22</v>
      </c>
      <c r="L1296" s="13" t="s">
        <v>23</v>
      </c>
      <c r="M1296" s="13"/>
      <c r="N1296" s="14"/>
      <c r="O1296" s="14">
        <f t="shared" si="42"/>
        <v>-300</v>
      </c>
      <c r="P1296" s="15">
        <f t="shared" si="41"/>
        <v>41879</v>
      </c>
      <c r="Q1296" s="56"/>
      <c r="R1296" s="11"/>
      <c r="S1296" s="11"/>
    </row>
    <row r="1297" spans="1:19" x14ac:dyDescent="0.25">
      <c r="A1297" s="8" t="s">
        <v>16</v>
      </c>
      <c r="B1297" s="66" t="s">
        <v>17</v>
      </c>
      <c r="C1297" s="8" t="s">
        <v>18</v>
      </c>
      <c r="D1297" s="8">
        <v>2014</v>
      </c>
      <c r="E1297" s="9" t="s">
        <v>664</v>
      </c>
      <c r="F1297" s="10">
        <v>41879</v>
      </c>
      <c r="G1297" s="23"/>
      <c r="H1297" s="11" t="s">
        <v>269</v>
      </c>
      <c r="I1297" s="12">
        <v>-400</v>
      </c>
      <c r="J1297" s="54" t="s">
        <v>21</v>
      </c>
      <c r="K1297" s="54" t="s">
        <v>56</v>
      </c>
      <c r="L1297" s="54" t="s">
        <v>57</v>
      </c>
      <c r="M1297" s="13" t="s">
        <v>386</v>
      </c>
      <c r="N1297" s="14"/>
      <c r="O1297" s="14">
        <f t="shared" si="42"/>
        <v>-400</v>
      </c>
      <c r="P1297" s="15">
        <f t="shared" si="41"/>
        <v>41879</v>
      </c>
      <c r="Q1297" s="56"/>
      <c r="R1297" s="11"/>
      <c r="S1297" s="11"/>
    </row>
    <row r="1298" spans="1:19" x14ac:dyDescent="0.25">
      <c r="A1298" s="23" t="s">
        <v>16</v>
      </c>
      <c r="B1298" s="23" t="s">
        <v>17</v>
      </c>
      <c r="C1298" s="23" t="s">
        <v>18</v>
      </c>
      <c r="D1298" s="8">
        <v>2014</v>
      </c>
      <c r="E1298" s="9" t="s">
        <v>664</v>
      </c>
      <c r="F1298" s="10">
        <v>41879</v>
      </c>
      <c r="G1298" s="8"/>
      <c r="H1298" s="11" t="s">
        <v>340</v>
      </c>
      <c r="I1298" s="12">
        <v>-650</v>
      </c>
      <c r="J1298" s="13" t="s">
        <v>21</v>
      </c>
      <c r="K1298" s="13" t="s">
        <v>56</v>
      </c>
      <c r="L1298" s="13" t="s">
        <v>57</v>
      </c>
      <c r="M1298" s="13"/>
      <c r="N1298" s="14"/>
      <c r="O1298" s="14">
        <f t="shared" si="42"/>
        <v>-650</v>
      </c>
      <c r="P1298" s="15">
        <f t="shared" si="41"/>
        <v>41879</v>
      </c>
      <c r="Q1298" s="56"/>
      <c r="R1298" s="11"/>
      <c r="S1298" s="11"/>
    </row>
    <row r="1299" spans="1:19" x14ac:dyDescent="0.25">
      <c r="A1299" s="8" t="s">
        <v>16</v>
      </c>
      <c r="B1299" s="66" t="s">
        <v>17</v>
      </c>
      <c r="C1299" s="8" t="s">
        <v>18</v>
      </c>
      <c r="D1299" s="8">
        <v>2014</v>
      </c>
      <c r="E1299" s="9" t="s">
        <v>664</v>
      </c>
      <c r="F1299" s="10">
        <v>41879</v>
      </c>
      <c r="G1299" s="23"/>
      <c r="H1299" s="11" t="s">
        <v>595</v>
      </c>
      <c r="I1299" s="12">
        <v>-1000</v>
      </c>
      <c r="J1299" s="54" t="s">
        <v>21</v>
      </c>
      <c r="K1299" s="54" t="s">
        <v>56</v>
      </c>
      <c r="L1299" s="54" t="s">
        <v>57</v>
      </c>
      <c r="M1299" s="13" t="s">
        <v>386</v>
      </c>
      <c r="N1299" s="14"/>
      <c r="O1299" s="14">
        <f t="shared" si="42"/>
        <v>-1000</v>
      </c>
      <c r="P1299" s="15">
        <f t="shared" si="41"/>
        <v>41879</v>
      </c>
      <c r="Q1299" s="56"/>
      <c r="R1299" s="11"/>
      <c r="S1299" s="11"/>
    </row>
    <row r="1300" spans="1:19" x14ac:dyDescent="0.25">
      <c r="A1300" s="23" t="s">
        <v>16</v>
      </c>
      <c r="B1300" s="23" t="s">
        <v>17</v>
      </c>
      <c r="C1300" s="23" t="s">
        <v>18</v>
      </c>
      <c r="D1300" s="8">
        <v>2014</v>
      </c>
      <c r="E1300" s="9" t="s">
        <v>664</v>
      </c>
      <c r="F1300" s="30">
        <v>41880</v>
      </c>
      <c r="G1300" s="8"/>
      <c r="H1300" s="11" t="s">
        <v>399</v>
      </c>
      <c r="I1300" s="12">
        <f>-80-70-120</f>
        <v>-270</v>
      </c>
      <c r="J1300" s="13" t="s">
        <v>21</v>
      </c>
      <c r="K1300" s="13" t="s">
        <v>56</v>
      </c>
      <c r="L1300" s="13" t="s">
        <v>111</v>
      </c>
      <c r="M1300" s="13" t="s">
        <v>28</v>
      </c>
      <c r="N1300" s="31"/>
      <c r="O1300" s="14">
        <f t="shared" si="42"/>
        <v>-270</v>
      </c>
      <c r="P1300" s="15">
        <f t="shared" si="41"/>
        <v>41880</v>
      </c>
      <c r="Q1300" s="56"/>
      <c r="R1300" s="11"/>
      <c r="S1300" s="11"/>
    </row>
    <row r="1301" spans="1:19" x14ac:dyDescent="0.25">
      <c r="A1301" s="23" t="s">
        <v>16</v>
      </c>
      <c r="B1301" s="23" t="s">
        <v>17</v>
      </c>
      <c r="C1301" s="23" t="s">
        <v>18</v>
      </c>
      <c r="D1301" s="8">
        <v>2014</v>
      </c>
      <c r="E1301" s="9" t="s">
        <v>664</v>
      </c>
      <c r="F1301" s="10">
        <v>41880</v>
      </c>
      <c r="G1301" s="8" t="s">
        <v>357</v>
      </c>
      <c r="H1301" s="11" t="s">
        <v>406</v>
      </c>
      <c r="I1301" s="12">
        <v>-120</v>
      </c>
      <c r="J1301" s="13" t="s">
        <v>21</v>
      </c>
      <c r="K1301" s="13" t="s">
        <v>143</v>
      </c>
      <c r="L1301" s="13" t="s">
        <v>173</v>
      </c>
      <c r="M1301" s="13"/>
      <c r="N1301" s="14"/>
      <c r="O1301" s="14">
        <f t="shared" si="42"/>
        <v>-120</v>
      </c>
      <c r="P1301" s="15">
        <f t="shared" si="41"/>
        <v>41880</v>
      </c>
      <c r="Q1301" s="56"/>
      <c r="R1301" s="11"/>
      <c r="S1301" s="11"/>
    </row>
    <row r="1302" spans="1:19" x14ac:dyDescent="0.25">
      <c r="A1302" s="23" t="s">
        <v>16</v>
      </c>
      <c r="B1302" s="23" t="s">
        <v>17</v>
      </c>
      <c r="C1302" s="23" t="s">
        <v>18</v>
      </c>
      <c r="D1302" s="8">
        <v>2014</v>
      </c>
      <c r="E1302" s="9" t="s">
        <v>664</v>
      </c>
      <c r="F1302" s="10">
        <v>41880</v>
      </c>
      <c r="G1302" s="23"/>
      <c r="H1302" s="13" t="s">
        <v>252</v>
      </c>
      <c r="I1302" s="12">
        <v>-50</v>
      </c>
      <c r="J1302" s="13" t="s">
        <v>21</v>
      </c>
      <c r="K1302" s="13" t="s">
        <v>22</v>
      </c>
      <c r="L1302" s="13" t="s">
        <v>71</v>
      </c>
      <c r="M1302" s="13" t="s">
        <v>206</v>
      </c>
      <c r="N1302" s="31"/>
      <c r="O1302" s="14">
        <f t="shared" si="42"/>
        <v>-50</v>
      </c>
      <c r="P1302" s="15">
        <f t="shared" ref="P1302:P1365" si="43">F1302</f>
        <v>41880</v>
      </c>
      <c r="Q1302" s="56"/>
      <c r="R1302" s="11"/>
      <c r="S1302" s="11"/>
    </row>
    <row r="1303" spans="1:19" x14ac:dyDescent="0.25">
      <c r="A1303" s="8" t="s">
        <v>16</v>
      </c>
      <c r="B1303" s="8" t="s">
        <v>17</v>
      </c>
      <c r="C1303" s="8" t="s">
        <v>18</v>
      </c>
      <c r="D1303" s="8">
        <v>2014</v>
      </c>
      <c r="E1303" s="9" t="s">
        <v>664</v>
      </c>
      <c r="F1303" s="10">
        <v>41880</v>
      </c>
      <c r="G1303" s="8"/>
      <c r="H1303" s="13" t="s">
        <v>80</v>
      </c>
      <c r="I1303" s="12">
        <v>-100</v>
      </c>
      <c r="J1303" s="13" t="s">
        <v>21</v>
      </c>
      <c r="K1303" s="13" t="s">
        <v>22</v>
      </c>
      <c r="L1303" s="13" t="s">
        <v>23</v>
      </c>
      <c r="M1303" s="13" t="s">
        <v>28</v>
      </c>
      <c r="N1303" s="14"/>
      <c r="O1303" s="14">
        <f t="shared" si="42"/>
        <v>-100</v>
      </c>
      <c r="P1303" s="15">
        <f t="shared" si="43"/>
        <v>41880</v>
      </c>
      <c r="Q1303" s="56"/>
      <c r="R1303" s="11"/>
      <c r="S1303" s="11"/>
    </row>
    <row r="1304" spans="1:19" x14ac:dyDescent="0.25">
      <c r="A1304" s="8" t="s">
        <v>16</v>
      </c>
      <c r="B1304" s="8" t="s">
        <v>17</v>
      </c>
      <c r="C1304" s="36" t="s">
        <v>18</v>
      </c>
      <c r="D1304" s="8">
        <v>2014</v>
      </c>
      <c r="E1304" s="9" t="s">
        <v>664</v>
      </c>
      <c r="F1304" s="10">
        <v>41880</v>
      </c>
      <c r="G1304" s="8"/>
      <c r="H1304" s="17" t="s">
        <v>532</v>
      </c>
      <c r="I1304" s="12">
        <v>-453</v>
      </c>
      <c r="J1304" s="13" t="s">
        <v>21</v>
      </c>
      <c r="K1304" s="13" t="s">
        <v>63</v>
      </c>
      <c r="L1304" s="13" t="s">
        <v>64</v>
      </c>
      <c r="M1304" s="13"/>
      <c r="N1304" s="14"/>
      <c r="O1304" s="14">
        <f t="shared" si="42"/>
        <v>-453</v>
      </c>
      <c r="P1304" s="15">
        <f t="shared" si="43"/>
        <v>41880</v>
      </c>
      <c r="Q1304" s="56"/>
      <c r="R1304" s="11"/>
      <c r="S1304" s="11"/>
    </row>
    <row r="1305" spans="1:19" x14ac:dyDescent="0.25">
      <c r="A1305" s="8" t="s">
        <v>16</v>
      </c>
      <c r="B1305" s="8" t="s">
        <v>17</v>
      </c>
      <c r="C1305" s="8" t="s">
        <v>18</v>
      </c>
      <c r="D1305" s="8">
        <v>2014</v>
      </c>
      <c r="E1305" s="9" t="s">
        <v>664</v>
      </c>
      <c r="F1305" s="10">
        <v>41880</v>
      </c>
      <c r="G1305" s="23"/>
      <c r="H1305" s="17" t="s">
        <v>62</v>
      </c>
      <c r="I1305" s="12">
        <f>-622-309-30</f>
        <v>-961</v>
      </c>
      <c r="J1305" s="13" t="s">
        <v>21</v>
      </c>
      <c r="K1305" s="13" t="s">
        <v>63</v>
      </c>
      <c r="L1305" s="13" t="s">
        <v>64</v>
      </c>
      <c r="M1305" s="13"/>
      <c r="N1305" s="14"/>
      <c r="O1305" s="14">
        <f t="shared" si="42"/>
        <v>-961</v>
      </c>
      <c r="P1305" s="15">
        <f t="shared" si="43"/>
        <v>41880</v>
      </c>
      <c r="Q1305" s="56"/>
      <c r="R1305" s="11"/>
      <c r="S1305" s="11"/>
    </row>
    <row r="1306" spans="1:19" x14ac:dyDescent="0.25">
      <c r="A1306" s="23" t="s">
        <v>16</v>
      </c>
      <c r="B1306" s="23" t="s">
        <v>17</v>
      </c>
      <c r="C1306" s="23" t="s">
        <v>18</v>
      </c>
      <c r="D1306" s="8">
        <v>2014</v>
      </c>
      <c r="E1306" s="9" t="s">
        <v>664</v>
      </c>
      <c r="F1306" s="10">
        <v>41880</v>
      </c>
      <c r="G1306" s="8"/>
      <c r="H1306" s="11" t="s">
        <v>637</v>
      </c>
      <c r="I1306" s="12">
        <v>-1000</v>
      </c>
      <c r="J1306" s="13" t="s">
        <v>169</v>
      </c>
      <c r="K1306" s="13" t="s">
        <v>170</v>
      </c>
      <c r="L1306" s="13" t="s">
        <v>171</v>
      </c>
      <c r="M1306" s="13"/>
      <c r="N1306" s="14"/>
      <c r="O1306" s="14">
        <f t="shared" si="42"/>
        <v>-1000</v>
      </c>
      <c r="P1306" s="15">
        <f t="shared" si="43"/>
        <v>41880</v>
      </c>
      <c r="Q1306" s="56"/>
      <c r="R1306" s="11"/>
      <c r="S1306" s="11"/>
    </row>
    <row r="1307" spans="1:19" x14ac:dyDescent="0.25">
      <c r="A1307" s="8" t="s">
        <v>16</v>
      </c>
      <c r="B1307" s="8" t="s">
        <v>17</v>
      </c>
      <c r="C1307" s="36" t="s">
        <v>18</v>
      </c>
      <c r="D1307" s="8">
        <v>2014</v>
      </c>
      <c r="E1307" s="9" t="s">
        <v>664</v>
      </c>
      <c r="F1307" s="10">
        <v>41880</v>
      </c>
      <c r="G1307" s="8"/>
      <c r="H1307" s="13" t="s">
        <v>731</v>
      </c>
      <c r="I1307" s="12">
        <v>-2000</v>
      </c>
      <c r="J1307" s="13" t="s">
        <v>21</v>
      </c>
      <c r="K1307" s="13" t="s">
        <v>542</v>
      </c>
      <c r="L1307" s="13" t="s">
        <v>543</v>
      </c>
      <c r="M1307" s="13" t="s">
        <v>732</v>
      </c>
      <c r="N1307" s="14"/>
      <c r="O1307" s="14">
        <f t="shared" si="42"/>
        <v>-2000</v>
      </c>
      <c r="P1307" s="15">
        <f t="shared" si="43"/>
        <v>41880</v>
      </c>
      <c r="Q1307" s="56"/>
      <c r="R1307" s="11"/>
      <c r="S1307" s="11"/>
    </row>
    <row r="1308" spans="1:19" x14ac:dyDescent="0.25">
      <c r="A1308" s="23" t="s">
        <v>16</v>
      </c>
      <c r="B1308" s="23" t="s">
        <v>17</v>
      </c>
      <c r="C1308" s="23" t="s">
        <v>18</v>
      </c>
      <c r="D1308" s="8">
        <v>2014</v>
      </c>
      <c r="E1308" s="9" t="s">
        <v>664</v>
      </c>
      <c r="F1308" s="10">
        <v>41880</v>
      </c>
      <c r="G1308" s="8"/>
      <c r="H1308" s="11" t="s">
        <v>378</v>
      </c>
      <c r="I1308" s="12">
        <v>-596</v>
      </c>
      <c r="J1308" s="13" t="s">
        <v>38</v>
      </c>
      <c r="K1308" s="13" t="s">
        <v>155</v>
      </c>
      <c r="L1308" s="13" t="s">
        <v>91</v>
      </c>
      <c r="M1308" s="13"/>
      <c r="N1308" s="31"/>
      <c r="O1308" s="14">
        <f t="shared" si="42"/>
        <v>-596</v>
      </c>
      <c r="P1308" s="15">
        <f t="shared" si="43"/>
        <v>41880</v>
      </c>
      <c r="Q1308" s="56"/>
      <c r="R1308" s="11"/>
      <c r="S1308" s="11"/>
    </row>
    <row r="1309" spans="1:19" x14ac:dyDescent="0.25">
      <c r="A1309" s="23" t="s">
        <v>16</v>
      </c>
      <c r="B1309" s="23" t="s">
        <v>17</v>
      </c>
      <c r="C1309" s="23" t="s">
        <v>18</v>
      </c>
      <c r="D1309" s="8">
        <v>2014</v>
      </c>
      <c r="E1309" s="9" t="s">
        <v>664</v>
      </c>
      <c r="F1309" s="10">
        <v>41880</v>
      </c>
      <c r="G1309" s="8"/>
      <c r="H1309" s="11" t="s">
        <v>350</v>
      </c>
      <c r="I1309" s="12">
        <v>-711</v>
      </c>
      <c r="J1309" s="13" t="s">
        <v>38</v>
      </c>
      <c r="K1309" s="13" t="s">
        <v>155</v>
      </c>
      <c r="L1309" s="13" t="s">
        <v>91</v>
      </c>
      <c r="M1309" s="13"/>
      <c r="N1309" s="31"/>
      <c r="O1309" s="14">
        <f t="shared" si="42"/>
        <v>-711</v>
      </c>
      <c r="P1309" s="15">
        <f t="shared" si="43"/>
        <v>41880</v>
      </c>
      <c r="Q1309" s="56"/>
      <c r="R1309" s="11"/>
      <c r="S1309" s="11"/>
    </row>
    <row r="1310" spans="1:19" x14ac:dyDescent="0.25">
      <c r="A1310" s="23" t="s">
        <v>16</v>
      </c>
      <c r="B1310" s="23" t="s">
        <v>17</v>
      </c>
      <c r="C1310" s="23" t="s">
        <v>18</v>
      </c>
      <c r="D1310" s="8">
        <v>2014</v>
      </c>
      <c r="E1310" s="9" t="s">
        <v>664</v>
      </c>
      <c r="F1310" s="10">
        <v>41880</v>
      </c>
      <c r="G1310" s="8"/>
      <c r="H1310" s="11" t="s">
        <v>419</v>
      </c>
      <c r="I1310" s="12">
        <v>-708</v>
      </c>
      <c r="J1310" s="13" t="s">
        <v>38</v>
      </c>
      <c r="K1310" s="13" t="s">
        <v>155</v>
      </c>
      <c r="L1310" s="13" t="s">
        <v>91</v>
      </c>
      <c r="M1310" s="13"/>
      <c r="N1310" s="31"/>
      <c r="O1310" s="14">
        <f t="shared" si="42"/>
        <v>-708</v>
      </c>
      <c r="P1310" s="15">
        <f t="shared" si="43"/>
        <v>41880</v>
      </c>
      <c r="Q1310" s="56"/>
      <c r="R1310" s="11"/>
      <c r="S1310" s="11"/>
    </row>
    <row r="1311" spans="1:19" x14ac:dyDescent="0.25">
      <c r="A1311" s="23" t="s">
        <v>16</v>
      </c>
      <c r="B1311" s="23" t="s">
        <v>17</v>
      </c>
      <c r="C1311" s="23" t="s">
        <v>18</v>
      </c>
      <c r="D1311" s="8">
        <v>2014</v>
      </c>
      <c r="E1311" s="9" t="s">
        <v>664</v>
      </c>
      <c r="F1311" s="10">
        <v>41880</v>
      </c>
      <c r="G1311" s="8"/>
      <c r="H1311" s="11" t="s">
        <v>420</v>
      </c>
      <c r="I1311" s="12">
        <f>-50-416</f>
        <v>-466</v>
      </c>
      <c r="J1311" s="13" t="s">
        <v>38</v>
      </c>
      <c r="K1311" s="13" t="s">
        <v>155</v>
      </c>
      <c r="L1311" s="13" t="s">
        <v>91</v>
      </c>
      <c r="M1311" s="13"/>
      <c r="N1311" s="31"/>
      <c r="O1311" s="14">
        <f t="shared" si="42"/>
        <v>-466</v>
      </c>
      <c r="P1311" s="15">
        <f t="shared" si="43"/>
        <v>41880</v>
      </c>
      <c r="Q1311" s="56"/>
      <c r="R1311" s="11"/>
      <c r="S1311" s="11"/>
    </row>
    <row r="1312" spans="1:19" x14ac:dyDescent="0.25">
      <c r="A1312" s="23" t="s">
        <v>16</v>
      </c>
      <c r="B1312" s="23" t="s">
        <v>17</v>
      </c>
      <c r="C1312" s="23" t="s">
        <v>18</v>
      </c>
      <c r="D1312" s="8">
        <v>2014</v>
      </c>
      <c r="E1312" s="9" t="s">
        <v>664</v>
      </c>
      <c r="F1312" s="10">
        <v>41880</v>
      </c>
      <c r="G1312" s="8"/>
      <c r="H1312" s="11" t="s">
        <v>328</v>
      </c>
      <c r="I1312" s="12">
        <v>-211</v>
      </c>
      <c r="J1312" s="13" t="s">
        <v>38</v>
      </c>
      <c r="K1312" s="13" t="s">
        <v>155</v>
      </c>
      <c r="L1312" s="13" t="s">
        <v>91</v>
      </c>
      <c r="M1312" s="13"/>
      <c r="N1312" s="31"/>
      <c r="O1312" s="14">
        <f t="shared" si="42"/>
        <v>-211</v>
      </c>
      <c r="P1312" s="15">
        <f t="shared" si="43"/>
        <v>41880</v>
      </c>
      <c r="Q1312" s="56"/>
      <c r="R1312" s="11"/>
      <c r="S1312" s="11"/>
    </row>
    <row r="1313" spans="1:19" x14ac:dyDescent="0.25">
      <c r="A1313" s="23" t="s">
        <v>16</v>
      </c>
      <c r="B1313" s="23" t="s">
        <v>17</v>
      </c>
      <c r="C1313" s="23" t="s">
        <v>18</v>
      </c>
      <c r="D1313" s="8">
        <v>2014</v>
      </c>
      <c r="E1313" s="9" t="s">
        <v>664</v>
      </c>
      <c r="F1313" s="10">
        <v>41880</v>
      </c>
      <c r="G1313" s="23"/>
      <c r="H1313" s="13" t="s">
        <v>717</v>
      </c>
      <c r="I1313" s="12">
        <v>-50</v>
      </c>
      <c r="J1313" s="13" t="s">
        <v>38</v>
      </c>
      <c r="K1313" s="13" t="s">
        <v>90</v>
      </c>
      <c r="L1313" s="13" t="s">
        <v>91</v>
      </c>
      <c r="M1313" s="13"/>
      <c r="N1313" s="31"/>
      <c r="O1313" s="14">
        <f t="shared" si="42"/>
        <v>-50</v>
      </c>
      <c r="P1313" s="15">
        <f t="shared" si="43"/>
        <v>41880</v>
      </c>
      <c r="Q1313" s="56"/>
      <c r="R1313" s="11"/>
      <c r="S1313" s="11"/>
    </row>
    <row r="1314" spans="1:19" x14ac:dyDescent="0.25">
      <c r="A1314" s="23" t="s">
        <v>16</v>
      </c>
      <c r="B1314" s="23" t="s">
        <v>17</v>
      </c>
      <c r="C1314" s="23" t="s">
        <v>18</v>
      </c>
      <c r="D1314" s="8">
        <v>2014</v>
      </c>
      <c r="E1314" s="9" t="s">
        <v>664</v>
      </c>
      <c r="F1314" s="10">
        <v>41880</v>
      </c>
      <c r="G1314" s="23"/>
      <c r="H1314" s="13" t="s">
        <v>733</v>
      </c>
      <c r="I1314" s="12">
        <v>-628</v>
      </c>
      <c r="J1314" s="13" t="s">
        <v>38</v>
      </c>
      <c r="K1314" s="13" t="s">
        <v>90</v>
      </c>
      <c r="L1314" s="13" t="s">
        <v>91</v>
      </c>
      <c r="M1314" s="13"/>
      <c r="N1314" s="31"/>
      <c r="O1314" s="14">
        <f t="shared" si="42"/>
        <v>-628</v>
      </c>
      <c r="P1314" s="15">
        <f t="shared" si="43"/>
        <v>41880</v>
      </c>
      <c r="Q1314" s="56"/>
      <c r="R1314" s="11"/>
      <c r="S1314" s="11"/>
    </row>
    <row r="1315" spans="1:19" x14ac:dyDescent="0.25">
      <c r="A1315" s="8" t="s">
        <v>16</v>
      </c>
      <c r="B1315" s="8" t="s">
        <v>17</v>
      </c>
      <c r="C1315" s="8" t="s">
        <v>51</v>
      </c>
      <c r="D1315" s="8">
        <v>2014</v>
      </c>
      <c r="E1315" s="9" t="s">
        <v>664</v>
      </c>
      <c r="F1315" s="10">
        <v>41880</v>
      </c>
      <c r="G1315" s="8">
        <v>11923</v>
      </c>
      <c r="H1315" s="11" t="s">
        <v>721</v>
      </c>
      <c r="I1315" s="12">
        <v>8500</v>
      </c>
      <c r="J1315" s="13" t="s">
        <v>53</v>
      </c>
      <c r="K1315" s="13" t="s">
        <v>54</v>
      </c>
      <c r="L1315" s="13"/>
      <c r="M1315" s="13"/>
      <c r="N1315" s="14"/>
      <c r="O1315" s="14">
        <f t="shared" si="42"/>
        <v>8500</v>
      </c>
      <c r="P1315" s="15">
        <f t="shared" si="43"/>
        <v>41880</v>
      </c>
      <c r="Q1315" s="56"/>
      <c r="R1315" s="11"/>
      <c r="S1315" s="11"/>
    </row>
    <row r="1316" spans="1:19" x14ac:dyDescent="0.25">
      <c r="A1316" s="23" t="s">
        <v>16</v>
      </c>
      <c r="B1316" s="23" t="s">
        <v>17</v>
      </c>
      <c r="C1316" s="23" t="s">
        <v>18</v>
      </c>
      <c r="D1316" s="8">
        <v>2014</v>
      </c>
      <c r="E1316" s="9" t="s">
        <v>664</v>
      </c>
      <c r="F1316" s="10">
        <v>41880</v>
      </c>
      <c r="G1316" s="8"/>
      <c r="H1316" s="11" t="s">
        <v>340</v>
      </c>
      <c r="I1316" s="12">
        <v>-1250</v>
      </c>
      <c r="J1316" s="13" t="s">
        <v>21</v>
      </c>
      <c r="K1316" s="13" t="s">
        <v>56</v>
      </c>
      <c r="L1316" s="13" t="s">
        <v>57</v>
      </c>
      <c r="M1316" s="13"/>
      <c r="N1316" s="14"/>
      <c r="O1316" s="14">
        <f t="shared" si="42"/>
        <v>-1250</v>
      </c>
      <c r="P1316" s="15">
        <f t="shared" si="43"/>
        <v>41880</v>
      </c>
      <c r="Q1316" s="56"/>
      <c r="R1316" s="11"/>
      <c r="S1316" s="11"/>
    </row>
    <row r="1317" spans="1:19" x14ac:dyDescent="0.25">
      <c r="A1317" s="8" t="s">
        <v>16</v>
      </c>
      <c r="B1317" s="8" t="s">
        <v>17</v>
      </c>
      <c r="C1317" s="8" t="s">
        <v>51</v>
      </c>
      <c r="D1317" s="8">
        <v>2014</v>
      </c>
      <c r="E1317" s="9" t="s">
        <v>664</v>
      </c>
      <c r="F1317" s="10">
        <v>41881</v>
      </c>
      <c r="G1317" s="8">
        <v>11932</v>
      </c>
      <c r="H1317" s="11" t="s">
        <v>734</v>
      </c>
      <c r="I1317" s="12">
        <v>300</v>
      </c>
      <c r="J1317" s="13" t="s">
        <v>53</v>
      </c>
      <c r="K1317" s="13" t="s">
        <v>54</v>
      </c>
      <c r="L1317" s="13"/>
      <c r="M1317" s="13"/>
      <c r="N1317" s="14"/>
      <c r="O1317" s="14">
        <f t="shared" si="42"/>
        <v>300</v>
      </c>
      <c r="P1317" s="15">
        <f t="shared" si="43"/>
        <v>41881</v>
      </c>
      <c r="Q1317" s="56"/>
      <c r="R1317" s="11"/>
      <c r="S1317" s="11"/>
    </row>
    <row r="1318" spans="1:19" x14ac:dyDescent="0.25">
      <c r="A1318" s="8" t="s">
        <v>16</v>
      </c>
      <c r="B1318" s="8" t="s">
        <v>17</v>
      </c>
      <c r="C1318" s="8" t="s">
        <v>51</v>
      </c>
      <c r="D1318" s="8">
        <v>2014</v>
      </c>
      <c r="E1318" s="9" t="s">
        <v>664</v>
      </c>
      <c r="F1318" s="10">
        <v>41881</v>
      </c>
      <c r="G1318" s="8">
        <v>11931</v>
      </c>
      <c r="H1318" s="11" t="s">
        <v>735</v>
      </c>
      <c r="I1318" s="12">
        <v>2000</v>
      </c>
      <c r="J1318" s="13" t="s">
        <v>53</v>
      </c>
      <c r="K1318" s="13" t="s">
        <v>54</v>
      </c>
      <c r="L1318" s="13"/>
      <c r="M1318" s="13"/>
      <c r="N1318" s="14"/>
      <c r="O1318" s="14">
        <f t="shared" si="42"/>
        <v>2000</v>
      </c>
      <c r="P1318" s="15">
        <f t="shared" si="43"/>
        <v>41881</v>
      </c>
      <c r="Q1318" s="56"/>
      <c r="R1318" s="11"/>
      <c r="S1318" s="11"/>
    </row>
    <row r="1319" spans="1:19" x14ac:dyDescent="0.25">
      <c r="A1319" s="8" t="s">
        <v>16</v>
      </c>
      <c r="B1319" s="8" t="s">
        <v>17</v>
      </c>
      <c r="C1319" s="8" t="s">
        <v>51</v>
      </c>
      <c r="D1319" s="8">
        <v>2014</v>
      </c>
      <c r="E1319" s="9" t="s">
        <v>664</v>
      </c>
      <c r="F1319" s="10">
        <v>41881</v>
      </c>
      <c r="G1319" s="8">
        <v>11867</v>
      </c>
      <c r="H1319" s="11" t="s">
        <v>736</v>
      </c>
      <c r="I1319" s="12">
        <v>2000</v>
      </c>
      <c r="J1319" s="13" t="s">
        <v>53</v>
      </c>
      <c r="K1319" s="13" t="s">
        <v>54</v>
      </c>
      <c r="L1319" s="13"/>
      <c r="M1319" s="13"/>
      <c r="N1319" s="14"/>
      <c r="O1319" s="14">
        <f t="shared" si="42"/>
        <v>2000</v>
      </c>
      <c r="P1319" s="15">
        <f t="shared" si="43"/>
        <v>41881</v>
      </c>
      <c r="Q1319" s="56"/>
      <c r="R1319" s="11"/>
      <c r="S1319" s="11"/>
    </row>
    <row r="1320" spans="1:19" x14ac:dyDescent="0.25">
      <c r="A1320" s="8" t="s">
        <v>16</v>
      </c>
      <c r="B1320" s="8" t="s">
        <v>17</v>
      </c>
      <c r="C1320" s="8" t="s">
        <v>51</v>
      </c>
      <c r="D1320" s="8">
        <v>2014</v>
      </c>
      <c r="E1320" s="9" t="s">
        <v>664</v>
      </c>
      <c r="F1320" s="10">
        <v>41881</v>
      </c>
      <c r="G1320" s="8">
        <v>11935</v>
      </c>
      <c r="H1320" s="11" t="s">
        <v>394</v>
      </c>
      <c r="I1320" s="12">
        <v>1000</v>
      </c>
      <c r="J1320" s="13" t="s">
        <v>53</v>
      </c>
      <c r="K1320" s="13" t="s">
        <v>54</v>
      </c>
      <c r="L1320" s="13"/>
      <c r="M1320" s="13"/>
      <c r="N1320" s="14"/>
      <c r="O1320" s="14">
        <f t="shared" si="42"/>
        <v>1000</v>
      </c>
      <c r="P1320" s="15">
        <f t="shared" si="43"/>
        <v>41881</v>
      </c>
      <c r="Q1320" s="56"/>
      <c r="R1320" s="11"/>
      <c r="S1320" s="11"/>
    </row>
    <row r="1321" spans="1:19" x14ac:dyDescent="0.25">
      <c r="A1321" s="8" t="s">
        <v>16</v>
      </c>
      <c r="B1321" s="8" t="s">
        <v>17</v>
      </c>
      <c r="C1321" s="8" t="s">
        <v>51</v>
      </c>
      <c r="D1321" s="8">
        <v>2014</v>
      </c>
      <c r="E1321" s="9" t="s">
        <v>664</v>
      </c>
      <c r="F1321" s="10">
        <v>41881</v>
      </c>
      <c r="G1321" s="8">
        <v>11936</v>
      </c>
      <c r="H1321" s="11" t="s">
        <v>737</v>
      </c>
      <c r="I1321" s="12">
        <v>100</v>
      </c>
      <c r="J1321" s="13" t="s">
        <v>53</v>
      </c>
      <c r="K1321" s="13" t="s">
        <v>54</v>
      </c>
      <c r="L1321" s="13"/>
      <c r="M1321" s="13"/>
      <c r="N1321" s="14"/>
      <c r="O1321" s="14">
        <f t="shared" si="42"/>
        <v>100</v>
      </c>
      <c r="P1321" s="15">
        <f t="shared" si="43"/>
        <v>41881</v>
      </c>
      <c r="Q1321" s="56"/>
      <c r="R1321" s="11"/>
      <c r="S1321" s="11"/>
    </row>
    <row r="1322" spans="1:19" x14ac:dyDescent="0.25">
      <c r="A1322" s="8" t="s">
        <v>16</v>
      </c>
      <c r="B1322" s="8" t="s">
        <v>17</v>
      </c>
      <c r="C1322" s="8" t="s">
        <v>51</v>
      </c>
      <c r="D1322" s="8">
        <v>2014</v>
      </c>
      <c r="E1322" s="9" t="s">
        <v>664</v>
      </c>
      <c r="F1322" s="10">
        <v>41881</v>
      </c>
      <c r="G1322" s="8">
        <v>11937</v>
      </c>
      <c r="H1322" s="11" t="s">
        <v>738</v>
      </c>
      <c r="I1322" s="12">
        <v>200</v>
      </c>
      <c r="J1322" s="13" t="s">
        <v>53</v>
      </c>
      <c r="K1322" s="13" t="s">
        <v>54</v>
      </c>
      <c r="L1322" s="13"/>
      <c r="M1322" s="13"/>
      <c r="N1322" s="14"/>
      <c r="O1322" s="14">
        <f t="shared" si="42"/>
        <v>200</v>
      </c>
      <c r="P1322" s="15">
        <f t="shared" si="43"/>
        <v>41881</v>
      </c>
      <c r="Q1322" s="56"/>
      <c r="R1322" s="11"/>
      <c r="S1322" s="11"/>
    </row>
    <row r="1323" spans="1:19" x14ac:dyDescent="0.25">
      <c r="A1323" s="8" t="s">
        <v>16</v>
      </c>
      <c r="B1323" s="8" t="s">
        <v>17</v>
      </c>
      <c r="C1323" s="8" t="s">
        <v>51</v>
      </c>
      <c r="D1323" s="8">
        <v>2014</v>
      </c>
      <c r="E1323" s="9" t="s">
        <v>664</v>
      </c>
      <c r="F1323" s="10">
        <v>41881</v>
      </c>
      <c r="G1323" s="8">
        <v>11938</v>
      </c>
      <c r="H1323" s="11" t="s">
        <v>739</v>
      </c>
      <c r="I1323" s="12">
        <v>200</v>
      </c>
      <c r="J1323" s="13" t="s">
        <v>53</v>
      </c>
      <c r="K1323" s="13" t="s">
        <v>54</v>
      </c>
      <c r="L1323" s="13"/>
      <c r="M1323" s="13"/>
      <c r="N1323" s="14"/>
      <c r="O1323" s="14">
        <f t="shared" si="42"/>
        <v>200</v>
      </c>
      <c r="P1323" s="15">
        <f t="shared" si="43"/>
        <v>41881</v>
      </c>
      <c r="Q1323" s="56"/>
      <c r="R1323" s="11"/>
      <c r="S1323" s="11"/>
    </row>
    <row r="1324" spans="1:19" x14ac:dyDescent="0.25">
      <c r="A1324" s="8" t="s">
        <v>16</v>
      </c>
      <c r="B1324" s="8" t="s">
        <v>17</v>
      </c>
      <c r="C1324" s="8" t="s">
        <v>51</v>
      </c>
      <c r="D1324" s="8">
        <v>2014</v>
      </c>
      <c r="E1324" s="9" t="s">
        <v>664</v>
      </c>
      <c r="F1324" s="10">
        <v>41881</v>
      </c>
      <c r="G1324" s="8">
        <v>11939</v>
      </c>
      <c r="H1324" s="11" t="s">
        <v>740</v>
      </c>
      <c r="I1324" s="12">
        <v>2000</v>
      </c>
      <c r="J1324" s="13" t="s">
        <v>53</v>
      </c>
      <c r="K1324" s="13" t="s">
        <v>54</v>
      </c>
      <c r="L1324" s="13"/>
      <c r="M1324" s="13"/>
      <c r="N1324" s="14"/>
      <c r="O1324" s="14">
        <f t="shared" si="42"/>
        <v>2000</v>
      </c>
      <c r="P1324" s="15">
        <f t="shared" si="43"/>
        <v>41881</v>
      </c>
      <c r="Q1324" s="56"/>
      <c r="R1324" s="11"/>
      <c r="S1324" s="11"/>
    </row>
    <row r="1325" spans="1:19" x14ac:dyDescent="0.25">
      <c r="A1325" s="8" t="s">
        <v>16</v>
      </c>
      <c r="B1325" s="8" t="s">
        <v>17</v>
      </c>
      <c r="C1325" s="8" t="s">
        <v>51</v>
      </c>
      <c r="D1325" s="8">
        <v>2014</v>
      </c>
      <c r="E1325" s="9" t="s">
        <v>664</v>
      </c>
      <c r="F1325" s="10">
        <v>41881</v>
      </c>
      <c r="G1325" s="8">
        <v>11940</v>
      </c>
      <c r="H1325" s="11" t="s">
        <v>741</v>
      </c>
      <c r="I1325" s="12">
        <v>700</v>
      </c>
      <c r="J1325" s="13" t="s">
        <v>53</v>
      </c>
      <c r="K1325" s="13" t="s">
        <v>54</v>
      </c>
      <c r="L1325" s="13"/>
      <c r="M1325" s="13"/>
      <c r="N1325" s="14"/>
      <c r="O1325" s="14">
        <f t="shared" si="42"/>
        <v>700</v>
      </c>
      <c r="P1325" s="15">
        <f t="shared" si="43"/>
        <v>41881</v>
      </c>
      <c r="Q1325" s="56"/>
      <c r="R1325" s="11"/>
      <c r="S1325" s="11"/>
    </row>
    <row r="1326" spans="1:19" x14ac:dyDescent="0.25">
      <c r="A1326" s="8" t="s">
        <v>16</v>
      </c>
      <c r="B1326" s="8" t="s">
        <v>17</v>
      </c>
      <c r="C1326" s="8" t="s">
        <v>51</v>
      </c>
      <c r="D1326" s="8">
        <v>2014</v>
      </c>
      <c r="E1326" s="9" t="s">
        <v>664</v>
      </c>
      <c r="F1326" s="10">
        <v>41881</v>
      </c>
      <c r="G1326" s="8">
        <v>11942</v>
      </c>
      <c r="H1326" s="11" t="s">
        <v>742</v>
      </c>
      <c r="I1326" s="12">
        <v>100</v>
      </c>
      <c r="J1326" s="13" t="s">
        <v>53</v>
      </c>
      <c r="K1326" s="13" t="s">
        <v>54</v>
      </c>
      <c r="L1326" s="13"/>
      <c r="M1326" s="13"/>
      <c r="N1326" s="14"/>
      <c r="O1326" s="14">
        <f t="shared" si="42"/>
        <v>100</v>
      </c>
      <c r="P1326" s="15">
        <f t="shared" si="43"/>
        <v>41881</v>
      </c>
      <c r="Q1326" s="56"/>
      <c r="R1326" s="11"/>
      <c r="S1326" s="11"/>
    </row>
    <row r="1327" spans="1:19" x14ac:dyDescent="0.25">
      <c r="A1327" s="8" t="s">
        <v>16</v>
      </c>
      <c r="B1327" s="8" t="s">
        <v>17</v>
      </c>
      <c r="C1327" s="8" t="s">
        <v>51</v>
      </c>
      <c r="D1327" s="8">
        <v>2014</v>
      </c>
      <c r="E1327" s="9" t="s">
        <v>664</v>
      </c>
      <c r="F1327" s="10">
        <v>41882</v>
      </c>
      <c r="G1327" s="8">
        <v>11943</v>
      </c>
      <c r="H1327" s="11" t="s">
        <v>743</v>
      </c>
      <c r="I1327" s="12">
        <v>200</v>
      </c>
      <c r="J1327" s="13" t="s">
        <v>53</v>
      </c>
      <c r="K1327" s="13" t="s">
        <v>54</v>
      </c>
      <c r="L1327" s="13"/>
      <c r="M1327" s="13"/>
      <c r="N1327" s="14"/>
      <c r="O1327" s="14">
        <f t="shared" si="42"/>
        <v>200</v>
      </c>
      <c r="P1327" s="15">
        <f t="shared" si="43"/>
        <v>41882</v>
      </c>
      <c r="Q1327" s="56"/>
      <c r="R1327" s="11"/>
      <c r="S1327" s="11"/>
    </row>
    <row r="1328" spans="1:19" x14ac:dyDescent="0.25">
      <c r="A1328" s="8" t="s">
        <v>16</v>
      </c>
      <c r="B1328" s="8" t="s">
        <v>17</v>
      </c>
      <c r="C1328" s="8" t="s">
        <v>51</v>
      </c>
      <c r="D1328" s="8">
        <v>2014</v>
      </c>
      <c r="E1328" s="9" t="s">
        <v>664</v>
      </c>
      <c r="F1328" s="10">
        <v>41882</v>
      </c>
      <c r="G1328" s="8">
        <v>11944</v>
      </c>
      <c r="H1328" s="11" t="s">
        <v>744</v>
      </c>
      <c r="I1328" s="12">
        <v>400</v>
      </c>
      <c r="J1328" s="13" t="s">
        <v>53</v>
      </c>
      <c r="K1328" s="13" t="s">
        <v>54</v>
      </c>
      <c r="L1328" s="13"/>
      <c r="M1328" s="13"/>
      <c r="N1328" s="14"/>
      <c r="O1328" s="14">
        <f t="shared" si="42"/>
        <v>400</v>
      </c>
      <c r="P1328" s="15">
        <f t="shared" si="43"/>
        <v>41882</v>
      </c>
      <c r="Q1328" s="56"/>
      <c r="R1328" s="11"/>
      <c r="S1328" s="11"/>
    </row>
    <row r="1329" spans="1:19" x14ac:dyDescent="0.25">
      <c r="A1329" s="8" t="s">
        <v>16</v>
      </c>
      <c r="B1329" s="8" t="s">
        <v>17</v>
      </c>
      <c r="C1329" s="8" t="s">
        <v>51</v>
      </c>
      <c r="D1329" s="8">
        <v>2014</v>
      </c>
      <c r="E1329" s="9" t="s">
        <v>664</v>
      </c>
      <c r="F1329" s="10">
        <v>41882</v>
      </c>
      <c r="G1329" s="8">
        <v>11945</v>
      </c>
      <c r="H1329" s="11" t="s">
        <v>745</v>
      </c>
      <c r="I1329" s="12">
        <v>2500</v>
      </c>
      <c r="J1329" s="13" t="s">
        <v>53</v>
      </c>
      <c r="K1329" s="13" t="s">
        <v>54</v>
      </c>
      <c r="L1329" s="13"/>
      <c r="M1329" s="13"/>
      <c r="N1329" s="14"/>
      <c r="O1329" s="14">
        <f t="shared" si="42"/>
        <v>2500</v>
      </c>
      <c r="P1329" s="15">
        <f t="shared" si="43"/>
        <v>41882</v>
      </c>
      <c r="Q1329" s="56"/>
      <c r="R1329" s="11"/>
      <c r="S1329" s="11"/>
    </row>
    <row r="1330" spans="1:19" x14ac:dyDescent="0.25">
      <c r="A1330" s="8" t="s">
        <v>16</v>
      </c>
      <c r="B1330" s="8" t="s">
        <v>17</v>
      </c>
      <c r="C1330" s="8" t="s">
        <v>51</v>
      </c>
      <c r="D1330" s="8">
        <v>2014</v>
      </c>
      <c r="E1330" s="9" t="s">
        <v>664</v>
      </c>
      <c r="F1330" s="10">
        <v>41882</v>
      </c>
      <c r="G1330" s="8">
        <v>11946</v>
      </c>
      <c r="H1330" s="11" t="s">
        <v>746</v>
      </c>
      <c r="I1330" s="12">
        <v>1000</v>
      </c>
      <c r="J1330" s="13" t="s">
        <v>53</v>
      </c>
      <c r="K1330" s="13" t="s">
        <v>54</v>
      </c>
      <c r="L1330" s="13"/>
      <c r="M1330" s="13"/>
      <c r="N1330" s="14"/>
      <c r="O1330" s="14">
        <f t="shared" si="42"/>
        <v>1000</v>
      </c>
      <c r="P1330" s="15">
        <f t="shared" si="43"/>
        <v>41882</v>
      </c>
      <c r="Q1330" s="56"/>
      <c r="R1330" s="11"/>
      <c r="S1330" s="11"/>
    </row>
    <row r="1331" spans="1:19" x14ac:dyDescent="0.25">
      <c r="A1331" s="8" t="s">
        <v>16</v>
      </c>
      <c r="B1331" s="8" t="s">
        <v>17</v>
      </c>
      <c r="C1331" s="8" t="s">
        <v>51</v>
      </c>
      <c r="D1331" s="8">
        <v>2014</v>
      </c>
      <c r="E1331" s="9" t="s">
        <v>664</v>
      </c>
      <c r="F1331" s="10">
        <v>41882</v>
      </c>
      <c r="G1331" s="8">
        <v>11947</v>
      </c>
      <c r="H1331" s="11" t="s">
        <v>747</v>
      </c>
      <c r="I1331" s="12">
        <v>1500</v>
      </c>
      <c r="J1331" s="13" t="s">
        <v>53</v>
      </c>
      <c r="K1331" s="13" t="s">
        <v>54</v>
      </c>
      <c r="L1331" s="13"/>
      <c r="M1331" s="13"/>
      <c r="N1331" s="14"/>
      <c r="O1331" s="14">
        <f t="shared" si="42"/>
        <v>1500</v>
      </c>
      <c r="P1331" s="15">
        <f t="shared" si="43"/>
        <v>41882</v>
      </c>
      <c r="Q1331" s="56"/>
      <c r="R1331" s="11"/>
      <c r="S1331" s="11"/>
    </row>
    <row r="1332" spans="1:19" x14ac:dyDescent="0.25">
      <c r="A1332" s="8" t="s">
        <v>16</v>
      </c>
      <c r="B1332" s="8" t="s">
        <v>17</v>
      </c>
      <c r="C1332" s="8" t="s">
        <v>51</v>
      </c>
      <c r="D1332" s="8">
        <v>2014</v>
      </c>
      <c r="E1332" s="9" t="s">
        <v>664</v>
      </c>
      <c r="F1332" s="10">
        <v>41882</v>
      </c>
      <c r="G1332" s="8">
        <v>11929</v>
      </c>
      <c r="H1332" s="11" t="s">
        <v>730</v>
      </c>
      <c r="I1332" s="12">
        <v>16700</v>
      </c>
      <c r="J1332" s="13" t="s">
        <v>53</v>
      </c>
      <c r="K1332" s="13" t="s">
        <v>54</v>
      </c>
      <c r="L1332" s="13"/>
      <c r="M1332" s="13"/>
      <c r="N1332" s="14"/>
      <c r="O1332" s="14">
        <f t="shared" si="42"/>
        <v>16700</v>
      </c>
      <c r="P1332" s="15">
        <f t="shared" si="43"/>
        <v>41882</v>
      </c>
      <c r="Q1332" s="56"/>
      <c r="R1332" s="11"/>
      <c r="S1332" s="11"/>
    </row>
    <row r="1333" spans="1:19" x14ac:dyDescent="0.25">
      <c r="A1333" s="8" t="s">
        <v>16</v>
      </c>
      <c r="B1333" s="8" t="s">
        <v>17</v>
      </c>
      <c r="C1333" s="8" t="s">
        <v>51</v>
      </c>
      <c r="D1333" s="8">
        <v>2014</v>
      </c>
      <c r="E1333" s="9" t="s">
        <v>664</v>
      </c>
      <c r="F1333" s="10">
        <v>41882</v>
      </c>
      <c r="G1333" s="8">
        <v>11948</v>
      </c>
      <c r="H1333" s="11" t="s">
        <v>748</v>
      </c>
      <c r="I1333" s="12">
        <v>300</v>
      </c>
      <c r="J1333" s="13" t="s">
        <v>53</v>
      </c>
      <c r="K1333" s="13" t="s">
        <v>54</v>
      </c>
      <c r="L1333" s="13"/>
      <c r="M1333" s="13"/>
      <c r="N1333" s="14"/>
      <c r="O1333" s="14">
        <f t="shared" si="42"/>
        <v>300</v>
      </c>
      <c r="P1333" s="15">
        <f t="shared" si="43"/>
        <v>41882</v>
      </c>
      <c r="Q1333" s="56"/>
      <c r="R1333" s="11"/>
      <c r="S1333" s="11"/>
    </row>
    <row r="1334" spans="1:19" x14ac:dyDescent="0.25">
      <c r="A1334" s="8" t="s">
        <v>16</v>
      </c>
      <c r="B1334" s="8" t="s">
        <v>17</v>
      </c>
      <c r="C1334" s="8" t="s">
        <v>51</v>
      </c>
      <c r="D1334" s="8">
        <v>2014</v>
      </c>
      <c r="E1334" s="9" t="s">
        <v>664</v>
      </c>
      <c r="F1334" s="10">
        <v>41882</v>
      </c>
      <c r="G1334" s="8">
        <v>11949</v>
      </c>
      <c r="H1334" s="11" t="s">
        <v>749</v>
      </c>
      <c r="I1334" s="12">
        <v>100</v>
      </c>
      <c r="J1334" s="13" t="s">
        <v>53</v>
      </c>
      <c r="K1334" s="13" t="s">
        <v>54</v>
      </c>
      <c r="L1334" s="13"/>
      <c r="M1334" s="13"/>
      <c r="N1334" s="14"/>
      <c r="O1334" s="14">
        <f t="shared" si="42"/>
        <v>100</v>
      </c>
      <c r="P1334" s="15">
        <f t="shared" si="43"/>
        <v>41882</v>
      </c>
      <c r="Q1334" s="56"/>
      <c r="R1334" s="11"/>
      <c r="S1334" s="11"/>
    </row>
    <row r="1335" spans="1:19" x14ac:dyDescent="0.25">
      <c r="A1335" s="8" t="s">
        <v>16</v>
      </c>
      <c r="B1335" s="8" t="s">
        <v>17</v>
      </c>
      <c r="C1335" s="8" t="s">
        <v>51</v>
      </c>
      <c r="D1335" s="8">
        <v>2014</v>
      </c>
      <c r="E1335" s="9" t="s">
        <v>664</v>
      </c>
      <c r="F1335" s="10">
        <v>41882</v>
      </c>
      <c r="G1335" s="8">
        <v>11894</v>
      </c>
      <c r="H1335" s="11" t="s">
        <v>750</v>
      </c>
      <c r="I1335" s="12">
        <v>7000</v>
      </c>
      <c r="J1335" s="13" t="s">
        <v>53</v>
      </c>
      <c r="K1335" s="13" t="s">
        <v>54</v>
      </c>
      <c r="L1335" s="13"/>
      <c r="M1335" s="13"/>
      <c r="N1335" s="14"/>
      <c r="O1335" s="14">
        <f t="shared" si="42"/>
        <v>7000</v>
      </c>
      <c r="P1335" s="15">
        <f t="shared" si="43"/>
        <v>41882</v>
      </c>
      <c r="Q1335" s="56"/>
      <c r="R1335" s="11"/>
      <c r="S1335" s="11"/>
    </row>
    <row r="1336" spans="1:19" x14ac:dyDescent="0.25">
      <c r="A1336" s="8" t="s">
        <v>16</v>
      </c>
      <c r="B1336" s="8" t="s">
        <v>17</v>
      </c>
      <c r="C1336" s="8" t="s">
        <v>18</v>
      </c>
      <c r="D1336" s="8">
        <v>2014</v>
      </c>
      <c r="E1336" s="9" t="s">
        <v>664</v>
      </c>
      <c r="F1336" s="10">
        <v>41882</v>
      </c>
      <c r="G1336" s="8"/>
      <c r="H1336" s="11" t="s">
        <v>751</v>
      </c>
      <c r="I1336" s="12">
        <v>-7000</v>
      </c>
      <c r="J1336" s="13" t="s">
        <v>169</v>
      </c>
      <c r="K1336" s="13" t="s">
        <v>474</v>
      </c>
      <c r="L1336" s="13" t="s">
        <v>752</v>
      </c>
      <c r="M1336" s="13" t="s">
        <v>753</v>
      </c>
      <c r="N1336" s="14"/>
      <c r="O1336" s="14">
        <f t="shared" si="42"/>
        <v>-7000</v>
      </c>
      <c r="P1336" s="15">
        <f t="shared" si="43"/>
        <v>41882</v>
      </c>
      <c r="Q1336" s="15"/>
      <c r="R1336" s="16"/>
      <c r="S1336" s="16"/>
    </row>
    <row r="1337" spans="1:19" x14ac:dyDescent="0.25">
      <c r="A1337" s="8"/>
      <c r="B1337" s="8"/>
      <c r="C1337" s="8"/>
      <c r="D1337" s="8"/>
      <c r="E1337" s="9"/>
      <c r="F1337" s="8"/>
      <c r="G1337" s="8"/>
      <c r="H1337" s="11"/>
      <c r="I1337" s="12"/>
      <c r="J1337" s="13"/>
      <c r="K1337" s="13"/>
      <c r="L1337" s="13"/>
      <c r="M1337" s="13"/>
      <c r="N1337" s="14"/>
      <c r="O1337" s="14" t="e">
        <f t="shared" si="42"/>
        <v>#DIV/0!</v>
      </c>
      <c r="P1337" s="15">
        <f t="shared" si="43"/>
        <v>0</v>
      </c>
      <c r="Q1337" s="56"/>
      <c r="R1337" s="11"/>
      <c r="S1337" s="11"/>
    </row>
    <row r="1338" spans="1:19" x14ac:dyDescent="0.25">
      <c r="A1338" s="8"/>
      <c r="B1338" s="8"/>
      <c r="C1338" s="8"/>
      <c r="D1338" s="8"/>
      <c r="E1338" s="9"/>
      <c r="F1338" s="8"/>
      <c r="G1338" s="8"/>
      <c r="H1338" s="11"/>
      <c r="I1338" s="12"/>
      <c r="J1338" s="13"/>
      <c r="K1338" s="13"/>
      <c r="L1338" s="13"/>
      <c r="M1338" s="13"/>
      <c r="N1338" s="14"/>
      <c r="O1338" s="14" t="e">
        <f t="shared" si="42"/>
        <v>#DIV/0!</v>
      </c>
      <c r="P1338" s="15">
        <f t="shared" si="43"/>
        <v>0</v>
      </c>
      <c r="Q1338" s="56"/>
      <c r="R1338" s="11"/>
      <c r="S1338" s="11"/>
    </row>
    <row r="1339" spans="1:19" x14ac:dyDescent="0.25">
      <c r="A1339" s="8" t="s">
        <v>16</v>
      </c>
      <c r="B1339" s="66" t="s">
        <v>17</v>
      </c>
      <c r="C1339" s="36" t="s">
        <v>46</v>
      </c>
      <c r="D1339" s="8">
        <v>2014</v>
      </c>
      <c r="E1339" s="9" t="s">
        <v>754</v>
      </c>
      <c r="F1339" s="10">
        <v>41883</v>
      </c>
      <c r="G1339" s="8"/>
      <c r="H1339" s="11" t="s">
        <v>112</v>
      </c>
      <c r="I1339" s="12">
        <v>-7500</v>
      </c>
      <c r="J1339" s="13" t="s">
        <v>48</v>
      </c>
      <c r="K1339" s="13" t="s">
        <v>113</v>
      </c>
      <c r="L1339" s="13" t="s">
        <v>114</v>
      </c>
      <c r="M1339" s="13"/>
      <c r="N1339" s="14"/>
      <c r="O1339" s="14">
        <f t="shared" si="42"/>
        <v>-7500</v>
      </c>
      <c r="P1339" s="15">
        <f t="shared" si="43"/>
        <v>41883</v>
      </c>
      <c r="Q1339" s="56"/>
      <c r="R1339" s="11"/>
      <c r="S1339" s="11"/>
    </row>
    <row r="1340" spans="1:19" x14ac:dyDescent="0.25">
      <c r="A1340" s="8" t="s">
        <v>16</v>
      </c>
      <c r="B1340" s="66" t="s">
        <v>17</v>
      </c>
      <c r="C1340" s="8" t="s">
        <v>18</v>
      </c>
      <c r="D1340" s="8">
        <v>2014</v>
      </c>
      <c r="E1340" s="9" t="s">
        <v>754</v>
      </c>
      <c r="F1340" s="10">
        <v>41883</v>
      </c>
      <c r="G1340" s="23"/>
      <c r="H1340" s="11" t="s">
        <v>595</v>
      </c>
      <c r="I1340" s="12">
        <v>-900</v>
      </c>
      <c r="J1340" s="54" t="s">
        <v>21</v>
      </c>
      <c r="K1340" s="54" t="s">
        <v>56</v>
      </c>
      <c r="L1340" s="54" t="s">
        <v>57</v>
      </c>
      <c r="M1340" s="13" t="s">
        <v>386</v>
      </c>
      <c r="N1340" s="14"/>
      <c r="O1340" s="14">
        <f t="shared" si="42"/>
        <v>-900</v>
      </c>
      <c r="P1340" s="15">
        <f t="shared" si="43"/>
        <v>41883</v>
      </c>
      <c r="Q1340" s="56"/>
      <c r="R1340" s="11"/>
      <c r="S1340" s="11"/>
    </row>
    <row r="1341" spans="1:19" x14ac:dyDescent="0.25">
      <c r="A1341" s="23" t="s">
        <v>16</v>
      </c>
      <c r="B1341" s="23" t="s">
        <v>17</v>
      </c>
      <c r="C1341" s="23" t="s">
        <v>18</v>
      </c>
      <c r="D1341" s="8">
        <v>2014</v>
      </c>
      <c r="E1341" s="9" t="s">
        <v>754</v>
      </c>
      <c r="F1341" s="10">
        <v>41883</v>
      </c>
      <c r="G1341" s="23"/>
      <c r="H1341" s="13" t="s">
        <v>627</v>
      </c>
      <c r="I1341" s="12">
        <v>-79.5</v>
      </c>
      <c r="J1341" s="13" t="s">
        <v>21</v>
      </c>
      <c r="K1341" s="13" t="s">
        <v>22</v>
      </c>
      <c r="L1341" s="13" t="s">
        <v>71</v>
      </c>
      <c r="M1341" s="13"/>
      <c r="N1341" s="14"/>
      <c r="O1341" s="14">
        <f t="shared" si="42"/>
        <v>-79.5</v>
      </c>
      <c r="P1341" s="15">
        <f t="shared" si="43"/>
        <v>41883</v>
      </c>
      <c r="Q1341" s="56"/>
      <c r="R1341" s="11"/>
      <c r="S1341" s="11"/>
    </row>
    <row r="1342" spans="1:19" x14ac:dyDescent="0.25">
      <c r="A1342" s="8" t="s">
        <v>16</v>
      </c>
      <c r="B1342" s="8" t="s">
        <v>17</v>
      </c>
      <c r="C1342" s="8" t="s">
        <v>18</v>
      </c>
      <c r="D1342" s="8">
        <v>2014</v>
      </c>
      <c r="E1342" s="9" t="s">
        <v>754</v>
      </c>
      <c r="F1342" s="10">
        <v>41883</v>
      </c>
      <c r="G1342" s="23"/>
      <c r="H1342" s="17" t="s">
        <v>62</v>
      </c>
      <c r="I1342" s="12">
        <f>-125-990-90-907-40</f>
        <v>-2152</v>
      </c>
      <c r="J1342" s="13" t="s">
        <v>21</v>
      </c>
      <c r="K1342" s="13" t="s">
        <v>63</v>
      </c>
      <c r="L1342" s="13" t="s">
        <v>64</v>
      </c>
      <c r="M1342" s="13"/>
      <c r="N1342" s="14"/>
      <c r="O1342" s="14">
        <f t="shared" si="42"/>
        <v>-2152</v>
      </c>
      <c r="P1342" s="15">
        <f t="shared" si="43"/>
        <v>41883</v>
      </c>
      <c r="Q1342" s="56"/>
      <c r="R1342" s="11"/>
      <c r="S1342" s="11"/>
    </row>
    <row r="1343" spans="1:19" x14ac:dyDescent="0.25">
      <c r="A1343" s="8" t="s">
        <v>16</v>
      </c>
      <c r="B1343" s="8" t="s">
        <v>17</v>
      </c>
      <c r="C1343" s="8" t="s">
        <v>51</v>
      </c>
      <c r="D1343" s="8">
        <v>2014</v>
      </c>
      <c r="E1343" s="9" t="s">
        <v>754</v>
      </c>
      <c r="F1343" s="10">
        <v>41884</v>
      </c>
      <c r="G1343" s="8">
        <v>11852</v>
      </c>
      <c r="H1343" s="11" t="s">
        <v>661</v>
      </c>
      <c r="I1343" s="12">
        <v>3764</v>
      </c>
      <c r="J1343" s="13" t="s">
        <v>53</v>
      </c>
      <c r="K1343" s="13" t="s">
        <v>54</v>
      </c>
      <c r="L1343" s="13"/>
      <c r="M1343" s="13"/>
      <c r="N1343" s="14"/>
      <c r="O1343" s="14">
        <f t="shared" si="42"/>
        <v>3764</v>
      </c>
      <c r="P1343" s="15">
        <f t="shared" si="43"/>
        <v>41884</v>
      </c>
      <c r="Q1343" s="56"/>
      <c r="R1343" s="11"/>
      <c r="S1343" s="11"/>
    </row>
    <row r="1344" spans="1:19" x14ac:dyDescent="0.25">
      <c r="A1344" s="8" t="s">
        <v>16</v>
      </c>
      <c r="B1344" s="8" t="s">
        <v>17</v>
      </c>
      <c r="C1344" s="8" t="s">
        <v>51</v>
      </c>
      <c r="D1344" s="8">
        <v>2014</v>
      </c>
      <c r="E1344" s="9" t="s">
        <v>754</v>
      </c>
      <c r="F1344" s="10">
        <v>41884</v>
      </c>
      <c r="G1344" s="8">
        <v>11894</v>
      </c>
      <c r="H1344" s="11" t="s">
        <v>755</v>
      </c>
      <c r="I1344" s="12">
        <v>430</v>
      </c>
      <c r="J1344" s="13" t="s">
        <v>53</v>
      </c>
      <c r="K1344" s="13" t="s">
        <v>54</v>
      </c>
      <c r="L1344" s="13"/>
      <c r="M1344" s="13"/>
      <c r="N1344" s="14"/>
      <c r="O1344" s="14">
        <f t="shared" si="42"/>
        <v>430</v>
      </c>
      <c r="P1344" s="15">
        <f t="shared" si="43"/>
        <v>41884</v>
      </c>
      <c r="Q1344" s="56"/>
      <c r="R1344" s="11"/>
      <c r="S1344" s="11"/>
    </row>
    <row r="1345" spans="1:19" x14ac:dyDescent="0.25">
      <c r="A1345" s="8" t="s">
        <v>16</v>
      </c>
      <c r="B1345" s="8" t="s">
        <v>17</v>
      </c>
      <c r="C1345" s="8" t="s">
        <v>51</v>
      </c>
      <c r="D1345" s="8">
        <v>2014</v>
      </c>
      <c r="E1345" s="9" t="s">
        <v>754</v>
      </c>
      <c r="F1345" s="10">
        <v>41884</v>
      </c>
      <c r="G1345" s="8">
        <v>11950</v>
      </c>
      <c r="H1345" s="11" t="s">
        <v>756</v>
      </c>
      <c r="I1345" s="12">
        <v>1000</v>
      </c>
      <c r="J1345" s="13" t="s">
        <v>53</v>
      </c>
      <c r="K1345" s="13" t="s">
        <v>54</v>
      </c>
      <c r="L1345" s="13"/>
      <c r="M1345" s="13"/>
      <c r="N1345" s="14"/>
      <c r="O1345" s="14">
        <f t="shared" si="42"/>
        <v>1000</v>
      </c>
      <c r="P1345" s="15">
        <f t="shared" si="43"/>
        <v>41884</v>
      </c>
      <c r="Q1345" s="56"/>
      <c r="R1345" s="11"/>
      <c r="S1345" s="11"/>
    </row>
    <row r="1346" spans="1:19" x14ac:dyDescent="0.25">
      <c r="A1346" s="8" t="s">
        <v>16</v>
      </c>
      <c r="B1346" s="8" t="s">
        <v>17</v>
      </c>
      <c r="C1346" s="8" t="s">
        <v>51</v>
      </c>
      <c r="D1346" s="8">
        <v>2014</v>
      </c>
      <c r="E1346" s="9" t="s">
        <v>754</v>
      </c>
      <c r="F1346" s="10">
        <v>41884</v>
      </c>
      <c r="G1346" s="8">
        <v>11820</v>
      </c>
      <c r="H1346" s="11" t="s">
        <v>757</v>
      </c>
      <c r="I1346" s="12">
        <v>3000</v>
      </c>
      <c r="J1346" s="13" t="s">
        <v>53</v>
      </c>
      <c r="K1346" s="13" t="s">
        <v>54</v>
      </c>
      <c r="L1346" s="13"/>
      <c r="M1346" s="13"/>
      <c r="N1346" s="14"/>
      <c r="O1346" s="14">
        <f t="shared" si="42"/>
        <v>3000</v>
      </c>
      <c r="P1346" s="15">
        <f t="shared" si="43"/>
        <v>41884</v>
      </c>
      <c r="Q1346" s="56"/>
      <c r="R1346" s="11"/>
      <c r="S1346" s="11"/>
    </row>
    <row r="1347" spans="1:19" x14ac:dyDescent="0.25">
      <c r="A1347" s="8" t="s">
        <v>16</v>
      </c>
      <c r="B1347" s="8" t="s">
        <v>17</v>
      </c>
      <c r="C1347" s="8" t="s">
        <v>51</v>
      </c>
      <c r="D1347" s="8">
        <v>2014</v>
      </c>
      <c r="E1347" s="9" t="s">
        <v>754</v>
      </c>
      <c r="F1347" s="10">
        <v>41884</v>
      </c>
      <c r="G1347" s="8">
        <v>11951</v>
      </c>
      <c r="H1347" s="11" t="s">
        <v>758</v>
      </c>
      <c r="I1347" s="12">
        <v>900</v>
      </c>
      <c r="J1347" s="13" t="s">
        <v>53</v>
      </c>
      <c r="K1347" s="13" t="s">
        <v>54</v>
      </c>
      <c r="L1347" s="13"/>
      <c r="M1347" s="13"/>
      <c r="N1347" s="14"/>
      <c r="O1347" s="14">
        <f t="shared" ref="O1347:O1398" si="44">IF(B1347="$",I1347,I1347/N1347)</f>
        <v>900</v>
      </c>
      <c r="P1347" s="15">
        <f t="shared" si="43"/>
        <v>41884</v>
      </c>
      <c r="Q1347" s="56"/>
      <c r="R1347" s="11"/>
      <c r="S1347" s="11"/>
    </row>
    <row r="1348" spans="1:19" x14ac:dyDescent="0.25">
      <c r="A1348" s="8" t="s">
        <v>16</v>
      </c>
      <c r="B1348" s="8" t="s">
        <v>17</v>
      </c>
      <c r="C1348" s="8" t="s">
        <v>51</v>
      </c>
      <c r="D1348" s="8">
        <v>2014</v>
      </c>
      <c r="E1348" s="9" t="s">
        <v>754</v>
      </c>
      <c r="F1348" s="10">
        <v>41884</v>
      </c>
      <c r="G1348" s="8">
        <v>11908</v>
      </c>
      <c r="H1348" s="11" t="s">
        <v>696</v>
      </c>
      <c r="I1348" s="12">
        <v>1500</v>
      </c>
      <c r="J1348" s="13" t="s">
        <v>53</v>
      </c>
      <c r="K1348" s="13" t="s">
        <v>54</v>
      </c>
      <c r="L1348" s="13"/>
      <c r="M1348" s="13"/>
      <c r="N1348" s="14"/>
      <c r="O1348" s="14">
        <f t="shared" si="44"/>
        <v>1500</v>
      </c>
      <c r="P1348" s="15">
        <f t="shared" si="43"/>
        <v>41884</v>
      </c>
      <c r="Q1348" s="56"/>
      <c r="R1348" s="11"/>
      <c r="S1348" s="11"/>
    </row>
    <row r="1349" spans="1:19" x14ac:dyDescent="0.25">
      <c r="A1349" s="8" t="s">
        <v>16</v>
      </c>
      <c r="B1349" s="8" t="s">
        <v>17</v>
      </c>
      <c r="C1349" s="8" t="s">
        <v>46</v>
      </c>
      <c r="D1349" s="80">
        <v>2014</v>
      </c>
      <c r="E1349" s="9" t="s">
        <v>754</v>
      </c>
      <c r="F1349" s="10">
        <v>41884</v>
      </c>
      <c r="G1349" s="8"/>
      <c r="H1349" s="81" t="s">
        <v>87</v>
      </c>
      <c r="I1349" s="82">
        <v>-25000</v>
      </c>
      <c r="J1349" s="33" t="s">
        <v>68</v>
      </c>
      <c r="K1349" s="83"/>
      <c r="L1349" s="83"/>
      <c r="M1349" s="33"/>
      <c r="N1349" s="71"/>
      <c r="O1349" s="14">
        <f t="shared" si="44"/>
        <v>-25000</v>
      </c>
      <c r="P1349" s="15">
        <f t="shared" si="43"/>
        <v>41884</v>
      </c>
      <c r="Q1349" s="56"/>
      <c r="R1349" s="11"/>
      <c r="S1349" s="11"/>
    </row>
    <row r="1350" spans="1:19" x14ac:dyDescent="0.25">
      <c r="A1350" s="8" t="s">
        <v>16</v>
      </c>
      <c r="B1350" s="66" t="s">
        <v>17</v>
      </c>
      <c r="C1350" s="8" t="s">
        <v>18</v>
      </c>
      <c r="D1350" s="8">
        <v>2014</v>
      </c>
      <c r="E1350" s="9" t="s">
        <v>754</v>
      </c>
      <c r="F1350" s="10">
        <v>41884</v>
      </c>
      <c r="G1350" s="23"/>
      <c r="H1350" s="11" t="s">
        <v>595</v>
      </c>
      <c r="I1350" s="12">
        <v>-850</v>
      </c>
      <c r="J1350" s="54" t="s">
        <v>21</v>
      </c>
      <c r="K1350" s="54" t="s">
        <v>56</v>
      </c>
      <c r="L1350" s="54" t="s">
        <v>57</v>
      </c>
      <c r="M1350" s="13" t="s">
        <v>386</v>
      </c>
      <c r="N1350" s="14"/>
      <c r="O1350" s="14">
        <f t="shared" si="44"/>
        <v>-850</v>
      </c>
      <c r="P1350" s="15">
        <f t="shared" si="43"/>
        <v>41884</v>
      </c>
      <c r="Q1350" s="56"/>
      <c r="R1350" s="11"/>
      <c r="S1350" s="11"/>
    </row>
    <row r="1351" spans="1:19" x14ac:dyDescent="0.25">
      <c r="A1351" s="23" t="s">
        <v>16</v>
      </c>
      <c r="B1351" s="23" t="s">
        <v>17</v>
      </c>
      <c r="C1351" s="23" t="s">
        <v>18</v>
      </c>
      <c r="D1351" s="8">
        <v>2014</v>
      </c>
      <c r="E1351" s="9" t="s">
        <v>754</v>
      </c>
      <c r="F1351" s="10">
        <v>41884</v>
      </c>
      <c r="G1351" s="8"/>
      <c r="H1351" s="11" t="s">
        <v>340</v>
      </c>
      <c r="I1351" s="12">
        <v>-410</v>
      </c>
      <c r="J1351" s="13" t="s">
        <v>21</v>
      </c>
      <c r="K1351" s="13" t="s">
        <v>56</v>
      </c>
      <c r="L1351" s="13" t="s">
        <v>57</v>
      </c>
      <c r="M1351" s="13"/>
      <c r="N1351" s="14"/>
      <c r="O1351" s="14">
        <f t="shared" si="44"/>
        <v>-410</v>
      </c>
      <c r="P1351" s="15">
        <f t="shared" si="43"/>
        <v>41884</v>
      </c>
      <c r="Q1351" s="56"/>
      <c r="R1351" s="11"/>
      <c r="S1351" s="11"/>
    </row>
    <row r="1352" spans="1:19" x14ac:dyDescent="0.25">
      <c r="A1352" s="8" t="s">
        <v>16</v>
      </c>
      <c r="B1352" s="8" t="s">
        <v>17</v>
      </c>
      <c r="C1352" s="8" t="s">
        <v>51</v>
      </c>
      <c r="D1352" s="8">
        <v>2014</v>
      </c>
      <c r="E1352" s="9" t="s">
        <v>754</v>
      </c>
      <c r="F1352" s="10">
        <v>41885</v>
      </c>
      <c r="G1352" s="8">
        <v>11903</v>
      </c>
      <c r="H1352" s="11" t="s">
        <v>759</v>
      </c>
      <c r="I1352" s="12">
        <v>1650</v>
      </c>
      <c r="J1352" s="13" t="s">
        <v>53</v>
      </c>
      <c r="K1352" s="13" t="s">
        <v>54</v>
      </c>
      <c r="L1352" s="13"/>
      <c r="M1352" s="13"/>
      <c r="N1352" s="14"/>
      <c r="O1352" s="14">
        <f t="shared" si="44"/>
        <v>1650</v>
      </c>
      <c r="P1352" s="15">
        <f t="shared" si="43"/>
        <v>41885</v>
      </c>
      <c r="Q1352" s="56"/>
      <c r="R1352" s="11"/>
      <c r="S1352" s="11"/>
    </row>
    <row r="1353" spans="1:19" x14ac:dyDescent="0.25">
      <c r="A1353" s="8" t="s">
        <v>16</v>
      </c>
      <c r="B1353" s="8" t="s">
        <v>17</v>
      </c>
      <c r="C1353" s="8" t="s">
        <v>51</v>
      </c>
      <c r="D1353" s="8">
        <v>2014</v>
      </c>
      <c r="E1353" s="9" t="s">
        <v>754</v>
      </c>
      <c r="F1353" s="10">
        <v>41885</v>
      </c>
      <c r="G1353" s="8">
        <v>11796</v>
      </c>
      <c r="H1353" s="11" t="s">
        <v>760</v>
      </c>
      <c r="I1353" s="12">
        <v>14900</v>
      </c>
      <c r="J1353" s="13" t="s">
        <v>53</v>
      </c>
      <c r="K1353" s="13" t="s">
        <v>54</v>
      </c>
      <c r="L1353" s="13"/>
      <c r="M1353" s="13"/>
      <c r="N1353" s="14"/>
      <c r="O1353" s="14">
        <f t="shared" si="44"/>
        <v>14900</v>
      </c>
      <c r="P1353" s="15">
        <f t="shared" si="43"/>
        <v>41885</v>
      </c>
      <c r="Q1353" s="56"/>
      <c r="R1353" s="11"/>
      <c r="S1353" s="11"/>
    </row>
    <row r="1354" spans="1:19" x14ac:dyDescent="0.25">
      <c r="A1354" s="8" t="s">
        <v>16</v>
      </c>
      <c r="B1354" s="8" t="s">
        <v>17</v>
      </c>
      <c r="C1354" s="8" t="s">
        <v>51</v>
      </c>
      <c r="D1354" s="8">
        <v>2014</v>
      </c>
      <c r="E1354" s="9" t="s">
        <v>754</v>
      </c>
      <c r="F1354" s="10">
        <v>41885</v>
      </c>
      <c r="G1354" s="8">
        <v>11910</v>
      </c>
      <c r="H1354" s="11" t="s">
        <v>638</v>
      </c>
      <c r="I1354" s="12">
        <v>20000</v>
      </c>
      <c r="J1354" s="13" t="s">
        <v>53</v>
      </c>
      <c r="K1354" s="13" t="s">
        <v>54</v>
      </c>
      <c r="L1354" s="13"/>
      <c r="M1354" s="13"/>
      <c r="N1354" s="14"/>
      <c r="O1354" s="14">
        <f t="shared" si="44"/>
        <v>20000</v>
      </c>
      <c r="P1354" s="15">
        <f t="shared" si="43"/>
        <v>41885</v>
      </c>
      <c r="Q1354" s="56"/>
      <c r="R1354" s="11"/>
      <c r="S1354" s="11"/>
    </row>
    <row r="1355" spans="1:19" x14ac:dyDescent="0.25">
      <c r="A1355" s="8" t="s">
        <v>16</v>
      </c>
      <c r="B1355" s="8" t="s">
        <v>17</v>
      </c>
      <c r="C1355" s="8" t="s">
        <v>51</v>
      </c>
      <c r="D1355" s="8">
        <v>2014</v>
      </c>
      <c r="E1355" s="9" t="s">
        <v>754</v>
      </c>
      <c r="F1355" s="10">
        <v>41885</v>
      </c>
      <c r="G1355" s="8">
        <v>11930</v>
      </c>
      <c r="H1355" s="11" t="s">
        <v>761</v>
      </c>
      <c r="I1355" s="12">
        <v>12000</v>
      </c>
      <c r="J1355" s="13" t="s">
        <v>53</v>
      </c>
      <c r="K1355" s="13" t="s">
        <v>54</v>
      </c>
      <c r="L1355" s="13"/>
      <c r="M1355" s="13"/>
      <c r="N1355" s="14"/>
      <c r="O1355" s="14">
        <f t="shared" si="44"/>
        <v>12000</v>
      </c>
      <c r="P1355" s="15">
        <f t="shared" si="43"/>
        <v>41885</v>
      </c>
      <c r="Q1355" s="56"/>
      <c r="R1355" s="11"/>
      <c r="S1355" s="11"/>
    </row>
    <row r="1356" spans="1:19" x14ac:dyDescent="0.25">
      <c r="A1356" s="23" t="s">
        <v>16</v>
      </c>
      <c r="B1356" s="23" t="s">
        <v>17</v>
      </c>
      <c r="C1356" s="36" t="s">
        <v>46</v>
      </c>
      <c r="D1356" s="8">
        <v>2014</v>
      </c>
      <c r="E1356" s="9" t="s">
        <v>754</v>
      </c>
      <c r="F1356" s="10">
        <v>41885</v>
      </c>
      <c r="G1356" s="23"/>
      <c r="H1356" s="17" t="s">
        <v>660</v>
      </c>
      <c r="I1356" s="12">
        <v>-5000</v>
      </c>
      <c r="J1356" s="13" t="s">
        <v>48</v>
      </c>
      <c r="K1356" s="13" t="s">
        <v>326</v>
      </c>
      <c r="L1356" s="13"/>
      <c r="M1356" s="13" t="s">
        <v>226</v>
      </c>
      <c r="N1356" s="14"/>
      <c r="O1356" s="14">
        <f t="shared" si="44"/>
        <v>-5000</v>
      </c>
      <c r="P1356" s="15">
        <f t="shared" si="43"/>
        <v>41885</v>
      </c>
      <c r="Q1356" s="56"/>
      <c r="R1356" s="11"/>
      <c r="S1356" s="11"/>
    </row>
    <row r="1357" spans="1:19" x14ac:dyDescent="0.25">
      <c r="A1357" s="8" t="s">
        <v>16</v>
      </c>
      <c r="B1357" s="66" t="s">
        <v>17</v>
      </c>
      <c r="C1357" s="8" t="s">
        <v>18</v>
      </c>
      <c r="D1357" s="8">
        <v>2014</v>
      </c>
      <c r="E1357" s="9" t="s">
        <v>754</v>
      </c>
      <c r="F1357" s="10">
        <v>41885</v>
      </c>
      <c r="G1357" s="8"/>
      <c r="H1357" s="13" t="s">
        <v>153</v>
      </c>
      <c r="I1357" s="12">
        <v>-395</v>
      </c>
      <c r="J1357" s="13" t="s">
        <v>33</v>
      </c>
      <c r="K1357" s="13" t="s">
        <v>34</v>
      </c>
      <c r="L1357" s="13" t="s">
        <v>76</v>
      </c>
      <c r="M1357" s="13"/>
      <c r="N1357" s="14"/>
      <c r="O1357" s="14">
        <f t="shared" si="44"/>
        <v>-395</v>
      </c>
      <c r="P1357" s="15">
        <f t="shared" si="43"/>
        <v>41885</v>
      </c>
      <c r="Q1357" s="56"/>
      <c r="R1357" s="11"/>
      <c r="S1357" s="11"/>
    </row>
    <row r="1358" spans="1:19" x14ac:dyDescent="0.25">
      <c r="A1358" s="8" t="s">
        <v>16</v>
      </c>
      <c r="B1358" s="8" t="s">
        <v>17</v>
      </c>
      <c r="C1358" s="8" t="s">
        <v>18</v>
      </c>
      <c r="D1358" s="8">
        <v>2014</v>
      </c>
      <c r="E1358" s="9" t="s">
        <v>754</v>
      </c>
      <c r="F1358" s="10">
        <v>41885</v>
      </c>
      <c r="G1358" s="23"/>
      <c r="H1358" s="17" t="s">
        <v>62</v>
      </c>
      <c r="I1358" s="12">
        <f>-900-18-140</f>
        <v>-1058</v>
      </c>
      <c r="J1358" s="13" t="s">
        <v>21</v>
      </c>
      <c r="K1358" s="13" t="s">
        <v>63</v>
      </c>
      <c r="L1358" s="13" t="s">
        <v>64</v>
      </c>
      <c r="M1358" s="13"/>
      <c r="N1358" s="14"/>
      <c r="O1358" s="14">
        <f t="shared" si="44"/>
        <v>-1058</v>
      </c>
      <c r="P1358" s="15">
        <f t="shared" si="43"/>
        <v>41885</v>
      </c>
      <c r="Q1358" s="56"/>
      <c r="R1358" s="11"/>
      <c r="S1358" s="11"/>
    </row>
    <row r="1359" spans="1:19" x14ac:dyDescent="0.25">
      <c r="A1359" s="23" t="s">
        <v>16</v>
      </c>
      <c r="B1359" s="23" t="s">
        <v>17</v>
      </c>
      <c r="C1359" s="23" t="s">
        <v>18</v>
      </c>
      <c r="D1359" s="8">
        <v>2014</v>
      </c>
      <c r="E1359" s="9" t="s">
        <v>754</v>
      </c>
      <c r="F1359" s="10">
        <v>41885</v>
      </c>
      <c r="G1359" s="8"/>
      <c r="H1359" s="11" t="s">
        <v>399</v>
      </c>
      <c r="I1359" s="12">
        <f>-62-120</f>
        <v>-182</v>
      </c>
      <c r="J1359" s="13" t="s">
        <v>21</v>
      </c>
      <c r="K1359" s="13" t="s">
        <v>56</v>
      </c>
      <c r="L1359" s="13" t="s">
        <v>111</v>
      </c>
      <c r="M1359" s="13" t="s">
        <v>28</v>
      </c>
      <c r="N1359" s="31"/>
      <c r="O1359" s="14">
        <f t="shared" si="44"/>
        <v>-182</v>
      </c>
      <c r="P1359" s="15">
        <f t="shared" si="43"/>
        <v>41885</v>
      </c>
      <c r="Q1359" s="56"/>
      <c r="R1359" s="11"/>
      <c r="S1359" s="11"/>
    </row>
    <row r="1360" spans="1:19" x14ac:dyDescent="0.25">
      <c r="A1360" s="23" t="s">
        <v>16</v>
      </c>
      <c r="B1360" s="23" t="s">
        <v>17</v>
      </c>
      <c r="C1360" s="23" t="s">
        <v>18</v>
      </c>
      <c r="D1360" s="8">
        <v>2014</v>
      </c>
      <c r="E1360" s="9" t="s">
        <v>754</v>
      </c>
      <c r="F1360" s="10">
        <v>41885</v>
      </c>
      <c r="G1360" s="23"/>
      <c r="H1360" s="13" t="s">
        <v>233</v>
      </c>
      <c r="I1360" s="12">
        <v>-60</v>
      </c>
      <c r="J1360" s="13" t="s">
        <v>21</v>
      </c>
      <c r="K1360" s="13" t="s">
        <v>22</v>
      </c>
      <c r="L1360" s="13" t="s">
        <v>121</v>
      </c>
      <c r="M1360" s="13"/>
      <c r="N1360" s="31"/>
      <c r="O1360" s="14">
        <f t="shared" si="44"/>
        <v>-60</v>
      </c>
      <c r="P1360" s="15">
        <f t="shared" si="43"/>
        <v>41885</v>
      </c>
      <c r="Q1360" s="56"/>
      <c r="R1360" s="11"/>
      <c r="S1360" s="11"/>
    </row>
    <row r="1361" spans="1:19" x14ac:dyDescent="0.25">
      <c r="A1361" s="8" t="s">
        <v>16</v>
      </c>
      <c r="B1361" s="66" t="s">
        <v>17</v>
      </c>
      <c r="C1361" s="8" t="s">
        <v>18</v>
      </c>
      <c r="D1361" s="8">
        <v>2014</v>
      </c>
      <c r="E1361" s="9" t="s">
        <v>754</v>
      </c>
      <c r="F1361" s="10">
        <v>41885</v>
      </c>
      <c r="G1361" s="23"/>
      <c r="H1361" s="11" t="s">
        <v>595</v>
      </c>
      <c r="I1361" s="12">
        <v>-750</v>
      </c>
      <c r="J1361" s="54" t="s">
        <v>21</v>
      </c>
      <c r="K1361" s="54" t="s">
        <v>56</v>
      </c>
      <c r="L1361" s="54" t="s">
        <v>57</v>
      </c>
      <c r="M1361" s="13" t="s">
        <v>386</v>
      </c>
      <c r="N1361" s="14"/>
      <c r="O1361" s="14">
        <f t="shared" si="44"/>
        <v>-750</v>
      </c>
      <c r="P1361" s="15">
        <f t="shared" si="43"/>
        <v>41885</v>
      </c>
      <c r="Q1361" s="56"/>
      <c r="R1361" s="11"/>
      <c r="S1361" s="11"/>
    </row>
    <row r="1362" spans="1:19" x14ac:dyDescent="0.25">
      <c r="A1362" s="23" t="s">
        <v>16</v>
      </c>
      <c r="B1362" s="23" t="s">
        <v>17</v>
      </c>
      <c r="C1362" s="23" t="s">
        <v>18</v>
      </c>
      <c r="D1362" s="8">
        <v>2014</v>
      </c>
      <c r="E1362" s="9" t="s">
        <v>754</v>
      </c>
      <c r="F1362" s="10">
        <v>41885</v>
      </c>
      <c r="G1362" s="8"/>
      <c r="H1362" s="11" t="s">
        <v>340</v>
      </c>
      <c r="I1362" s="12">
        <v>-590</v>
      </c>
      <c r="J1362" s="13" t="s">
        <v>21</v>
      </c>
      <c r="K1362" s="13" t="s">
        <v>56</v>
      </c>
      <c r="L1362" s="13" t="s">
        <v>57</v>
      </c>
      <c r="M1362" s="13"/>
      <c r="N1362" s="14"/>
      <c r="O1362" s="14">
        <f t="shared" si="44"/>
        <v>-590</v>
      </c>
      <c r="P1362" s="15">
        <f t="shared" si="43"/>
        <v>41885</v>
      </c>
      <c r="Q1362" s="56"/>
      <c r="R1362" s="11"/>
      <c r="S1362" s="11"/>
    </row>
    <row r="1363" spans="1:19" x14ac:dyDescent="0.25">
      <c r="A1363" s="8" t="s">
        <v>16</v>
      </c>
      <c r="B1363" s="8" t="s">
        <v>17</v>
      </c>
      <c r="C1363" s="8" t="s">
        <v>51</v>
      </c>
      <c r="D1363" s="8">
        <v>2014</v>
      </c>
      <c r="E1363" s="9" t="s">
        <v>754</v>
      </c>
      <c r="F1363" s="10">
        <v>41886</v>
      </c>
      <c r="G1363" s="8">
        <v>11939</v>
      </c>
      <c r="H1363" s="11" t="s">
        <v>762</v>
      </c>
      <c r="I1363" s="12">
        <v>17000</v>
      </c>
      <c r="J1363" s="13" t="s">
        <v>53</v>
      </c>
      <c r="K1363" s="13" t="s">
        <v>54</v>
      </c>
      <c r="L1363" s="13"/>
      <c r="M1363" s="13"/>
      <c r="N1363" s="14"/>
      <c r="O1363" s="14">
        <f t="shared" si="44"/>
        <v>17000</v>
      </c>
      <c r="P1363" s="15">
        <f t="shared" si="43"/>
        <v>41886</v>
      </c>
      <c r="Q1363" s="56"/>
      <c r="R1363" s="11"/>
      <c r="S1363" s="11"/>
    </row>
    <row r="1364" spans="1:19" x14ac:dyDescent="0.25">
      <c r="A1364" s="8" t="s">
        <v>16</v>
      </c>
      <c r="B1364" s="8" t="s">
        <v>17</v>
      </c>
      <c r="C1364" s="8" t="s">
        <v>51</v>
      </c>
      <c r="D1364" s="8">
        <v>2014</v>
      </c>
      <c r="E1364" s="9" t="s">
        <v>754</v>
      </c>
      <c r="F1364" s="10">
        <v>41886</v>
      </c>
      <c r="G1364" s="8">
        <v>11875</v>
      </c>
      <c r="H1364" s="11" t="s">
        <v>658</v>
      </c>
      <c r="I1364" s="12">
        <v>950</v>
      </c>
      <c r="J1364" s="13" t="s">
        <v>53</v>
      </c>
      <c r="K1364" s="13" t="s">
        <v>54</v>
      </c>
      <c r="L1364" s="13"/>
      <c r="M1364" s="13"/>
      <c r="N1364" s="14"/>
      <c r="O1364" s="14">
        <f t="shared" si="44"/>
        <v>950</v>
      </c>
      <c r="P1364" s="15">
        <f t="shared" si="43"/>
        <v>41886</v>
      </c>
      <c r="Q1364" s="56"/>
      <c r="R1364" s="11"/>
      <c r="S1364" s="11"/>
    </row>
    <row r="1365" spans="1:19" x14ac:dyDescent="0.25">
      <c r="A1365" s="8" t="s">
        <v>16</v>
      </c>
      <c r="B1365" s="8" t="s">
        <v>17</v>
      </c>
      <c r="C1365" s="8" t="s">
        <v>51</v>
      </c>
      <c r="D1365" s="8">
        <v>2014</v>
      </c>
      <c r="E1365" s="9" t="s">
        <v>754</v>
      </c>
      <c r="F1365" s="10">
        <v>41886</v>
      </c>
      <c r="G1365" s="8">
        <v>11891</v>
      </c>
      <c r="H1365" s="11" t="s">
        <v>763</v>
      </c>
      <c r="I1365" s="12">
        <v>200</v>
      </c>
      <c r="J1365" s="13" t="s">
        <v>53</v>
      </c>
      <c r="K1365" s="13" t="s">
        <v>54</v>
      </c>
      <c r="L1365" s="13"/>
      <c r="M1365" s="13"/>
      <c r="N1365" s="14"/>
      <c r="O1365" s="14">
        <f t="shared" si="44"/>
        <v>200</v>
      </c>
      <c r="P1365" s="15">
        <f t="shared" si="43"/>
        <v>41886</v>
      </c>
      <c r="Q1365" s="56"/>
      <c r="R1365" s="11"/>
      <c r="S1365" s="11"/>
    </row>
    <row r="1366" spans="1:19" x14ac:dyDescent="0.25">
      <c r="A1366" s="8" t="s">
        <v>16</v>
      </c>
      <c r="B1366" s="66" t="s">
        <v>17</v>
      </c>
      <c r="C1366" s="8" t="s">
        <v>18</v>
      </c>
      <c r="D1366" s="8">
        <v>2014</v>
      </c>
      <c r="E1366" s="9" t="s">
        <v>754</v>
      </c>
      <c r="F1366" s="10">
        <v>41886</v>
      </c>
      <c r="G1366" s="23"/>
      <c r="H1366" s="11" t="s">
        <v>595</v>
      </c>
      <c r="I1366" s="12">
        <v>-1000</v>
      </c>
      <c r="J1366" s="54" t="s">
        <v>21</v>
      </c>
      <c r="K1366" s="54" t="s">
        <v>56</v>
      </c>
      <c r="L1366" s="54" t="s">
        <v>57</v>
      </c>
      <c r="M1366" s="13" t="s">
        <v>386</v>
      </c>
      <c r="N1366" s="14"/>
      <c r="O1366" s="14">
        <f t="shared" si="44"/>
        <v>-1000</v>
      </c>
      <c r="P1366" s="15">
        <f t="shared" ref="P1366:P1398" si="45">F1366</f>
        <v>41886</v>
      </c>
      <c r="Q1366" s="56"/>
      <c r="R1366" s="11"/>
      <c r="S1366" s="11"/>
    </row>
    <row r="1367" spans="1:19" x14ac:dyDescent="0.25">
      <c r="A1367" s="23" t="s">
        <v>16</v>
      </c>
      <c r="B1367" s="23" t="s">
        <v>17</v>
      </c>
      <c r="C1367" s="23" t="s">
        <v>18</v>
      </c>
      <c r="D1367" s="8">
        <v>2014</v>
      </c>
      <c r="E1367" s="9" t="s">
        <v>754</v>
      </c>
      <c r="F1367" s="10">
        <v>41886</v>
      </c>
      <c r="G1367" s="8"/>
      <c r="H1367" s="11" t="s">
        <v>377</v>
      </c>
      <c r="I1367" s="12">
        <v>-500</v>
      </c>
      <c r="J1367" s="13" t="s">
        <v>21</v>
      </c>
      <c r="K1367" s="13" t="s">
        <v>56</v>
      </c>
      <c r="L1367" s="13" t="s">
        <v>111</v>
      </c>
      <c r="M1367" s="13" t="s">
        <v>28</v>
      </c>
      <c r="N1367" s="14"/>
      <c r="O1367" s="14">
        <f t="shared" si="44"/>
        <v>-500</v>
      </c>
      <c r="P1367" s="15">
        <f t="shared" si="45"/>
        <v>41886</v>
      </c>
      <c r="Q1367" s="56"/>
      <c r="R1367" s="11"/>
      <c r="S1367" s="11"/>
    </row>
    <row r="1368" spans="1:19" x14ac:dyDescent="0.25">
      <c r="A1368" s="23" t="s">
        <v>16</v>
      </c>
      <c r="B1368" s="65" t="s">
        <v>17</v>
      </c>
      <c r="C1368" s="23" t="s">
        <v>18</v>
      </c>
      <c r="D1368" s="8">
        <v>2014</v>
      </c>
      <c r="E1368" s="9" t="s">
        <v>754</v>
      </c>
      <c r="F1368" s="10">
        <v>41886</v>
      </c>
      <c r="G1368" s="23"/>
      <c r="H1368" s="13" t="s">
        <v>122</v>
      </c>
      <c r="I1368" s="12">
        <v>-10000</v>
      </c>
      <c r="J1368" s="13" t="s">
        <v>33</v>
      </c>
      <c r="K1368" s="13" t="s">
        <v>123</v>
      </c>
      <c r="L1368" s="13" t="s">
        <v>124</v>
      </c>
      <c r="M1368" s="25" t="s">
        <v>125</v>
      </c>
      <c r="N1368" s="31"/>
      <c r="O1368" s="14">
        <f t="shared" si="44"/>
        <v>-10000</v>
      </c>
      <c r="P1368" s="15">
        <f t="shared" si="45"/>
        <v>41886</v>
      </c>
      <c r="Q1368" s="56"/>
      <c r="R1368" s="11"/>
      <c r="S1368" s="11"/>
    </row>
    <row r="1369" spans="1:19" x14ac:dyDescent="0.25">
      <c r="A1369" s="8" t="s">
        <v>16</v>
      </c>
      <c r="B1369" s="8" t="s">
        <v>17</v>
      </c>
      <c r="C1369" s="8" t="s">
        <v>46</v>
      </c>
      <c r="D1369" s="80">
        <v>2014</v>
      </c>
      <c r="E1369" s="9" t="s">
        <v>754</v>
      </c>
      <c r="F1369" s="10">
        <v>41886</v>
      </c>
      <c r="G1369" s="8"/>
      <c r="H1369" s="81" t="s">
        <v>87</v>
      </c>
      <c r="I1369" s="82">
        <v>-30000</v>
      </c>
      <c r="J1369" s="33" t="s">
        <v>68</v>
      </c>
      <c r="K1369" s="83"/>
      <c r="L1369" s="83"/>
      <c r="M1369" s="33"/>
      <c r="N1369" s="71"/>
      <c r="O1369" s="14">
        <f t="shared" si="44"/>
        <v>-30000</v>
      </c>
      <c r="P1369" s="15">
        <f t="shared" si="45"/>
        <v>41886</v>
      </c>
      <c r="Q1369" s="56"/>
      <c r="R1369" s="11"/>
      <c r="S1369" s="11"/>
    </row>
    <row r="1370" spans="1:19" x14ac:dyDescent="0.25">
      <c r="A1370" s="8" t="s">
        <v>16</v>
      </c>
      <c r="B1370" s="8" t="s">
        <v>17</v>
      </c>
      <c r="C1370" s="8" t="s">
        <v>18</v>
      </c>
      <c r="D1370" s="8">
        <v>2014</v>
      </c>
      <c r="E1370" s="9" t="s">
        <v>754</v>
      </c>
      <c r="F1370" s="10">
        <v>41886</v>
      </c>
      <c r="G1370" s="23"/>
      <c r="H1370" s="13" t="s">
        <v>643</v>
      </c>
      <c r="I1370" s="12">
        <v>-200</v>
      </c>
      <c r="J1370" s="13" t="s">
        <v>21</v>
      </c>
      <c r="K1370" s="13" t="s">
        <v>22</v>
      </c>
      <c r="L1370" s="13" t="s">
        <v>23</v>
      </c>
      <c r="M1370" s="13"/>
      <c r="N1370" s="31"/>
      <c r="O1370" s="14">
        <f t="shared" si="44"/>
        <v>-200</v>
      </c>
      <c r="P1370" s="15">
        <f t="shared" si="45"/>
        <v>41886</v>
      </c>
      <c r="Q1370" s="56"/>
      <c r="R1370" s="11"/>
      <c r="S1370" s="11"/>
    </row>
    <row r="1371" spans="1:19" x14ac:dyDescent="0.25">
      <c r="A1371" s="8" t="s">
        <v>16</v>
      </c>
      <c r="B1371" s="8" t="s">
        <v>17</v>
      </c>
      <c r="C1371" s="8" t="s">
        <v>18</v>
      </c>
      <c r="D1371" s="8">
        <v>2014</v>
      </c>
      <c r="E1371" s="9" t="s">
        <v>754</v>
      </c>
      <c r="F1371" s="10">
        <v>41886</v>
      </c>
      <c r="G1371" s="23"/>
      <c r="H1371" s="13" t="s">
        <v>642</v>
      </c>
      <c r="I1371" s="12">
        <v>-200</v>
      </c>
      <c r="J1371" s="13" t="s">
        <v>21</v>
      </c>
      <c r="K1371" s="13" t="s">
        <v>22</v>
      </c>
      <c r="L1371" s="13" t="s">
        <v>23</v>
      </c>
      <c r="M1371" s="13"/>
      <c r="N1371" s="31"/>
      <c r="O1371" s="14">
        <f t="shared" si="44"/>
        <v>-200</v>
      </c>
      <c r="P1371" s="15">
        <f t="shared" si="45"/>
        <v>41886</v>
      </c>
      <c r="Q1371" s="56"/>
      <c r="R1371" s="11"/>
      <c r="S1371" s="11"/>
    </row>
    <row r="1372" spans="1:19" x14ac:dyDescent="0.25">
      <c r="A1372" s="8" t="s">
        <v>16</v>
      </c>
      <c r="B1372" s="40" t="s">
        <v>17</v>
      </c>
      <c r="C1372" s="8" t="s">
        <v>18</v>
      </c>
      <c r="D1372" s="8">
        <v>2014</v>
      </c>
      <c r="E1372" s="9" t="s">
        <v>754</v>
      </c>
      <c r="F1372" s="30">
        <v>41887</v>
      </c>
      <c r="G1372" s="8"/>
      <c r="H1372" s="17" t="s">
        <v>96</v>
      </c>
      <c r="I1372" s="12"/>
      <c r="J1372" s="13" t="s">
        <v>38</v>
      </c>
      <c r="K1372" s="13" t="s">
        <v>93</v>
      </c>
      <c r="L1372" s="13" t="s">
        <v>94</v>
      </c>
      <c r="M1372" s="13" t="s">
        <v>95</v>
      </c>
      <c r="N1372" s="14"/>
      <c r="O1372" s="14">
        <f t="shared" si="44"/>
        <v>0</v>
      </c>
      <c r="P1372" s="15">
        <f t="shared" si="45"/>
        <v>41887</v>
      </c>
      <c r="Q1372" s="15"/>
      <c r="R1372" s="16"/>
      <c r="S1372" s="16"/>
    </row>
    <row r="1373" spans="1:19" x14ac:dyDescent="0.25">
      <c r="A1373" s="8" t="s">
        <v>16</v>
      </c>
      <c r="B1373" s="8" t="s">
        <v>17</v>
      </c>
      <c r="C1373" s="8" t="s">
        <v>18</v>
      </c>
      <c r="D1373" s="8">
        <v>2014</v>
      </c>
      <c r="E1373" s="9" t="s">
        <v>754</v>
      </c>
      <c r="F1373" s="10">
        <v>41887</v>
      </c>
      <c r="G1373" s="8"/>
      <c r="H1373" s="17" t="s">
        <v>585</v>
      </c>
      <c r="I1373" s="12"/>
      <c r="J1373" s="13" t="s">
        <v>38</v>
      </c>
      <c r="K1373" s="13" t="s">
        <v>93</v>
      </c>
      <c r="L1373" s="13" t="s">
        <v>94</v>
      </c>
      <c r="M1373" s="13" t="s">
        <v>129</v>
      </c>
      <c r="N1373" s="14"/>
      <c r="O1373" s="14">
        <f t="shared" si="44"/>
        <v>0</v>
      </c>
      <c r="P1373" s="15">
        <f t="shared" si="45"/>
        <v>41887</v>
      </c>
      <c r="Q1373" s="15"/>
      <c r="R1373" s="16"/>
      <c r="S1373" s="16"/>
    </row>
    <row r="1374" spans="1:19" x14ac:dyDescent="0.25">
      <c r="A1374" s="8" t="s">
        <v>16</v>
      </c>
      <c r="B1374" s="40" t="s">
        <v>17</v>
      </c>
      <c r="C1374" s="8" t="s">
        <v>18</v>
      </c>
      <c r="D1374" s="8">
        <v>2014</v>
      </c>
      <c r="E1374" s="9" t="s">
        <v>754</v>
      </c>
      <c r="F1374" s="10">
        <v>41887</v>
      </c>
      <c r="G1374" s="8"/>
      <c r="H1374" s="17" t="s">
        <v>673</v>
      </c>
      <c r="I1374" s="12"/>
      <c r="J1374" s="13" t="s">
        <v>38</v>
      </c>
      <c r="K1374" s="13" t="s">
        <v>93</v>
      </c>
      <c r="L1374" s="13" t="s">
        <v>94</v>
      </c>
      <c r="M1374" s="13" t="s">
        <v>100</v>
      </c>
      <c r="N1374" s="14"/>
      <c r="O1374" s="14">
        <f t="shared" si="44"/>
        <v>0</v>
      </c>
      <c r="P1374" s="15">
        <f t="shared" si="45"/>
        <v>41887</v>
      </c>
      <c r="Q1374" s="15"/>
      <c r="R1374" s="16"/>
      <c r="S1374" s="16"/>
    </row>
    <row r="1375" spans="1:19" x14ac:dyDescent="0.25">
      <c r="A1375" s="8" t="s">
        <v>16</v>
      </c>
      <c r="B1375" s="69" t="s">
        <v>17</v>
      </c>
      <c r="C1375" s="8" t="s">
        <v>18</v>
      </c>
      <c r="D1375" s="8">
        <v>2014</v>
      </c>
      <c r="E1375" s="9" t="s">
        <v>754</v>
      </c>
      <c r="F1375" s="10">
        <v>41887</v>
      </c>
      <c r="G1375" s="8"/>
      <c r="H1375" s="17" t="s">
        <v>674</v>
      </c>
      <c r="I1375" s="12"/>
      <c r="J1375" s="13" t="s">
        <v>38</v>
      </c>
      <c r="K1375" s="13" t="s">
        <v>93</v>
      </c>
      <c r="L1375" s="13" t="s">
        <v>94</v>
      </c>
      <c r="M1375" s="13" t="s">
        <v>100</v>
      </c>
      <c r="N1375" s="14"/>
      <c r="O1375" s="14">
        <f t="shared" si="44"/>
        <v>0</v>
      </c>
      <c r="P1375" s="15">
        <f t="shared" si="45"/>
        <v>41887</v>
      </c>
      <c r="Q1375" s="56"/>
      <c r="R1375" s="11"/>
      <c r="S1375" s="11"/>
    </row>
    <row r="1376" spans="1:19" x14ac:dyDescent="0.25">
      <c r="A1376" s="8" t="s">
        <v>16</v>
      </c>
      <c r="B1376" s="8" t="s">
        <v>17</v>
      </c>
      <c r="C1376" s="8" t="s">
        <v>18</v>
      </c>
      <c r="D1376" s="8">
        <v>2014</v>
      </c>
      <c r="E1376" s="9" t="s">
        <v>754</v>
      </c>
      <c r="F1376" s="10">
        <v>41887</v>
      </c>
      <c r="G1376" s="8"/>
      <c r="H1376" s="13" t="s">
        <v>103</v>
      </c>
      <c r="I1376" s="29"/>
      <c r="J1376" s="13" t="s">
        <v>38</v>
      </c>
      <c r="K1376" s="13" t="s">
        <v>90</v>
      </c>
      <c r="L1376" s="13" t="s">
        <v>104</v>
      </c>
      <c r="M1376" s="13" t="s">
        <v>105</v>
      </c>
      <c r="N1376" s="14"/>
      <c r="O1376" s="14">
        <f t="shared" si="44"/>
        <v>0</v>
      </c>
      <c r="P1376" s="15">
        <f t="shared" si="45"/>
        <v>41887</v>
      </c>
      <c r="Q1376" s="15"/>
      <c r="R1376" s="16"/>
      <c r="S1376" s="16"/>
    </row>
    <row r="1377" spans="1:19" x14ac:dyDescent="0.25">
      <c r="A1377" s="8" t="s">
        <v>16</v>
      </c>
      <c r="B1377" s="8" t="s">
        <v>17</v>
      </c>
      <c r="C1377" s="8" t="s">
        <v>18</v>
      </c>
      <c r="D1377" s="8">
        <v>2014</v>
      </c>
      <c r="E1377" s="9" t="s">
        <v>754</v>
      </c>
      <c r="F1377" s="10">
        <v>41887</v>
      </c>
      <c r="G1377" s="8"/>
      <c r="H1377" s="13" t="s">
        <v>314</v>
      </c>
      <c r="I1377" s="12">
        <v>-4850</v>
      </c>
      <c r="J1377" s="13" t="s">
        <v>38</v>
      </c>
      <c r="K1377" s="13" t="s">
        <v>90</v>
      </c>
      <c r="L1377" s="13" t="s">
        <v>589</v>
      </c>
      <c r="M1377" s="13"/>
      <c r="N1377" s="14"/>
      <c r="O1377" s="14">
        <f t="shared" si="44"/>
        <v>-4850</v>
      </c>
      <c r="P1377" s="15">
        <f t="shared" si="45"/>
        <v>41887</v>
      </c>
      <c r="Q1377" s="15"/>
      <c r="R1377" s="16"/>
      <c r="S1377" s="26"/>
    </row>
    <row r="1378" spans="1:19" x14ac:dyDescent="0.25">
      <c r="A1378" s="23" t="s">
        <v>16</v>
      </c>
      <c r="B1378" s="23" t="s">
        <v>17</v>
      </c>
      <c r="C1378" s="23" t="s">
        <v>18</v>
      </c>
      <c r="D1378" s="8">
        <v>2014</v>
      </c>
      <c r="E1378" s="9" t="s">
        <v>754</v>
      </c>
      <c r="F1378" s="10">
        <v>41887</v>
      </c>
      <c r="G1378" s="8"/>
      <c r="H1378" s="11" t="s">
        <v>764</v>
      </c>
      <c r="I1378" s="12">
        <v>-6804</v>
      </c>
      <c r="J1378" s="13" t="s">
        <v>38</v>
      </c>
      <c r="K1378" s="13" t="s">
        <v>90</v>
      </c>
      <c r="L1378" s="13" t="s">
        <v>91</v>
      </c>
      <c r="M1378" s="13"/>
      <c r="N1378" s="31"/>
      <c r="O1378" s="14">
        <f t="shared" si="44"/>
        <v>-6804</v>
      </c>
      <c r="P1378" s="15">
        <f t="shared" si="45"/>
        <v>41887</v>
      </c>
      <c r="Q1378" s="15"/>
      <c r="R1378" s="26"/>
      <c r="S1378" s="26"/>
    </row>
    <row r="1379" spans="1:19" x14ac:dyDescent="0.25">
      <c r="A1379" s="8" t="s">
        <v>16</v>
      </c>
      <c r="B1379" s="8" t="s">
        <v>17</v>
      </c>
      <c r="C1379" s="8" t="s">
        <v>18</v>
      </c>
      <c r="D1379" s="8">
        <v>2014</v>
      </c>
      <c r="E1379" s="9" t="s">
        <v>754</v>
      </c>
      <c r="F1379" s="10">
        <v>41887</v>
      </c>
      <c r="G1379" s="8"/>
      <c r="H1379" s="11" t="s">
        <v>152</v>
      </c>
      <c r="I1379" s="12">
        <v>-220</v>
      </c>
      <c r="J1379" s="13" t="s">
        <v>21</v>
      </c>
      <c r="K1379" s="13" t="s">
        <v>22</v>
      </c>
      <c r="L1379" s="13" t="s">
        <v>71</v>
      </c>
      <c r="M1379" s="13"/>
      <c r="N1379" s="14"/>
      <c r="O1379" s="14">
        <f t="shared" si="44"/>
        <v>-220</v>
      </c>
      <c r="P1379" s="15">
        <f t="shared" si="45"/>
        <v>41887</v>
      </c>
      <c r="Q1379" s="56"/>
      <c r="R1379" s="11"/>
      <c r="S1379" s="11"/>
    </row>
    <row r="1380" spans="1:19" x14ac:dyDescent="0.25">
      <c r="A1380" s="23" t="s">
        <v>16</v>
      </c>
      <c r="B1380" s="23" t="s">
        <v>17</v>
      </c>
      <c r="C1380" s="23" t="s">
        <v>18</v>
      </c>
      <c r="D1380" s="8">
        <v>2014</v>
      </c>
      <c r="E1380" s="9" t="s">
        <v>754</v>
      </c>
      <c r="F1380" s="10">
        <v>41887</v>
      </c>
      <c r="G1380" s="23"/>
      <c r="H1380" s="13" t="s">
        <v>252</v>
      </c>
      <c r="I1380" s="12">
        <v>-50</v>
      </c>
      <c r="J1380" s="13" t="s">
        <v>21</v>
      </c>
      <c r="K1380" s="13" t="s">
        <v>22</v>
      </c>
      <c r="L1380" s="13" t="s">
        <v>71</v>
      </c>
      <c r="M1380" s="13" t="s">
        <v>206</v>
      </c>
      <c r="N1380" s="31"/>
      <c r="O1380" s="14">
        <f t="shared" si="44"/>
        <v>-50</v>
      </c>
      <c r="P1380" s="15">
        <f t="shared" si="45"/>
        <v>41887</v>
      </c>
      <c r="Q1380" s="56"/>
      <c r="R1380" s="11"/>
      <c r="S1380" s="11"/>
    </row>
    <row r="1381" spans="1:19" x14ac:dyDescent="0.25">
      <c r="A1381" s="8" t="s">
        <v>16</v>
      </c>
      <c r="B1381" s="8" t="s">
        <v>17</v>
      </c>
      <c r="C1381" s="8" t="s">
        <v>18</v>
      </c>
      <c r="D1381" s="8">
        <v>2014</v>
      </c>
      <c r="E1381" s="9" t="s">
        <v>754</v>
      </c>
      <c r="F1381" s="10">
        <v>41887</v>
      </c>
      <c r="G1381" s="8"/>
      <c r="H1381" s="13" t="s">
        <v>80</v>
      </c>
      <c r="I1381" s="12">
        <v>-50</v>
      </c>
      <c r="J1381" s="13" t="s">
        <v>21</v>
      </c>
      <c r="K1381" s="13" t="s">
        <v>22</v>
      </c>
      <c r="L1381" s="13" t="s">
        <v>23</v>
      </c>
      <c r="M1381" s="13" t="s">
        <v>28</v>
      </c>
      <c r="N1381" s="14"/>
      <c r="O1381" s="14">
        <f t="shared" si="44"/>
        <v>-50</v>
      </c>
      <c r="P1381" s="15">
        <f t="shared" si="45"/>
        <v>41887</v>
      </c>
      <c r="Q1381" s="56"/>
      <c r="R1381" s="11"/>
      <c r="S1381" s="11"/>
    </row>
    <row r="1382" spans="1:19" x14ac:dyDescent="0.25">
      <c r="A1382" s="8" t="s">
        <v>16</v>
      </c>
      <c r="B1382" s="8" t="s">
        <v>17</v>
      </c>
      <c r="C1382" s="8" t="s">
        <v>18</v>
      </c>
      <c r="D1382" s="8">
        <v>2014</v>
      </c>
      <c r="E1382" s="9" t="s">
        <v>754</v>
      </c>
      <c r="F1382" s="10">
        <v>41887</v>
      </c>
      <c r="G1382" s="23"/>
      <c r="H1382" s="17" t="s">
        <v>62</v>
      </c>
      <c r="I1382" s="12">
        <f>-864-419</f>
        <v>-1283</v>
      </c>
      <c r="J1382" s="13" t="s">
        <v>21</v>
      </c>
      <c r="K1382" s="13" t="s">
        <v>63</v>
      </c>
      <c r="L1382" s="13" t="s">
        <v>64</v>
      </c>
      <c r="M1382" s="13"/>
      <c r="N1382" s="14"/>
      <c r="O1382" s="14">
        <f t="shared" si="44"/>
        <v>-1283</v>
      </c>
      <c r="P1382" s="15">
        <f t="shared" si="45"/>
        <v>41887</v>
      </c>
      <c r="Q1382" s="56"/>
      <c r="R1382" s="11"/>
      <c r="S1382" s="11"/>
    </row>
    <row r="1383" spans="1:19" x14ac:dyDescent="0.25">
      <c r="A1383" s="8" t="s">
        <v>16</v>
      </c>
      <c r="B1383" s="8" t="s">
        <v>17</v>
      </c>
      <c r="C1383" s="8" t="s">
        <v>18</v>
      </c>
      <c r="D1383" s="8">
        <v>2014</v>
      </c>
      <c r="E1383" s="9" t="s">
        <v>754</v>
      </c>
      <c r="F1383" s="10">
        <v>41887</v>
      </c>
      <c r="G1383" s="23"/>
      <c r="H1383" s="17" t="s">
        <v>765</v>
      </c>
      <c r="I1383" s="12">
        <v>-1200</v>
      </c>
      <c r="J1383" s="13" t="s">
        <v>21</v>
      </c>
      <c r="K1383" s="13" t="s">
        <v>63</v>
      </c>
      <c r="L1383" s="13" t="s">
        <v>64</v>
      </c>
      <c r="M1383" s="13"/>
      <c r="N1383" s="14"/>
      <c r="O1383" s="14">
        <f t="shared" si="44"/>
        <v>-1200</v>
      </c>
      <c r="P1383" s="15">
        <f t="shared" si="45"/>
        <v>41887</v>
      </c>
      <c r="Q1383" s="56"/>
      <c r="R1383" s="11"/>
      <c r="S1383" s="11"/>
    </row>
    <row r="1384" spans="1:19" x14ac:dyDescent="0.25">
      <c r="A1384" s="23" t="s">
        <v>16</v>
      </c>
      <c r="B1384" s="23" t="s">
        <v>17</v>
      </c>
      <c r="C1384" s="23" t="s">
        <v>18</v>
      </c>
      <c r="D1384" s="8">
        <v>2014</v>
      </c>
      <c r="E1384" s="9" t="s">
        <v>754</v>
      </c>
      <c r="F1384" s="10">
        <v>41887</v>
      </c>
      <c r="G1384" s="8"/>
      <c r="H1384" s="11" t="s">
        <v>378</v>
      </c>
      <c r="I1384" s="12">
        <v>-535</v>
      </c>
      <c r="J1384" s="13" t="s">
        <v>38</v>
      </c>
      <c r="K1384" s="13" t="s">
        <v>155</v>
      </c>
      <c r="L1384" s="13" t="s">
        <v>91</v>
      </c>
      <c r="M1384" s="13"/>
      <c r="N1384" s="31"/>
      <c r="O1384" s="14">
        <f t="shared" si="44"/>
        <v>-535</v>
      </c>
      <c r="P1384" s="15">
        <f t="shared" si="45"/>
        <v>41887</v>
      </c>
      <c r="Q1384" s="56"/>
      <c r="R1384" s="11"/>
      <c r="S1384" s="11"/>
    </row>
    <row r="1385" spans="1:19" x14ac:dyDescent="0.25">
      <c r="A1385" s="23" t="s">
        <v>16</v>
      </c>
      <c r="B1385" s="23" t="s">
        <v>17</v>
      </c>
      <c r="C1385" s="23" t="s">
        <v>18</v>
      </c>
      <c r="D1385" s="8">
        <v>2014</v>
      </c>
      <c r="E1385" s="9" t="s">
        <v>754</v>
      </c>
      <c r="F1385" s="10">
        <v>41887</v>
      </c>
      <c r="G1385" s="8"/>
      <c r="H1385" s="11" t="s">
        <v>350</v>
      </c>
      <c r="I1385" s="12">
        <v>-459</v>
      </c>
      <c r="J1385" s="13" t="s">
        <v>38</v>
      </c>
      <c r="K1385" s="13" t="s">
        <v>155</v>
      </c>
      <c r="L1385" s="13" t="s">
        <v>91</v>
      </c>
      <c r="M1385" s="13"/>
      <c r="N1385" s="31"/>
      <c r="O1385" s="14">
        <f t="shared" si="44"/>
        <v>-459</v>
      </c>
      <c r="P1385" s="15">
        <f t="shared" si="45"/>
        <v>41887</v>
      </c>
      <c r="Q1385" s="56"/>
      <c r="R1385" s="11"/>
      <c r="S1385" s="11"/>
    </row>
    <row r="1386" spans="1:19" x14ac:dyDescent="0.25">
      <c r="A1386" s="23" t="s">
        <v>16</v>
      </c>
      <c r="B1386" s="23" t="s">
        <v>17</v>
      </c>
      <c r="C1386" s="23" t="s">
        <v>18</v>
      </c>
      <c r="D1386" s="8">
        <v>2014</v>
      </c>
      <c r="E1386" s="9" t="s">
        <v>754</v>
      </c>
      <c r="F1386" s="10">
        <v>41887</v>
      </c>
      <c r="G1386" s="8"/>
      <c r="H1386" s="11" t="s">
        <v>419</v>
      </c>
      <c r="I1386" s="12">
        <v>-484</v>
      </c>
      <c r="J1386" s="13" t="s">
        <v>38</v>
      </c>
      <c r="K1386" s="13" t="s">
        <v>155</v>
      </c>
      <c r="L1386" s="13" t="s">
        <v>91</v>
      </c>
      <c r="M1386" s="13"/>
      <c r="N1386" s="31"/>
      <c r="O1386" s="14">
        <f t="shared" si="44"/>
        <v>-484</v>
      </c>
      <c r="P1386" s="15">
        <f t="shared" si="45"/>
        <v>41887</v>
      </c>
      <c r="Q1386" s="56"/>
      <c r="R1386" s="11"/>
      <c r="S1386" s="11"/>
    </row>
    <row r="1387" spans="1:19" x14ac:dyDescent="0.25">
      <c r="A1387" s="23" t="s">
        <v>16</v>
      </c>
      <c r="B1387" s="23" t="s">
        <v>17</v>
      </c>
      <c r="C1387" s="23" t="s">
        <v>18</v>
      </c>
      <c r="D1387" s="8">
        <v>2014</v>
      </c>
      <c r="E1387" s="9" t="s">
        <v>754</v>
      </c>
      <c r="F1387" s="10">
        <v>41887</v>
      </c>
      <c r="G1387" s="8"/>
      <c r="H1387" s="11" t="s">
        <v>420</v>
      </c>
      <c r="I1387" s="12">
        <v>-280</v>
      </c>
      <c r="J1387" s="13" t="s">
        <v>38</v>
      </c>
      <c r="K1387" s="13" t="s">
        <v>155</v>
      </c>
      <c r="L1387" s="13" t="s">
        <v>91</v>
      </c>
      <c r="M1387" s="13"/>
      <c r="N1387" s="31"/>
      <c r="O1387" s="14">
        <f t="shared" si="44"/>
        <v>-280</v>
      </c>
      <c r="P1387" s="15">
        <f t="shared" si="45"/>
        <v>41887</v>
      </c>
      <c r="Q1387" s="56"/>
      <c r="R1387" s="11"/>
      <c r="S1387" s="11"/>
    </row>
    <row r="1388" spans="1:19" x14ac:dyDescent="0.25">
      <c r="A1388" s="23" t="s">
        <v>16</v>
      </c>
      <c r="B1388" s="23" t="s">
        <v>17</v>
      </c>
      <c r="C1388" s="23" t="s">
        <v>18</v>
      </c>
      <c r="D1388" s="8">
        <v>2014</v>
      </c>
      <c r="E1388" s="9" t="s">
        <v>754</v>
      </c>
      <c r="F1388" s="10">
        <v>41887</v>
      </c>
      <c r="G1388" s="8"/>
      <c r="H1388" s="11" t="s">
        <v>345</v>
      </c>
      <c r="I1388" s="12">
        <v>-159</v>
      </c>
      <c r="J1388" s="13" t="s">
        <v>38</v>
      </c>
      <c r="K1388" s="13" t="s">
        <v>155</v>
      </c>
      <c r="L1388" s="13" t="s">
        <v>91</v>
      </c>
      <c r="M1388" s="13"/>
      <c r="N1388" s="31"/>
      <c r="O1388" s="14">
        <f t="shared" si="44"/>
        <v>-159</v>
      </c>
      <c r="P1388" s="15">
        <f t="shared" si="45"/>
        <v>41887</v>
      </c>
      <c r="Q1388" s="56"/>
      <c r="R1388" s="11"/>
      <c r="S1388" s="11"/>
    </row>
    <row r="1389" spans="1:19" x14ac:dyDescent="0.25">
      <c r="A1389" s="23" t="s">
        <v>16</v>
      </c>
      <c r="B1389" s="23" t="s">
        <v>17</v>
      </c>
      <c r="C1389" s="23" t="s">
        <v>18</v>
      </c>
      <c r="D1389" s="8">
        <v>2014</v>
      </c>
      <c r="E1389" s="9" t="s">
        <v>754</v>
      </c>
      <c r="F1389" s="10">
        <v>41887</v>
      </c>
      <c r="G1389" s="8"/>
      <c r="H1389" s="11" t="s">
        <v>511</v>
      </c>
      <c r="I1389" s="12">
        <v>-234</v>
      </c>
      <c r="J1389" s="13" t="s">
        <v>38</v>
      </c>
      <c r="K1389" s="13" t="s">
        <v>155</v>
      </c>
      <c r="L1389" s="13" t="s">
        <v>91</v>
      </c>
      <c r="M1389" s="13"/>
      <c r="N1389" s="31"/>
      <c r="O1389" s="14">
        <f t="shared" si="44"/>
        <v>-234</v>
      </c>
      <c r="P1389" s="15">
        <f t="shared" si="45"/>
        <v>41887</v>
      </c>
      <c r="Q1389" s="56"/>
      <c r="R1389" s="11"/>
      <c r="S1389" s="11"/>
    </row>
    <row r="1390" spans="1:19" x14ac:dyDescent="0.25">
      <c r="A1390" s="23" t="s">
        <v>16</v>
      </c>
      <c r="B1390" s="23" t="s">
        <v>17</v>
      </c>
      <c r="C1390" s="23" t="s">
        <v>18</v>
      </c>
      <c r="D1390" s="8">
        <v>2014</v>
      </c>
      <c r="E1390" s="9" t="s">
        <v>754</v>
      </c>
      <c r="F1390" s="10">
        <v>41887</v>
      </c>
      <c r="G1390" s="8"/>
      <c r="H1390" s="11" t="s">
        <v>593</v>
      </c>
      <c r="I1390" s="12">
        <v>-51</v>
      </c>
      <c r="J1390" s="13" t="s">
        <v>38</v>
      </c>
      <c r="K1390" s="13" t="s">
        <v>155</v>
      </c>
      <c r="L1390" s="13" t="s">
        <v>91</v>
      </c>
      <c r="M1390" s="13"/>
      <c r="N1390" s="31"/>
      <c r="O1390" s="14">
        <f t="shared" si="44"/>
        <v>-51</v>
      </c>
      <c r="P1390" s="15">
        <f t="shared" si="45"/>
        <v>41887</v>
      </c>
      <c r="Q1390" s="56"/>
      <c r="R1390" s="11"/>
      <c r="S1390" s="11"/>
    </row>
    <row r="1391" spans="1:19" x14ac:dyDescent="0.25">
      <c r="A1391" s="23" t="s">
        <v>16</v>
      </c>
      <c r="B1391" s="23" t="s">
        <v>17</v>
      </c>
      <c r="C1391" s="23" t="s">
        <v>18</v>
      </c>
      <c r="D1391" s="8">
        <v>2014</v>
      </c>
      <c r="E1391" s="9" t="s">
        <v>754</v>
      </c>
      <c r="F1391" s="10">
        <v>41887</v>
      </c>
      <c r="G1391" s="8"/>
      <c r="H1391" s="11" t="s">
        <v>328</v>
      </c>
      <c r="I1391" s="12">
        <v>-51</v>
      </c>
      <c r="J1391" s="13" t="s">
        <v>38</v>
      </c>
      <c r="K1391" s="13" t="s">
        <v>155</v>
      </c>
      <c r="L1391" s="13" t="s">
        <v>91</v>
      </c>
      <c r="M1391" s="13"/>
      <c r="N1391" s="31"/>
      <c r="O1391" s="14">
        <f t="shared" si="44"/>
        <v>-51</v>
      </c>
      <c r="P1391" s="15">
        <f t="shared" si="45"/>
        <v>41887</v>
      </c>
      <c r="Q1391" s="56"/>
      <c r="R1391" s="11"/>
      <c r="S1391" s="11"/>
    </row>
    <row r="1392" spans="1:19" x14ac:dyDescent="0.25">
      <c r="A1392" s="23" t="s">
        <v>16</v>
      </c>
      <c r="B1392" s="23" t="s">
        <v>17</v>
      </c>
      <c r="C1392" s="23" t="s">
        <v>18</v>
      </c>
      <c r="D1392" s="8">
        <v>2014</v>
      </c>
      <c r="E1392" s="9" t="s">
        <v>754</v>
      </c>
      <c r="F1392" s="10">
        <v>41887</v>
      </c>
      <c r="G1392" s="8"/>
      <c r="H1392" s="11" t="s">
        <v>344</v>
      </c>
      <c r="I1392" s="12">
        <v>-51</v>
      </c>
      <c r="J1392" s="13" t="s">
        <v>38</v>
      </c>
      <c r="K1392" s="13" t="s">
        <v>155</v>
      </c>
      <c r="L1392" s="13" t="s">
        <v>91</v>
      </c>
      <c r="M1392" s="13"/>
      <c r="N1392" s="31"/>
      <c r="O1392" s="14">
        <f t="shared" si="44"/>
        <v>-51</v>
      </c>
      <c r="P1392" s="15">
        <f t="shared" si="45"/>
        <v>41887</v>
      </c>
      <c r="Q1392" s="56"/>
      <c r="R1392" s="11"/>
      <c r="S1392" s="11"/>
    </row>
    <row r="1393" spans="1:19" x14ac:dyDescent="0.25">
      <c r="A1393" s="8" t="s">
        <v>16</v>
      </c>
      <c r="B1393" s="8" t="s">
        <v>17</v>
      </c>
      <c r="C1393" s="8" t="s">
        <v>18</v>
      </c>
      <c r="D1393" s="8">
        <v>2014</v>
      </c>
      <c r="E1393" s="9" t="s">
        <v>754</v>
      </c>
      <c r="F1393" s="10">
        <v>41887</v>
      </c>
      <c r="G1393" s="23"/>
      <c r="H1393" s="11" t="s">
        <v>510</v>
      </c>
      <c r="I1393" s="12">
        <v>-378</v>
      </c>
      <c r="J1393" s="54" t="s">
        <v>21</v>
      </c>
      <c r="K1393" s="54" t="s">
        <v>56</v>
      </c>
      <c r="L1393" s="54" t="s">
        <v>57</v>
      </c>
      <c r="M1393" s="13" t="s">
        <v>386</v>
      </c>
      <c r="N1393" s="14"/>
      <c r="O1393" s="14">
        <f t="shared" si="44"/>
        <v>-378</v>
      </c>
      <c r="P1393" s="15">
        <f t="shared" si="45"/>
        <v>41887</v>
      </c>
      <c r="Q1393" s="15"/>
      <c r="R1393" s="16"/>
      <c r="S1393" s="16"/>
    </row>
    <row r="1394" spans="1:19" x14ac:dyDescent="0.25">
      <c r="A1394" s="23" t="s">
        <v>16</v>
      </c>
      <c r="B1394" s="23" t="s">
        <v>17</v>
      </c>
      <c r="C1394" s="23" t="s">
        <v>18</v>
      </c>
      <c r="D1394" s="8">
        <v>2014</v>
      </c>
      <c r="E1394" s="9" t="s">
        <v>754</v>
      </c>
      <c r="F1394" s="10">
        <v>41887</v>
      </c>
      <c r="G1394" s="23"/>
      <c r="H1394" s="13" t="s">
        <v>718</v>
      </c>
      <c r="I1394" s="12">
        <v>-200</v>
      </c>
      <c r="J1394" s="13" t="s">
        <v>38</v>
      </c>
      <c r="K1394" s="13" t="s">
        <v>90</v>
      </c>
      <c r="L1394" s="13" t="s">
        <v>91</v>
      </c>
      <c r="M1394" s="13"/>
      <c r="N1394" s="31"/>
      <c r="O1394" s="14">
        <f t="shared" si="44"/>
        <v>-200</v>
      </c>
      <c r="P1394" s="15">
        <f t="shared" si="45"/>
        <v>41887</v>
      </c>
      <c r="Q1394" s="56"/>
      <c r="R1394" s="11"/>
      <c r="S1394" s="11"/>
    </row>
    <row r="1395" spans="1:19" x14ac:dyDescent="0.25">
      <c r="A1395" s="8" t="s">
        <v>16</v>
      </c>
      <c r="B1395" s="8" t="s">
        <v>17</v>
      </c>
      <c r="C1395" s="8" t="s">
        <v>51</v>
      </c>
      <c r="D1395" s="8">
        <v>2014</v>
      </c>
      <c r="E1395" s="9" t="s">
        <v>754</v>
      </c>
      <c r="F1395" s="10">
        <v>41888</v>
      </c>
      <c r="G1395" s="8">
        <v>11955</v>
      </c>
      <c r="H1395" s="11" t="s">
        <v>766</v>
      </c>
      <c r="I1395" s="12">
        <v>500</v>
      </c>
      <c r="J1395" s="13" t="s">
        <v>53</v>
      </c>
      <c r="K1395" s="13" t="s">
        <v>54</v>
      </c>
      <c r="L1395" s="13"/>
      <c r="M1395" s="13"/>
      <c r="N1395" s="14"/>
      <c r="O1395" s="14">
        <f t="shared" si="44"/>
        <v>500</v>
      </c>
      <c r="P1395" s="15">
        <f t="shared" si="45"/>
        <v>41888</v>
      </c>
      <c r="Q1395" s="56"/>
      <c r="R1395" s="11"/>
      <c r="S1395" s="11"/>
    </row>
    <row r="1396" spans="1:19" x14ac:dyDescent="0.25">
      <c r="A1396" s="8" t="s">
        <v>16</v>
      </c>
      <c r="B1396" s="8" t="s">
        <v>17</v>
      </c>
      <c r="C1396" s="8" t="s">
        <v>51</v>
      </c>
      <c r="D1396" s="8">
        <v>2014</v>
      </c>
      <c r="E1396" s="9" t="s">
        <v>754</v>
      </c>
      <c r="F1396" s="10">
        <v>41888</v>
      </c>
      <c r="G1396" s="8">
        <v>11953</v>
      </c>
      <c r="H1396" s="11" t="s">
        <v>767</v>
      </c>
      <c r="I1396" s="12">
        <v>100</v>
      </c>
      <c r="J1396" s="13" t="s">
        <v>53</v>
      </c>
      <c r="K1396" s="13" t="s">
        <v>54</v>
      </c>
      <c r="L1396" s="13"/>
      <c r="M1396" s="13"/>
      <c r="N1396" s="14"/>
      <c r="O1396" s="14">
        <f t="shared" si="44"/>
        <v>100</v>
      </c>
      <c r="P1396" s="15">
        <f t="shared" si="45"/>
        <v>41888</v>
      </c>
      <c r="Q1396" s="56"/>
      <c r="R1396" s="11"/>
      <c r="S1396" s="11"/>
    </row>
    <row r="1397" spans="1:19" x14ac:dyDescent="0.25">
      <c r="A1397" s="8" t="s">
        <v>16</v>
      </c>
      <c r="B1397" s="8" t="s">
        <v>17</v>
      </c>
      <c r="C1397" s="8" t="s">
        <v>51</v>
      </c>
      <c r="D1397" s="8">
        <v>2014</v>
      </c>
      <c r="E1397" s="9" t="s">
        <v>754</v>
      </c>
      <c r="F1397" s="10">
        <v>41888</v>
      </c>
      <c r="G1397" s="8">
        <v>11954</v>
      </c>
      <c r="H1397" s="11" t="s">
        <v>768</v>
      </c>
      <c r="I1397" s="12">
        <v>100</v>
      </c>
      <c r="J1397" s="13" t="s">
        <v>53</v>
      </c>
      <c r="K1397" s="13" t="s">
        <v>54</v>
      </c>
      <c r="L1397" s="13"/>
      <c r="M1397" s="13"/>
      <c r="N1397" s="14"/>
      <c r="O1397" s="14">
        <f t="shared" si="44"/>
        <v>100</v>
      </c>
      <c r="P1397" s="15">
        <f t="shared" si="45"/>
        <v>41888</v>
      </c>
      <c r="Q1397" s="56"/>
      <c r="R1397" s="11"/>
      <c r="S1397" s="11"/>
    </row>
    <row r="1398" spans="1:19" x14ac:dyDescent="0.25">
      <c r="A1398" s="8" t="s">
        <v>16</v>
      </c>
      <c r="B1398" s="8" t="s">
        <v>17</v>
      </c>
      <c r="C1398" s="8" t="s">
        <v>51</v>
      </c>
      <c r="D1398" s="8">
        <v>2014</v>
      </c>
      <c r="E1398" s="9" t="s">
        <v>754</v>
      </c>
      <c r="F1398" s="10">
        <v>41888</v>
      </c>
      <c r="G1398" s="8">
        <v>11956</v>
      </c>
      <c r="H1398" s="11" t="s">
        <v>769</v>
      </c>
      <c r="I1398" s="12">
        <v>3000</v>
      </c>
      <c r="J1398" s="13" t="s">
        <v>53</v>
      </c>
      <c r="K1398" s="13" t="s">
        <v>54</v>
      </c>
      <c r="L1398" s="13"/>
      <c r="M1398" s="13"/>
      <c r="N1398" s="14"/>
      <c r="O1398" s="14">
        <f t="shared" si="44"/>
        <v>3000</v>
      </c>
      <c r="P1398" s="15">
        <f t="shared" si="45"/>
        <v>41888</v>
      </c>
      <c r="Q1398" s="56"/>
      <c r="R1398" s="11"/>
      <c r="S1398" s="11"/>
    </row>
  </sheetData>
  <conditionalFormatting sqref="G14:G18 G21 G27 G48:G49 G60 G66:G69 G76:G79 G108:G109 G88 G94 G123 G125:G131 G182 G300:G301 G141:G157 G323 G326 G339:G341 G303:G310 G337 G251 G328:G335 G316 G313 G374 G392 G288:G297 G264:G281 G397:G401 G423:G426 G428 G409:G413 G344:G345 G404:G405 G448 G355:G357 G407 G489:G492 G523 G530:G535 G525:G527 G495:G498 G507:G510 G543:G548 G552:G553 G599:G605 G619:G620 G623:G627 G689 G666:G669 G725 G727:G731 G737 G692:G695 G753:G754 G766 G837 G770:G773 G758:G760 G779:G791 G845 G1 G244:G246 G286 G924:G934 G860:G877 G248 G450:G456 G940 G973:G978 G989:G992 G982:G985 G998:G1000 G1029:G1038 G1010:G1012 G1003:G1004 G1107 G1113 G1115:G1123 G1125:G1139 G1150:G1159 G1163 G1169:G1173 G1178 G1187 G1215:G1217 G1196 G1228 G1198:G1203 G1205:G1209 G1233:G1236 G1260:G1267 G1311:G1315 G1337:G1338 G1317:G1334 G1343:G1348 G1352:G1355 G1363:G1365 G1395:G1398">
    <cfRule type="containsText" dxfId="1484" priority="1501" operator="containsText" text="zz">
      <formula>NOT(ISERROR(SEARCH("zz",G1)))</formula>
    </cfRule>
  </conditionalFormatting>
  <conditionalFormatting sqref="G40 G24 G11">
    <cfRule type="containsText" dxfId="1483" priority="1500" operator="containsText" text="zz">
      <formula>NOT(ISERROR(SEARCH("zz",G11)))</formula>
    </cfRule>
  </conditionalFormatting>
  <conditionalFormatting sqref="G12">
    <cfRule type="containsText" dxfId="1482" priority="1499" operator="containsText" text="zz">
      <formula>NOT(ISERROR(SEARCH("zz",G12)))</formula>
    </cfRule>
  </conditionalFormatting>
  <conditionalFormatting sqref="G28">
    <cfRule type="containsText" dxfId="1481" priority="1498" operator="containsText" text="zz">
      <formula>NOT(ISERROR(SEARCH("zz",G28)))</formula>
    </cfRule>
  </conditionalFormatting>
  <conditionalFormatting sqref="G2">
    <cfRule type="containsText" dxfId="1480" priority="1497" operator="containsText" text="zz">
      <formula>NOT(ISERROR(SEARCH("zz",G2)))</formula>
    </cfRule>
  </conditionalFormatting>
  <conditionalFormatting sqref="G3">
    <cfRule type="containsText" dxfId="1479" priority="1496" operator="containsText" text="zz">
      <formula>NOT(ISERROR(SEARCH("zz",G3)))</formula>
    </cfRule>
  </conditionalFormatting>
  <conditionalFormatting sqref="G52">
    <cfRule type="containsText" dxfId="1478" priority="1494" operator="containsText" text="zz">
      <formula>NOT(ISERROR(SEARCH("zz",G52)))</formula>
    </cfRule>
  </conditionalFormatting>
  <conditionalFormatting sqref="G4">
    <cfRule type="containsText" dxfId="1477" priority="1495" operator="containsText" text="zz">
      <formula>NOT(ISERROR(SEARCH("zz",G4)))</formula>
    </cfRule>
  </conditionalFormatting>
  <conditionalFormatting sqref="G22">
    <cfRule type="containsText" dxfId="1476" priority="1493" operator="containsText" text="zz">
      <formula>NOT(ISERROR(SEARCH("zz",G22)))</formula>
    </cfRule>
  </conditionalFormatting>
  <conditionalFormatting sqref="G19">
    <cfRule type="containsText" dxfId="1475" priority="1492" operator="containsText" text="zz">
      <formula>NOT(ISERROR(SEARCH("zz",G19)))</formula>
    </cfRule>
  </conditionalFormatting>
  <conditionalFormatting sqref="G25">
    <cfRule type="containsText" dxfId="1474" priority="1491" operator="containsText" text="zz">
      <formula>NOT(ISERROR(SEARCH("zz",G25)))</formula>
    </cfRule>
  </conditionalFormatting>
  <conditionalFormatting sqref="G26">
    <cfRule type="containsText" dxfId="1473" priority="1490" operator="containsText" text="zz">
      <formula>NOT(ISERROR(SEARCH("zz",G26)))</formula>
    </cfRule>
  </conditionalFormatting>
  <conditionalFormatting sqref="G5">
    <cfRule type="containsText" dxfId="1472" priority="1489" operator="containsText" text="zz">
      <formula>NOT(ISERROR(SEARCH("zz",G5)))</formula>
    </cfRule>
  </conditionalFormatting>
  <conditionalFormatting sqref="G53">
    <cfRule type="containsText" dxfId="1471" priority="1487" operator="containsText" text="zz">
      <formula>NOT(ISERROR(SEARCH("zz",G53)))</formula>
    </cfRule>
  </conditionalFormatting>
  <conditionalFormatting sqref="G6">
    <cfRule type="containsText" dxfId="1470" priority="1488" operator="containsText" text="zz">
      <formula>NOT(ISERROR(SEARCH("zz",G6)))</formula>
    </cfRule>
  </conditionalFormatting>
  <conditionalFormatting sqref="G23">
    <cfRule type="containsText" dxfId="1469" priority="1483" operator="containsText" text="zz">
      <formula>NOT(ISERROR(SEARCH("zz",G23)))</formula>
    </cfRule>
  </conditionalFormatting>
  <conditionalFormatting sqref="G7">
    <cfRule type="containsText" dxfId="1468" priority="1486" operator="containsText" text="zz">
      <formula>NOT(ISERROR(SEARCH("zz",G7)))</formula>
    </cfRule>
  </conditionalFormatting>
  <conditionalFormatting sqref="G10">
    <cfRule type="containsText" dxfId="1467" priority="1485" operator="containsText" text="zz">
      <formula>NOT(ISERROR(SEARCH("zz",G10)))</formula>
    </cfRule>
  </conditionalFormatting>
  <conditionalFormatting sqref="G20">
    <cfRule type="containsText" dxfId="1466" priority="1484" operator="containsText" text="zz">
      <formula>NOT(ISERROR(SEARCH("zz",G20)))</formula>
    </cfRule>
  </conditionalFormatting>
  <conditionalFormatting sqref="G29">
    <cfRule type="containsText" dxfId="1465" priority="1482" operator="containsText" text="zz">
      <formula>NOT(ISERROR(SEARCH("zz",G29)))</formula>
    </cfRule>
  </conditionalFormatting>
  <conditionalFormatting sqref="G30">
    <cfRule type="containsText" dxfId="1464" priority="1481" operator="containsText" text="zz">
      <formula>NOT(ISERROR(SEARCH("zz",G30)))</formula>
    </cfRule>
  </conditionalFormatting>
  <conditionalFormatting sqref="G31">
    <cfRule type="containsText" dxfId="1463" priority="1480" operator="containsText" text="zz">
      <formula>NOT(ISERROR(SEARCH("zz",G31)))</formula>
    </cfRule>
  </conditionalFormatting>
  <conditionalFormatting sqref="G32 G38:G39">
    <cfRule type="containsText" dxfId="1462" priority="1479" operator="containsText" text="zz">
      <formula>NOT(ISERROR(SEARCH("zz",G32)))</formula>
    </cfRule>
  </conditionalFormatting>
  <conditionalFormatting sqref="G8:G9">
    <cfRule type="containsText" dxfId="1461" priority="1478" operator="containsText" text="zz">
      <formula>NOT(ISERROR(SEARCH("zz",G8)))</formula>
    </cfRule>
  </conditionalFormatting>
  <conditionalFormatting sqref="G54">
    <cfRule type="containsText" dxfId="1460" priority="1477" operator="containsText" text="zz">
      <formula>NOT(ISERROR(SEARCH("zz",G54)))</formula>
    </cfRule>
  </conditionalFormatting>
  <conditionalFormatting sqref="G55">
    <cfRule type="containsText" dxfId="1459" priority="1476" operator="containsText" text="zz">
      <formula>NOT(ISERROR(SEARCH("zz",G55)))</formula>
    </cfRule>
  </conditionalFormatting>
  <conditionalFormatting sqref="G56">
    <cfRule type="containsText" dxfId="1458" priority="1475" operator="containsText" text="zz">
      <formula>NOT(ISERROR(SEARCH("zz",G56)))</formula>
    </cfRule>
  </conditionalFormatting>
  <conditionalFormatting sqref="G58">
    <cfRule type="containsText" dxfId="1457" priority="1474" operator="containsText" text="zz">
      <formula>NOT(ISERROR(SEARCH("zz",G58)))</formula>
    </cfRule>
  </conditionalFormatting>
  <conditionalFormatting sqref="G61">
    <cfRule type="containsText" dxfId="1456" priority="1473" operator="containsText" text="zz">
      <formula>NOT(ISERROR(SEARCH("zz",G61)))</formula>
    </cfRule>
  </conditionalFormatting>
  <conditionalFormatting sqref="G62">
    <cfRule type="containsText" dxfId="1455" priority="1472" operator="containsText" text="zz">
      <formula>NOT(ISERROR(SEARCH("zz",G62)))</formula>
    </cfRule>
  </conditionalFormatting>
  <conditionalFormatting sqref="G64">
    <cfRule type="containsText" dxfId="1454" priority="1471" operator="containsText" text="zz">
      <formula>NOT(ISERROR(SEARCH("zz",G64)))</formula>
    </cfRule>
  </conditionalFormatting>
  <conditionalFormatting sqref="G42 G44:G46">
    <cfRule type="containsText" dxfId="1453" priority="1470" operator="containsText" text="zz">
      <formula>NOT(ISERROR(SEARCH("zz",G42)))</formula>
    </cfRule>
  </conditionalFormatting>
  <conditionalFormatting sqref="G43">
    <cfRule type="containsText" dxfId="1452" priority="1469" operator="containsText" text="zz">
      <formula>NOT(ISERROR(SEARCH("zz",G43)))</formula>
    </cfRule>
  </conditionalFormatting>
  <conditionalFormatting sqref="G65">
    <cfRule type="containsText" dxfId="1451" priority="1468" operator="containsText" text="zz">
      <formula>NOT(ISERROR(SEARCH("zz",G65)))</formula>
    </cfRule>
  </conditionalFormatting>
  <conditionalFormatting sqref="G72">
    <cfRule type="containsText" dxfId="1450" priority="1467" operator="containsText" text="zz">
      <formula>NOT(ISERROR(SEARCH("zz",G72)))</formula>
    </cfRule>
  </conditionalFormatting>
  <conditionalFormatting sqref="G73">
    <cfRule type="containsText" dxfId="1449" priority="1466" operator="containsText" text="zz">
      <formula>NOT(ISERROR(SEARCH("zz",G73)))</formula>
    </cfRule>
  </conditionalFormatting>
  <conditionalFormatting sqref="G74">
    <cfRule type="containsText" dxfId="1448" priority="1465" operator="containsText" text="zz">
      <formula>NOT(ISERROR(SEARCH("zz",G74)))</formula>
    </cfRule>
  </conditionalFormatting>
  <conditionalFormatting sqref="G33:G34">
    <cfRule type="containsText" dxfId="1447" priority="1464" operator="containsText" text="zz">
      <formula>NOT(ISERROR(SEARCH("zz",G33)))</formula>
    </cfRule>
  </conditionalFormatting>
  <conditionalFormatting sqref="G70:G71">
    <cfRule type="containsText" dxfId="1446" priority="1463" operator="containsText" text="zz">
      <formula>NOT(ISERROR(SEARCH("zz",G70)))</formula>
    </cfRule>
  </conditionalFormatting>
  <conditionalFormatting sqref="G97:G98">
    <cfRule type="containsText" dxfId="1445" priority="1462" operator="containsText" text="zz">
      <formula>NOT(ISERROR(SEARCH("zz",G97)))</formula>
    </cfRule>
  </conditionalFormatting>
  <conditionalFormatting sqref="G35">
    <cfRule type="containsText" dxfId="1444" priority="1461" operator="containsText" text="zz">
      <formula>NOT(ISERROR(SEARCH("zz",G35)))</formula>
    </cfRule>
  </conditionalFormatting>
  <conditionalFormatting sqref="G36">
    <cfRule type="containsText" dxfId="1443" priority="1460" operator="containsText" text="zz">
      <formula>NOT(ISERROR(SEARCH("zz",G36)))</formula>
    </cfRule>
  </conditionalFormatting>
  <conditionalFormatting sqref="G37">
    <cfRule type="containsText" dxfId="1442" priority="1459" operator="containsText" text="zz">
      <formula>NOT(ISERROR(SEARCH("zz",G37)))</formula>
    </cfRule>
  </conditionalFormatting>
  <conditionalFormatting sqref="G80">
    <cfRule type="containsText" dxfId="1441" priority="1458" operator="containsText" text="zz">
      <formula>NOT(ISERROR(SEARCH("zz",G80)))</formula>
    </cfRule>
  </conditionalFormatting>
  <conditionalFormatting sqref="G57">
    <cfRule type="containsText" dxfId="1440" priority="1457" operator="containsText" text="zz">
      <formula>NOT(ISERROR(SEARCH("zz",G57)))</formula>
    </cfRule>
  </conditionalFormatting>
  <conditionalFormatting sqref="G81:G82">
    <cfRule type="containsText" dxfId="1439" priority="1456" operator="containsText" text="zz">
      <formula>NOT(ISERROR(SEARCH("zz",G81)))</formula>
    </cfRule>
  </conditionalFormatting>
  <conditionalFormatting sqref="G83">
    <cfRule type="containsText" dxfId="1438" priority="1455" operator="containsText" text="zz">
      <formula>NOT(ISERROR(SEARCH("zz",G83)))</formula>
    </cfRule>
  </conditionalFormatting>
  <conditionalFormatting sqref="G75">
    <cfRule type="containsText" dxfId="1437" priority="1454" operator="containsText" text="zz">
      <formula>NOT(ISERROR(SEARCH("zz",G75)))</formula>
    </cfRule>
  </conditionalFormatting>
  <conditionalFormatting sqref="G89">
    <cfRule type="containsText" dxfId="1436" priority="1453" operator="containsText" text="zz">
      <formula>NOT(ISERROR(SEARCH("zz",G89)))</formula>
    </cfRule>
  </conditionalFormatting>
  <conditionalFormatting sqref="G84">
    <cfRule type="containsText" dxfId="1435" priority="1452" operator="containsText" text="zz">
      <formula>NOT(ISERROR(SEARCH("zz",G84)))</formula>
    </cfRule>
  </conditionalFormatting>
  <conditionalFormatting sqref="G59">
    <cfRule type="containsText" dxfId="1434" priority="1451" operator="containsText" text="zz">
      <formula>NOT(ISERROR(SEARCH("zz",G59)))</formula>
    </cfRule>
  </conditionalFormatting>
  <conditionalFormatting sqref="G85">
    <cfRule type="containsText" dxfId="1433" priority="1450" operator="containsText" text="zz">
      <formula>NOT(ISERROR(SEARCH("zz",G85)))</formula>
    </cfRule>
  </conditionalFormatting>
  <conditionalFormatting sqref="G90">
    <cfRule type="containsText" dxfId="1432" priority="1449" operator="containsText" text="zz">
      <formula>NOT(ISERROR(SEARCH("zz",G90)))</formula>
    </cfRule>
  </conditionalFormatting>
  <conditionalFormatting sqref="G91">
    <cfRule type="containsText" dxfId="1431" priority="1448" operator="containsText" text="zz">
      <formula>NOT(ISERROR(SEARCH("zz",G91)))</formula>
    </cfRule>
  </conditionalFormatting>
  <conditionalFormatting sqref="G92">
    <cfRule type="containsText" dxfId="1430" priority="1447" operator="containsText" text="zz">
      <formula>NOT(ISERROR(SEARCH("zz",G92)))</formula>
    </cfRule>
  </conditionalFormatting>
  <conditionalFormatting sqref="G99">
    <cfRule type="containsText" dxfId="1429" priority="1446" operator="containsText" text="zz">
      <formula>NOT(ISERROR(SEARCH("zz",G99)))</formula>
    </cfRule>
  </conditionalFormatting>
  <conditionalFormatting sqref="G96">
    <cfRule type="containsText" dxfId="1428" priority="1445" operator="containsText" text="zz">
      <formula>NOT(ISERROR(SEARCH("zz",G96)))</formula>
    </cfRule>
  </conditionalFormatting>
  <conditionalFormatting sqref="G95">
    <cfRule type="containsText" dxfId="1427" priority="1444" operator="containsText" text="zz">
      <formula>NOT(ISERROR(SEARCH("zz",G95)))</formula>
    </cfRule>
  </conditionalFormatting>
  <conditionalFormatting sqref="G47">
    <cfRule type="containsText" dxfId="1426" priority="1443" operator="containsText" text="zz">
      <formula>NOT(ISERROR(SEARCH("zz",G47)))</formula>
    </cfRule>
  </conditionalFormatting>
  <conditionalFormatting sqref="G100">
    <cfRule type="containsText" dxfId="1425" priority="1442" operator="containsText" text="zz">
      <formula>NOT(ISERROR(SEARCH("zz",G100)))</formula>
    </cfRule>
  </conditionalFormatting>
  <conditionalFormatting sqref="G93">
    <cfRule type="containsText" dxfId="1424" priority="1441" operator="containsText" text="zz">
      <formula>NOT(ISERROR(SEARCH("zz",G93)))</formula>
    </cfRule>
  </conditionalFormatting>
  <conditionalFormatting sqref="G101">
    <cfRule type="containsText" dxfId="1423" priority="1440" operator="containsText" text="zz">
      <formula>NOT(ISERROR(SEARCH("zz",G101)))</formula>
    </cfRule>
  </conditionalFormatting>
  <conditionalFormatting sqref="G102">
    <cfRule type="containsText" dxfId="1422" priority="1439" operator="containsText" text="zz">
      <formula>NOT(ISERROR(SEARCH("zz",G102)))</formula>
    </cfRule>
  </conditionalFormatting>
  <conditionalFormatting sqref="G103">
    <cfRule type="containsText" dxfId="1421" priority="1438" operator="containsText" text="zz">
      <formula>NOT(ISERROR(SEARCH("zz",G103)))</formula>
    </cfRule>
  </conditionalFormatting>
  <conditionalFormatting sqref="G13">
    <cfRule type="containsText" dxfId="1420" priority="1437" operator="containsText" text="zz">
      <formula>NOT(ISERROR(SEARCH("zz",G13)))</formula>
    </cfRule>
  </conditionalFormatting>
  <conditionalFormatting sqref="G41">
    <cfRule type="containsText" dxfId="1419" priority="1436" operator="containsText" text="zz">
      <formula>NOT(ISERROR(SEARCH("zz",G41)))</formula>
    </cfRule>
  </conditionalFormatting>
  <conditionalFormatting sqref="G104">
    <cfRule type="containsText" dxfId="1418" priority="1435" operator="containsText" text="zz">
      <formula>NOT(ISERROR(SEARCH("zz",G104)))</formula>
    </cfRule>
  </conditionalFormatting>
  <conditionalFormatting sqref="G105">
    <cfRule type="containsText" dxfId="1417" priority="1434" operator="containsText" text="zz">
      <formula>NOT(ISERROR(SEARCH("zz",G105)))</formula>
    </cfRule>
  </conditionalFormatting>
  <conditionalFormatting sqref="G86">
    <cfRule type="containsText" dxfId="1416" priority="1433" operator="containsText" text="zz">
      <formula>NOT(ISERROR(SEARCH("zz",G86)))</formula>
    </cfRule>
  </conditionalFormatting>
  <conditionalFormatting sqref="G87">
    <cfRule type="containsText" dxfId="1415" priority="1432" operator="containsText" text="zz">
      <formula>NOT(ISERROR(SEARCH("zz",G87)))</formula>
    </cfRule>
  </conditionalFormatting>
  <conditionalFormatting sqref="G106">
    <cfRule type="containsText" dxfId="1414" priority="1431" operator="containsText" text="zz">
      <formula>NOT(ISERROR(SEARCH("zz",G106)))</formula>
    </cfRule>
  </conditionalFormatting>
  <conditionalFormatting sqref="G107">
    <cfRule type="containsText" dxfId="1413" priority="1430" operator="containsText" text="zz">
      <formula>NOT(ISERROR(SEARCH("zz",G107)))</formula>
    </cfRule>
  </conditionalFormatting>
  <conditionalFormatting sqref="G110">
    <cfRule type="containsText" dxfId="1412" priority="1429" operator="containsText" text="zz">
      <formula>NOT(ISERROR(SEARCH("zz",G110)))</formula>
    </cfRule>
  </conditionalFormatting>
  <conditionalFormatting sqref="G111">
    <cfRule type="containsText" dxfId="1411" priority="1428" operator="containsText" text="zz">
      <formula>NOT(ISERROR(SEARCH("zz",G111)))</formula>
    </cfRule>
  </conditionalFormatting>
  <conditionalFormatting sqref="G112">
    <cfRule type="containsText" dxfId="1410" priority="1427" operator="containsText" text="zz">
      <formula>NOT(ISERROR(SEARCH("zz",G112)))</formula>
    </cfRule>
  </conditionalFormatting>
  <conditionalFormatting sqref="G113">
    <cfRule type="containsText" dxfId="1409" priority="1426" operator="containsText" text="zz">
      <formula>NOT(ISERROR(SEARCH("zz",G113)))</formula>
    </cfRule>
  </conditionalFormatting>
  <conditionalFormatting sqref="G114">
    <cfRule type="containsText" dxfId="1408" priority="1425" operator="containsText" text="zz">
      <formula>NOT(ISERROR(SEARCH("zz",G114)))</formula>
    </cfRule>
  </conditionalFormatting>
  <conditionalFormatting sqref="G115">
    <cfRule type="containsText" dxfId="1407" priority="1424" operator="containsText" text="zz">
      <formula>NOT(ISERROR(SEARCH("zz",G115)))</formula>
    </cfRule>
  </conditionalFormatting>
  <conditionalFormatting sqref="G116">
    <cfRule type="containsText" dxfId="1406" priority="1423" operator="containsText" text="zz">
      <formula>NOT(ISERROR(SEARCH("zz",G116)))</formula>
    </cfRule>
  </conditionalFormatting>
  <conditionalFormatting sqref="G117">
    <cfRule type="containsText" dxfId="1405" priority="1422" operator="containsText" text="zz">
      <formula>NOT(ISERROR(SEARCH("zz",G117)))</formula>
    </cfRule>
  </conditionalFormatting>
  <conditionalFormatting sqref="G118">
    <cfRule type="containsText" dxfId="1404" priority="1421" operator="containsText" text="zz">
      <formula>NOT(ISERROR(SEARCH("zz",G118)))</formula>
    </cfRule>
  </conditionalFormatting>
  <conditionalFormatting sqref="G119">
    <cfRule type="containsText" dxfId="1403" priority="1420" operator="containsText" text="zz">
      <formula>NOT(ISERROR(SEARCH("zz",G119)))</formula>
    </cfRule>
  </conditionalFormatting>
  <conditionalFormatting sqref="G120">
    <cfRule type="containsText" dxfId="1402" priority="1419" operator="containsText" text="zz">
      <formula>NOT(ISERROR(SEARCH("zz",G120)))</formula>
    </cfRule>
  </conditionalFormatting>
  <conditionalFormatting sqref="G121">
    <cfRule type="containsText" dxfId="1401" priority="1418" operator="containsText" text="zz">
      <formula>NOT(ISERROR(SEARCH("zz",G121)))</formula>
    </cfRule>
  </conditionalFormatting>
  <conditionalFormatting sqref="G122:G123 G125:G131">
    <cfRule type="containsText" dxfId="1400" priority="1417" operator="containsText" text="zz">
      <formula>NOT(ISERROR(SEARCH("zz",G122)))</formula>
    </cfRule>
  </conditionalFormatting>
  <conditionalFormatting sqref="G124">
    <cfRule type="containsText" dxfId="1399" priority="1416" operator="containsText" text="zz">
      <formula>NOT(ISERROR(SEARCH("zz",G124)))</formula>
    </cfRule>
  </conditionalFormatting>
  <conditionalFormatting sqref="G124">
    <cfRule type="containsText" dxfId="1398" priority="1415" operator="containsText" text="zz">
      <formula>NOT(ISERROR(SEARCH("zz",G124)))</formula>
    </cfRule>
  </conditionalFormatting>
  <conditionalFormatting sqref="G132">
    <cfRule type="containsText" dxfId="1397" priority="1414" operator="containsText" text="zz">
      <formula>NOT(ISERROR(SEARCH("zz",G132)))</formula>
    </cfRule>
  </conditionalFormatting>
  <conditionalFormatting sqref="G133">
    <cfRule type="containsText" dxfId="1396" priority="1413" operator="containsText" text="zz">
      <formula>NOT(ISERROR(SEARCH("zz",G133)))</formula>
    </cfRule>
  </conditionalFormatting>
  <conditionalFormatting sqref="G134">
    <cfRule type="containsText" dxfId="1395" priority="1412" operator="containsText" text="zz">
      <formula>NOT(ISERROR(SEARCH("zz",G134)))</formula>
    </cfRule>
  </conditionalFormatting>
  <conditionalFormatting sqref="G136">
    <cfRule type="containsText" dxfId="1394" priority="1411" operator="containsText" text="zz">
      <formula>NOT(ISERROR(SEARCH("zz",G136)))</formula>
    </cfRule>
  </conditionalFormatting>
  <conditionalFormatting sqref="G137">
    <cfRule type="containsText" dxfId="1393" priority="1410" operator="containsText" text="zz">
      <formula>NOT(ISERROR(SEARCH("zz",G137)))</formula>
    </cfRule>
  </conditionalFormatting>
  <conditionalFormatting sqref="G138">
    <cfRule type="containsText" dxfId="1392" priority="1409" operator="containsText" text="zz">
      <formula>NOT(ISERROR(SEARCH("zz",G138)))</formula>
    </cfRule>
  </conditionalFormatting>
  <conditionalFormatting sqref="G139">
    <cfRule type="containsText" dxfId="1391" priority="1408" operator="containsText" text="zz">
      <formula>NOT(ISERROR(SEARCH("zz",G139)))</formula>
    </cfRule>
  </conditionalFormatting>
  <conditionalFormatting sqref="G140">
    <cfRule type="containsText" dxfId="1390" priority="1407" operator="containsText" text="zz">
      <formula>NOT(ISERROR(SEARCH("zz",G140)))</formula>
    </cfRule>
  </conditionalFormatting>
  <conditionalFormatting sqref="G160">
    <cfRule type="containsText" dxfId="1389" priority="1406" operator="containsText" text="zz">
      <formula>NOT(ISERROR(SEARCH("zz",G160)))</formula>
    </cfRule>
  </conditionalFormatting>
  <conditionalFormatting sqref="G135">
    <cfRule type="containsText" dxfId="1388" priority="1405" operator="containsText" text="zz">
      <formula>NOT(ISERROR(SEARCH("zz",G135)))</formula>
    </cfRule>
  </conditionalFormatting>
  <conditionalFormatting sqref="G135">
    <cfRule type="containsText" dxfId="1387" priority="1404" operator="containsText" text="zz">
      <formula>NOT(ISERROR(SEARCH("zz",G135)))</formula>
    </cfRule>
  </conditionalFormatting>
  <conditionalFormatting sqref="G158:G159">
    <cfRule type="containsText" dxfId="1386" priority="1403" operator="containsText" text="zz">
      <formula>NOT(ISERROR(SEARCH("zz",G158)))</formula>
    </cfRule>
  </conditionalFormatting>
  <conditionalFormatting sqref="G161">
    <cfRule type="containsText" dxfId="1385" priority="1402" operator="containsText" text="zz">
      <formula>NOT(ISERROR(SEARCH("zz",G161)))</formula>
    </cfRule>
  </conditionalFormatting>
  <conditionalFormatting sqref="G162">
    <cfRule type="containsText" dxfId="1384" priority="1401" operator="containsText" text="zz">
      <formula>NOT(ISERROR(SEARCH("zz",G162)))</formula>
    </cfRule>
  </conditionalFormatting>
  <conditionalFormatting sqref="G163">
    <cfRule type="containsText" dxfId="1383" priority="1400" operator="containsText" text="zz">
      <formula>NOT(ISERROR(SEARCH("zz",G163)))</formula>
    </cfRule>
  </conditionalFormatting>
  <conditionalFormatting sqref="G164">
    <cfRule type="containsText" dxfId="1382" priority="1399" operator="containsText" text="zz">
      <formula>NOT(ISERROR(SEARCH("zz",G164)))</formula>
    </cfRule>
  </conditionalFormatting>
  <conditionalFormatting sqref="G165">
    <cfRule type="containsText" dxfId="1381" priority="1398" operator="containsText" text="zz">
      <formula>NOT(ISERROR(SEARCH("zz",G165)))</formula>
    </cfRule>
  </conditionalFormatting>
  <conditionalFormatting sqref="G166">
    <cfRule type="containsText" dxfId="1380" priority="1397" operator="containsText" text="zz">
      <formula>NOT(ISERROR(SEARCH("zz",G166)))</formula>
    </cfRule>
  </conditionalFormatting>
  <conditionalFormatting sqref="G167 G262">
    <cfRule type="containsText" dxfId="1379" priority="1396" operator="containsText" text="zz">
      <formula>NOT(ISERROR(SEARCH("zz",G167)))</formula>
    </cfRule>
  </conditionalFormatting>
  <conditionalFormatting sqref="G168">
    <cfRule type="containsText" dxfId="1378" priority="1395" operator="containsText" text="zz">
      <formula>NOT(ISERROR(SEARCH("zz",G168)))</formula>
    </cfRule>
  </conditionalFormatting>
  <conditionalFormatting sqref="G177 G183">
    <cfRule type="containsText" dxfId="1377" priority="1389" operator="containsText" text="zz">
      <formula>NOT(ISERROR(SEARCH("zz",G177)))</formula>
    </cfRule>
  </conditionalFormatting>
  <conditionalFormatting sqref="G169">
    <cfRule type="containsText" dxfId="1376" priority="1394" operator="containsText" text="zz">
      <formula>NOT(ISERROR(SEARCH("zz",G169)))</formula>
    </cfRule>
  </conditionalFormatting>
  <conditionalFormatting sqref="G171">
    <cfRule type="containsText" dxfId="1375" priority="1393" operator="containsText" text="zz">
      <formula>NOT(ISERROR(SEARCH("zz",G171)))</formula>
    </cfRule>
  </conditionalFormatting>
  <conditionalFormatting sqref="G172">
    <cfRule type="containsText" dxfId="1374" priority="1392" operator="containsText" text="zz">
      <formula>NOT(ISERROR(SEARCH("zz",G172)))</formula>
    </cfRule>
  </conditionalFormatting>
  <conditionalFormatting sqref="G173:G175">
    <cfRule type="containsText" dxfId="1373" priority="1391" operator="containsText" text="zz">
      <formula>NOT(ISERROR(SEARCH("zz",G173)))</formula>
    </cfRule>
  </conditionalFormatting>
  <conditionalFormatting sqref="G179 G181">
    <cfRule type="containsText" dxfId="1372" priority="1388" operator="containsText" text="zz">
      <formula>NOT(ISERROR(SEARCH("zz",G179)))</formula>
    </cfRule>
  </conditionalFormatting>
  <conditionalFormatting sqref="G178">
    <cfRule type="containsText" dxfId="1371" priority="1387" operator="containsText" text="zz">
      <formula>NOT(ISERROR(SEARCH("zz",G178)))</formula>
    </cfRule>
  </conditionalFormatting>
  <conditionalFormatting sqref="G176">
    <cfRule type="containsText" dxfId="1370" priority="1390" operator="containsText" text="zz">
      <formula>NOT(ISERROR(SEARCH("zz",G176)))</formula>
    </cfRule>
  </conditionalFormatting>
  <conditionalFormatting sqref="G180">
    <cfRule type="containsText" dxfId="1369" priority="1386" operator="containsText" text="zz">
      <formula>NOT(ISERROR(SEARCH("zz",G180)))</formula>
    </cfRule>
  </conditionalFormatting>
  <conditionalFormatting sqref="G184">
    <cfRule type="containsText" dxfId="1368" priority="1385" operator="containsText" text="zz">
      <formula>NOT(ISERROR(SEARCH("zz",G184)))</formula>
    </cfRule>
  </conditionalFormatting>
  <conditionalFormatting sqref="G185">
    <cfRule type="containsText" dxfId="1367" priority="1384" operator="containsText" text="zz">
      <formula>NOT(ISERROR(SEARCH("zz",G185)))</formula>
    </cfRule>
  </conditionalFormatting>
  <conditionalFormatting sqref="G186">
    <cfRule type="containsText" dxfId="1366" priority="1383" operator="containsText" text="zz">
      <formula>NOT(ISERROR(SEARCH("zz",G186)))</formula>
    </cfRule>
  </conditionalFormatting>
  <conditionalFormatting sqref="G187">
    <cfRule type="containsText" dxfId="1365" priority="1382" operator="containsText" text="zz">
      <formula>NOT(ISERROR(SEARCH("zz",G187)))</formula>
    </cfRule>
  </conditionalFormatting>
  <conditionalFormatting sqref="G188">
    <cfRule type="containsText" dxfId="1364" priority="1381" operator="containsText" text="zz">
      <formula>NOT(ISERROR(SEARCH("zz",G188)))</formula>
    </cfRule>
  </conditionalFormatting>
  <conditionalFormatting sqref="G189">
    <cfRule type="containsText" dxfId="1363" priority="1380" operator="containsText" text="zz">
      <formula>NOT(ISERROR(SEARCH("zz",G189)))</formula>
    </cfRule>
  </conditionalFormatting>
  <conditionalFormatting sqref="G190">
    <cfRule type="containsText" dxfId="1362" priority="1379" operator="containsText" text="zz">
      <formula>NOT(ISERROR(SEARCH("zz",G190)))</formula>
    </cfRule>
  </conditionalFormatting>
  <conditionalFormatting sqref="G191">
    <cfRule type="containsText" dxfId="1361" priority="1378" operator="containsText" text="zz">
      <formula>NOT(ISERROR(SEARCH("zz",G191)))</formula>
    </cfRule>
  </conditionalFormatting>
  <conditionalFormatting sqref="G192">
    <cfRule type="containsText" dxfId="1360" priority="1377" operator="containsText" text="zz">
      <formula>NOT(ISERROR(SEARCH("zz",G192)))</formula>
    </cfRule>
  </conditionalFormatting>
  <conditionalFormatting sqref="G194">
    <cfRule type="containsText" dxfId="1359" priority="1376" operator="containsText" text="zz">
      <formula>NOT(ISERROR(SEARCH("zz",G194)))</formula>
    </cfRule>
  </conditionalFormatting>
  <conditionalFormatting sqref="G195">
    <cfRule type="containsText" dxfId="1358" priority="1375" operator="containsText" text="zz">
      <formula>NOT(ISERROR(SEARCH("zz",G195)))</formula>
    </cfRule>
  </conditionalFormatting>
  <conditionalFormatting sqref="G197">
    <cfRule type="containsText" dxfId="1357" priority="1374" operator="containsText" text="zz">
      <formula>NOT(ISERROR(SEARCH("zz",G197)))</formula>
    </cfRule>
  </conditionalFormatting>
  <conditionalFormatting sqref="G199">
    <cfRule type="containsText" dxfId="1356" priority="1373" operator="containsText" text="zz">
      <formula>NOT(ISERROR(SEARCH("zz",G199)))</formula>
    </cfRule>
  </conditionalFormatting>
  <conditionalFormatting sqref="G200:G202">
    <cfRule type="containsText" dxfId="1355" priority="1372" operator="containsText" text="zz">
      <formula>NOT(ISERROR(SEARCH("zz",G200)))</formula>
    </cfRule>
  </conditionalFormatting>
  <conditionalFormatting sqref="G203 G222:G227 G260:G261">
    <cfRule type="containsText" dxfId="1354" priority="1371" operator="containsText" text="zz">
      <formula>NOT(ISERROR(SEARCH("zz",G203)))</formula>
    </cfRule>
  </conditionalFormatting>
  <conditionalFormatting sqref="G204">
    <cfRule type="containsText" dxfId="1353" priority="1370" operator="containsText" text="zz">
      <formula>NOT(ISERROR(SEARCH("zz",G204)))</formula>
    </cfRule>
  </conditionalFormatting>
  <conditionalFormatting sqref="G205">
    <cfRule type="containsText" dxfId="1352" priority="1369" operator="containsText" text="zz">
      <formula>NOT(ISERROR(SEARCH("zz",G205)))</formula>
    </cfRule>
  </conditionalFormatting>
  <conditionalFormatting sqref="G206">
    <cfRule type="containsText" dxfId="1351" priority="1368" operator="containsText" text="zz">
      <formula>NOT(ISERROR(SEARCH("zz",G206)))</formula>
    </cfRule>
  </conditionalFormatting>
  <conditionalFormatting sqref="G207">
    <cfRule type="containsText" dxfId="1350" priority="1367" operator="containsText" text="zz">
      <formula>NOT(ISERROR(SEARCH("zz",G207)))</formula>
    </cfRule>
  </conditionalFormatting>
  <conditionalFormatting sqref="G208">
    <cfRule type="containsText" dxfId="1349" priority="1366" operator="containsText" text="zz">
      <formula>NOT(ISERROR(SEARCH("zz",G208)))</formula>
    </cfRule>
  </conditionalFormatting>
  <conditionalFormatting sqref="G209">
    <cfRule type="containsText" dxfId="1348" priority="1365" operator="containsText" text="zz">
      <formula>NOT(ISERROR(SEARCH("zz",G209)))</formula>
    </cfRule>
  </conditionalFormatting>
  <conditionalFormatting sqref="G63">
    <cfRule type="containsText" dxfId="1347" priority="1364" operator="containsText" text="zz">
      <formula>NOT(ISERROR(SEARCH("zz",G63)))</formula>
    </cfRule>
  </conditionalFormatting>
  <conditionalFormatting sqref="G213:G218 G220">
    <cfRule type="containsText" dxfId="1346" priority="1363" operator="containsText" text="zz">
      <formula>NOT(ISERROR(SEARCH("zz",G213)))</formula>
    </cfRule>
  </conditionalFormatting>
  <conditionalFormatting sqref="G228 G257:G258 G254">
    <cfRule type="containsText" dxfId="1345" priority="1359" operator="containsText" text="zz">
      <formula>NOT(ISERROR(SEARCH("zz",G228)))</formula>
    </cfRule>
  </conditionalFormatting>
  <conditionalFormatting sqref="G219">
    <cfRule type="containsText" dxfId="1344" priority="1362" operator="containsText" text="zz">
      <formula>NOT(ISERROR(SEARCH("zz",G219)))</formula>
    </cfRule>
  </conditionalFormatting>
  <conditionalFormatting sqref="G243">
    <cfRule type="containsText" dxfId="1343" priority="1358" operator="containsText" text="zz">
      <formula>NOT(ISERROR(SEARCH("zz",G243)))</formula>
    </cfRule>
  </conditionalFormatting>
  <conditionalFormatting sqref="G221:G227">
    <cfRule type="containsText" dxfId="1342" priority="1361" operator="containsText" text="zz">
      <formula>NOT(ISERROR(SEARCH("zz",G221)))</formula>
    </cfRule>
  </conditionalFormatting>
  <conditionalFormatting sqref="G228 G257:G258 G254">
    <cfRule type="containsText" dxfId="1341" priority="1360" operator="containsText" text="zz">
      <formula>NOT(ISERROR(SEARCH("zz",G228)))</formula>
    </cfRule>
  </conditionalFormatting>
  <conditionalFormatting sqref="G238">
    <cfRule type="containsText" dxfId="1340" priority="1356" operator="containsText" text="zz">
      <formula>NOT(ISERROR(SEARCH("zz",G238)))</formula>
    </cfRule>
  </conditionalFormatting>
  <conditionalFormatting sqref="G229">
    <cfRule type="containsText" dxfId="1339" priority="1355" operator="containsText" text="zz">
      <formula>NOT(ISERROR(SEARCH("zz",G229)))</formula>
    </cfRule>
  </conditionalFormatting>
  <conditionalFormatting sqref="G235">
    <cfRule type="containsText" dxfId="1338" priority="1354" operator="containsText" text="zz">
      <formula>NOT(ISERROR(SEARCH("zz",G235)))</formula>
    </cfRule>
  </conditionalFormatting>
  <conditionalFormatting sqref="G210">
    <cfRule type="containsText" dxfId="1337" priority="1357" operator="containsText" text="zz">
      <formula>NOT(ISERROR(SEARCH("zz",G210)))</formula>
    </cfRule>
  </conditionalFormatting>
  <conditionalFormatting sqref="G236">
    <cfRule type="containsText" dxfId="1336" priority="1353" operator="containsText" text="zz">
      <formula>NOT(ISERROR(SEARCH("zz",G236)))</formula>
    </cfRule>
  </conditionalFormatting>
  <conditionalFormatting sqref="G230">
    <cfRule type="containsText" dxfId="1335" priority="1352" operator="containsText" text="zz">
      <formula>NOT(ISERROR(SEARCH("zz",G230)))</formula>
    </cfRule>
  </conditionalFormatting>
  <conditionalFormatting sqref="G237">
    <cfRule type="containsText" dxfId="1334" priority="1351" operator="containsText" text="zz">
      <formula>NOT(ISERROR(SEARCH("zz",G237)))</formula>
    </cfRule>
  </conditionalFormatting>
  <conditionalFormatting sqref="G231">
    <cfRule type="containsText" dxfId="1333" priority="1350" operator="containsText" text="zz">
      <formula>NOT(ISERROR(SEARCH("zz",G231)))</formula>
    </cfRule>
  </conditionalFormatting>
  <conditionalFormatting sqref="G232">
    <cfRule type="containsText" dxfId="1332" priority="1349" operator="containsText" text="zz">
      <formula>NOT(ISERROR(SEARCH("zz",G232)))</formula>
    </cfRule>
  </conditionalFormatting>
  <conditionalFormatting sqref="G170">
    <cfRule type="containsText" dxfId="1331" priority="1348" operator="containsText" text="zz">
      <formula>NOT(ISERROR(SEARCH("zz",G170)))</formula>
    </cfRule>
  </conditionalFormatting>
  <conditionalFormatting sqref="G239">
    <cfRule type="containsText" dxfId="1330" priority="1347" operator="containsText" text="zz">
      <formula>NOT(ISERROR(SEARCH("zz",G239)))</formula>
    </cfRule>
  </conditionalFormatting>
  <conditionalFormatting sqref="G233">
    <cfRule type="containsText" dxfId="1329" priority="1346" operator="containsText" text="zz">
      <formula>NOT(ISERROR(SEARCH("zz",G233)))</formula>
    </cfRule>
  </conditionalFormatting>
  <conditionalFormatting sqref="G234">
    <cfRule type="containsText" dxfId="1328" priority="1345" operator="containsText" text="zz">
      <formula>NOT(ISERROR(SEARCH("zz",G234)))</formula>
    </cfRule>
  </conditionalFormatting>
  <conditionalFormatting sqref="G193">
    <cfRule type="containsText" dxfId="1327" priority="1344" operator="containsText" text="zz">
      <formula>NOT(ISERROR(SEARCH("zz",G193)))</formula>
    </cfRule>
  </conditionalFormatting>
  <conditionalFormatting sqref="G240">
    <cfRule type="containsText" dxfId="1326" priority="1343" operator="containsText" text="zz">
      <formula>NOT(ISERROR(SEARCH("zz",G240)))</formula>
    </cfRule>
  </conditionalFormatting>
  <conditionalFormatting sqref="G241">
    <cfRule type="containsText" dxfId="1325" priority="1342" operator="containsText" text="zz">
      <formula>NOT(ISERROR(SEARCH("zz",G241)))</formula>
    </cfRule>
  </conditionalFormatting>
  <conditionalFormatting sqref="G211">
    <cfRule type="containsText" dxfId="1324" priority="1341" operator="containsText" text="zz">
      <formula>NOT(ISERROR(SEARCH("zz",G211)))</formula>
    </cfRule>
  </conditionalFormatting>
  <conditionalFormatting sqref="G242">
    <cfRule type="containsText" dxfId="1323" priority="1340" operator="containsText" text="zz">
      <formula>NOT(ISERROR(SEARCH("zz",G242)))</formula>
    </cfRule>
  </conditionalFormatting>
  <conditionalFormatting sqref="G255:G262">
    <cfRule type="containsText" dxfId="1322" priority="1338" operator="containsText" text="zz">
      <formula>NOT(ISERROR(SEARCH("zz",G255)))</formula>
    </cfRule>
  </conditionalFormatting>
  <conditionalFormatting sqref="G255:G262">
    <cfRule type="containsText" dxfId="1321" priority="1339" operator="containsText" text="zz">
      <formula>NOT(ISERROR(SEARCH("zz",G255)))</formula>
    </cfRule>
  </conditionalFormatting>
  <conditionalFormatting sqref="G259">
    <cfRule type="containsText" dxfId="1320" priority="1336" operator="containsText" text="zz">
      <formula>NOT(ISERROR(SEARCH("zz",G259)))</formula>
    </cfRule>
  </conditionalFormatting>
  <conditionalFormatting sqref="G259">
    <cfRule type="containsText" dxfId="1319" priority="1337" operator="containsText" text="zz">
      <formula>NOT(ISERROR(SEARCH("zz",G259)))</formula>
    </cfRule>
  </conditionalFormatting>
  <conditionalFormatting sqref="G263">
    <cfRule type="containsText" dxfId="1318" priority="1335" operator="containsText" text="zz">
      <formula>NOT(ISERROR(SEARCH("zz",G263)))</formula>
    </cfRule>
  </conditionalFormatting>
  <conditionalFormatting sqref="G249:G250">
    <cfRule type="containsText" dxfId="1317" priority="1334" operator="containsText" text="zz">
      <formula>NOT(ISERROR(SEARCH("zz",G249)))</formula>
    </cfRule>
  </conditionalFormatting>
  <conditionalFormatting sqref="G299">
    <cfRule type="containsText" dxfId="1316" priority="1333" operator="containsText" text="zz">
      <formula>NOT(ISERROR(SEARCH("zz",G299)))</formula>
    </cfRule>
  </conditionalFormatting>
  <conditionalFormatting sqref="G212">
    <cfRule type="containsText" dxfId="1315" priority="1332" operator="containsText" text="zz">
      <formula>NOT(ISERROR(SEARCH("zz",G212)))</formula>
    </cfRule>
  </conditionalFormatting>
  <conditionalFormatting sqref="G298">
    <cfRule type="containsText" dxfId="1314" priority="1330" operator="containsText" text="zz">
      <formula>NOT(ISERROR(SEARCH("zz",G298)))</formula>
    </cfRule>
  </conditionalFormatting>
  <conditionalFormatting sqref="G298">
    <cfRule type="containsText" dxfId="1313" priority="1331" operator="containsText" text="zz">
      <formula>NOT(ISERROR(SEARCH("zz",G298)))</formula>
    </cfRule>
  </conditionalFormatting>
  <conditionalFormatting sqref="G302">
    <cfRule type="containsText" dxfId="1312" priority="1329" operator="containsText" text="zz">
      <formula>NOT(ISERROR(SEARCH("zz",G302)))</formula>
    </cfRule>
  </conditionalFormatting>
  <conditionalFormatting sqref="G317">
    <cfRule type="containsText" dxfId="1311" priority="1328" operator="containsText" text="zz">
      <formula>NOT(ISERROR(SEARCH("zz",G317)))</formula>
    </cfRule>
  </conditionalFormatting>
  <conditionalFormatting sqref="G318">
    <cfRule type="containsText" dxfId="1310" priority="1327" operator="containsText" text="zz">
      <formula>NOT(ISERROR(SEARCH("zz",G318)))</formula>
    </cfRule>
  </conditionalFormatting>
  <conditionalFormatting sqref="G319">
    <cfRule type="containsText" dxfId="1309" priority="1326" operator="containsText" text="zz">
      <formula>NOT(ISERROR(SEARCH("zz",G319)))</formula>
    </cfRule>
  </conditionalFormatting>
  <conditionalFormatting sqref="G320">
    <cfRule type="containsText" dxfId="1308" priority="1325" operator="containsText" text="zz">
      <formula>NOT(ISERROR(SEARCH("zz",G320)))</formula>
    </cfRule>
  </conditionalFormatting>
  <conditionalFormatting sqref="G321">
    <cfRule type="containsText" dxfId="1307" priority="1324" operator="containsText" text="zz">
      <formula>NOT(ISERROR(SEARCH("zz",G321)))</formula>
    </cfRule>
  </conditionalFormatting>
  <conditionalFormatting sqref="G322">
    <cfRule type="containsText" dxfId="1306" priority="1323" operator="containsText" text="zz">
      <formula>NOT(ISERROR(SEARCH("zz",G322)))</formula>
    </cfRule>
  </conditionalFormatting>
  <conditionalFormatting sqref="G324">
    <cfRule type="containsText" dxfId="1305" priority="1322" operator="containsText" text="zz">
      <formula>NOT(ISERROR(SEARCH("zz",G324)))</formula>
    </cfRule>
  </conditionalFormatting>
  <conditionalFormatting sqref="G325">
    <cfRule type="containsText" dxfId="1304" priority="1321" operator="containsText" text="zz">
      <formula>NOT(ISERROR(SEARCH("zz",G325)))</formula>
    </cfRule>
  </conditionalFormatting>
  <conditionalFormatting sqref="G338">
    <cfRule type="containsText" dxfId="1303" priority="1320" operator="containsText" text="zz">
      <formula>NOT(ISERROR(SEARCH("zz",G338)))</formula>
    </cfRule>
  </conditionalFormatting>
  <conditionalFormatting sqref="G346">
    <cfRule type="containsText" dxfId="1302" priority="1319" operator="containsText" text="zz">
      <formula>NOT(ISERROR(SEARCH("zz",G346)))</formula>
    </cfRule>
  </conditionalFormatting>
  <conditionalFormatting sqref="G336">
    <cfRule type="containsText" dxfId="1301" priority="1318" operator="containsText" text="zz">
      <formula>NOT(ISERROR(SEARCH("zz",G336)))</formula>
    </cfRule>
  </conditionalFormatting>
  <conditionalFormatting sqref="G198">
    <cfRule type="containsText" dxfId="1300" priority="1317" operator="containsText" text="zz">
      <formula>NOT(ISERROR(SEARCH("zz",G198)))</formula>
    </cfRule>
  </conditionalFormatting>
  <conditionalFormatting sqref="G252">
    <cfRule type="containsText" dxfId="1299" priority="1316" operator="containsText" text="zz">
      <formula>NOT(ISERROR(SEARCH("zz",G252)))</formula>
    </cfRule>
  </conditionalFormatting>
  <conditionalFormatting sqref="G253">
    <cfRule type="containsText" dxfId="1298" priority="1315" operator="containsText" text="zz">
      <formula>NOT(ISERROR(SEARCH("zz",G253)))</formula>
    </cfRule>
  </conditionalFormatting>
  <conditionalFormatting sqref="G327">
    <cfRule type="containsText" dxfId="1297" priority="1314" operator="containsText" text="zz">
      <formula>NOT(ISERROR(SEARCH("zz",G327)))</formula>
    </cfRule>
  </conditionalFormatting>
  <conditionalFormatting sqref="G314">
    <cfRule type="containsText" dxfId="1296" priority="1313" operator="containsText" text="zz">
      <formula>NOT(ISERROR(SEARCH("zz",G314)))</formula>
    </cfRule>
  </conditionalFormatting>
  <conditionalFormatting sqref="G315">
    <cfRule type="containsText" dxfId="1295" priority="1312" operator="containsText" text="zz">
      <formula>NOT(ISERROR(SEARCH("zz",G315)))</formula>
    </cfRule>
  </conditionalFormatting>
  <conditionalFormatting sqref="G349">
    <cfRule type="containsText" dxfId="1294" priority="1311" operator="containsText" text="zz">
      <formula>NOT(ISERROR(SEARCH("zz",G349)))</formula>
    </cfRule>
  </conditionalFormatting>
  <conditionalFormatting sqref="G351">
    <cfRule type="containsText" dxfId="1293" priority="1310" operator="containsText" text="zz">
      <formula>NOT(ISERROR(SEARCH("zz",G351)))</formula>
    </cfRule>
  </conditionalFormatting>
  <conditionalFormatting sqref="G352">
    <cfRule type="containsText" dxfId="1292" priority="1309" operator="containsText" text="zz">
      <formula>NOT(ISERROR(SEARCH("zz",G352)))</formula>
    </cfRule>
  </conditionalFormatting>
  <conditionalFormatting sqref="G311">
    <cfRule type="containsText" dxfId="1291" priority="1308" operator="containsText" text="zz">
      <formula>NOT(ISERROR(SEARCH("zz",G311)))</formula>
    </cfRule>
  </conditionalFormatting>
  <conditionalFormatting sqref="G312">
    <cfRule type="containsText" dxfId="1290" priority="1307" operator="containsText" text="zz">
      <formula>NOT(ISERROR(SEARCH("zz",G312)))</formula>
    </cfRule>
  </conditionalFormatting>
  <conditionalFormatting sqref="G354">
    <cfRule type="containsText" dxfId="1289" priority="1306" operator="containsText" text="zz">
      <formula>NOT(ISERROR(SEARCH("zz",G354)))</formula>
    </cfRule>
  </conditionalFormatting>
  <conditionalFormatting sqref="G360 G363">
    <cfRule type="containsText" dxfId="1288" priority="1305" operator="containsText" text="zz">
      <formula>NOT(ISERROR(SEARCH("zz",G360)))</formula>
    </cfRule>
  </conditionalFormatting>
  <conditionalFormatting sqref="G359">
    <cfRule type="containsText" dxfId="1287" priority="1303" operator="containsText" text="zz">
      <formula>NOT(ISERROR(SEARCH("zz",G359)))</formula>
    </cfRule>
  </conditionalFormatting>
  <conditionalFormatting sqref="G358">
    <cfRule type="containsText" dxfId="1286" priority="1304" operator="containsText" text="zz">
      <formula>NOT(ISERROR(SEARCH("zz",G358)))</formula>
    </cfRule>
  </conditionalFormatting>
  <conditionalFormatting sqref="G364">
    <cfRule type="containsText" dxfId="1285" priority="1301" operator="containsText" text="zz">
      <formula>NOT(ISERROR(SEARCH("zz",G364)))</formula>
    </cfRule>
  </conditionalFormatting>
  <conditionalFormatting sqref="G361">
    <cfRule type="containsText" dxfId="1284" priority="1302" operator="containsText" text="zz">
      <formula>NOT(ISERROR(SEARCH("zz",G361)))</formula>
    </cfRule>
  </conditionalFormatting>
  <conditionalFormatting sqref="G365">
    <cfRule type="containsText" dxfId="1283" priority="1299" operator="containsText" text="zz">
      <formula>NOT(ISERROR(SEARCH("zz",G365)))</formula>
    </cfRule>
  </conditionalFormatting>
  <conditionalFormatting sqref="G362">
    <cfRule type="containsText" dxfId="1282" priority="1300" operator="containsText" text="zz">
      <formula>NOT(ISERROR(SEARCH("zz",G362)))</formula>
    </cfRule>
  </conditionalFormatting>
  <conditionalFormatting sqref="G365">
    <cfRule type="containsText" dxfId="1281" priority="1298" operator="containsText" text="zz">
      <formula>NOT(ISERROR(SEARCH("zz",G365)))</formula>
    </cfRule>
  </conditionalFormatting>
  <conditionalFormatting sqref="G366">
    <cfRule type="containsText" dxfId="1280" priority="1296" operator="containsText" text="zz">
      <formula>NOT(ISERROR(SEARCH("zz",G366)))</formula>
    </cfRule>
  </conditionalFormatting>
  <conditionalFormatting sqref="G366">
    <cfRule type="containsText" dxfId="1279" priority="1297" operator="containsText" text="zz">
      <formula>NOT(ISERROR(SEARCH("zz",G366)))</formula>
    </cfRule>
  </conditionalFormatting>
  <conditionalFormatting sqref="G367">
    <cfRule type="containsText" dxfId="1278" priority="1295" operator="containsText" text="zz">
      <formula>NOT(ISERROR(SEARCH("zz",G367)))</formula>
    </cfRule>
  </conditionalFormatting>
  <conditionalFormatting sqref="G367">
    <cfRule type="containsText" dxfId="1277" priority="1293" operator="containsText" text="zz">
      <formula>NOT(ISERROR(SEARCH("zz",G367)))</formula>
    </cfRule>
  </conditionalFormatting>
  <conditionalFormatting sqref="G367">
    <cfRule type="containsText" dxfId="1276" priority="1294" operator="containsText" text="zz">
      <formula>NOT(ISERROR(SEARCH("zz",G367)))</formula>
    </cfRule>
  </conditionalFormatting>
  <conditionalFormatting sqref="G368">
    <cfRule type="containsText" dxfId="1275" priority="1292" operator="containsText" text="zz">
      <formula>NOT(ISERROR(SEARCH("zz",G368)))</formula>
    </cfRule>
  </conditionalFormatting>
  <conditionalFormatting sqref="G377">
    <cfRule type="containsText" dxfId="1274" priority="1291" operator="containsText" text="zz">
      <formula>NOT(ISERROR(SEARCH("zz",G377)))</formula>
    </cfRule>
  </conditionalFormatting>
  <conditionalFormatting sqref="G378">
    <cfRule type="containsText" dxfId="1273" priority="1289" operator="containsText" text="zz">
      <formula>NOT(ISERROR(SEARCH("zz",G378)))</formula>
    </cfRule>
  </conditionalFormatting>
  <conditionalFormatting sqref="G378">
    <cfRule type="containsText" dxfId="1272" priority="1290" operator="containsText" text="zz">
      <formula>NOT(ISERROR(SEARCH("zz",G378)))</formula>
    </cfRule>
  </conditionalFormatting>
  <conditionalFormatting sqref="G378">
    <cfRule type="containsText" dxfId="1271" priority="1287" operator="containsText" text="zz">
      <formula>NOT(ISERROR(SEARCH("zz",G378)))</formula>
    </cfRule>
  </conditionalFormatting>
  <conditionalFormatting sqref="G378">
    <cfRule type="containsText" dxfId="1270" priority="1288" operator="containsText" text="zz">
      <formula>NOT(ISERROR(SEARCH("zz",G378)))</formula>
    </cfRule>
  </conditionalFormatting>
  <conditionalFormatting sqref="G379">
    <cfRule type="containsText" dxfId="1269" priority="1285" operator="containsText" text="zz">
      <formula>NOT(ISERROR(SEARCH("zz",G379)))</formula>
    </cfRule>
  </conditionalFormatting>
  <conditionalFormatting sqref="G379">
    <cfRule type="containsText" dxfId="1268" priority="1286" operator="containsText" text="zz">
      <formula>NOT(ISERROR(SEARCH("zz",G379)))</formula>
    </cfRule>
  </conditionalFormatting>
  <conditionalFormatting sqref="G379">
    <cfRule type="containsText" dxfId="1267" priority="1283" operator="containsText" text="zz">
      <formula>NOT(ISERROR(SEARCH("zz",G379)))</formula>
    </cfRule>
  </conditionalFormatting>
  <conditionalFormatting sqref="G379">
    <cfRule type="containsText" dxfId="1266" priority="1284" operator="containsText" text="zz">
      <formula>NOT(ISERROR(SEARCH("zz",G379)))</formula>
    </cfRule>
  </conditionalFormatting>
  <conditionalFormatting sqref="G376">
    <cfRule type="containsText" dxfId="1265" priority="1282" operator="containsText" text="zz">
      <formula>NOT(ISERROR(SEARCH("zz",G376)))</formula>
    </cfRule>
  </conditionalFormatting>
  <conditionalFormatting sqref="G347">
    <cfRule type="containsText" dxfId="1264" priority="1281" operator="containsText" text="zz">
      <formula>NOT(ISERROR(SEARCH("zz",G347)))</formula>
    </cfRule>
  </conditionalFormatting>
  <conditionalFormatting sqref="G348">
    <cfRule type="containsText" dxfId="1263" priority="1280" operator="containsText" text="zz">
      <formula>NOT(ISERROR(SEARCH("zz",G348)))</formula>
    </cfRule>
  </conditionalFormatting>
  <conditionalFormatting sqref="G381">
    <cfRule type="containsText" dxfId="1262" priority="1278" operator="containsText" text="zz">
      <formula>NOT(ISERROR(SEARCH("zz",G381)))</formula>
    </cfRule>
  </conditionalFormatting>
  <conditionalFormatting sqref="G381">
    <cfRule type="containsText" dxfId="1261" priority="1279" operator="containsText" text="zz">
      <formula>NOT(ISERROR(SEARCH("zz",G381)))</formula>
    </cfRule>
  </conditionalFormatting>
  <conditionalFormatting sqref="G381">
    <cfRule type="containsText" dxfId="1260" priority="1276" operator="containsText" text="zz">
      <formula>NOT(ISERROR(SEARCH("zz",G381)))</formula>
    </cfRule>
  </conditionalFormatting>
  <conditionalFormatting sqref="G381">
    <cfRule type="containsText" dxfId="1259" priority="1277" operator="containsText" text="zz">
      <formula>NOT(ISERROR(SEARCH("zz",G381)))</formula>
    </cfRule>
  </conditionalFormatting>
  <conditionalFormatting sqref="G382:G386 G388:G391">
    <cfRule type="containsText" dxfId="1258" priority="1275" operator="containsText" text="zz">
      <formula>NOT(ISERROR(SEARCH("zz",G382)))</formula>
    </cfRule>
  </conditionalFormatting>
  <conditionalFormatting sqref="G375">
    <cfRule type="containsText" dxfId="1257" priority="1274" operator="containsText" text="zz">
      <formula>NOT(ISERROR(SEARCH("zz",G375)))</formula>
    </cfRule>
  </conditionalFormatting>
  <conditionalFormatting sqref="G369">
    <cfRule type="containsText" dxfId="1256" priority="1273" operator="containsText" text="zz">
      <formula>NOT(ISERROR(SEARCH("zz",G369)))</formula>
    </cfRule>
  </conditionalFormatting>
  <conditionalFormatting sqref="G370">
    <cfRule type="containsText" dxfId="1255" priority="1272" operator="containsText" text="zz">
      <formula>NOT(ISERROR(SEARCH("zz",G370)))</formula>
    </cfRule>
  </conditionalFormatting>
  <conditionalFormatting sqref="G283">
    <cfRule type="containsText" dxfId="1254" priority="1271" operator="containsText" text="zz">
      <formula>NOT(ISERROR(SEARCH("zz",G283)))</formula>
    </cfRule>
  </conditionalFormatting>
  <conditionalFormatting sqref="G282">
    <cfRule type="containsText" dxfId="1253" priority="1270" operator="containsText" text="zz">
      <formula>NOT(ISERROR(SEARCH("zz",G282)))</formula>
    </cfRule>
  </conditionalFormatting>
  <conditionalFormatting sqref="G371 G373">
    <cfRule type="containsText" dxfId="1252" priority="1269" operator="containsText" text="zz">
      <formula>NOT(ISERROR(SEARCH("zz",G371)))</formula>
    </cfRule>
  </conditionalFormatting>
  <conditionalFormatting sqref="G393:G396">
    <cfRule type="containsText" dxfId="1251" priority="1268" operator="containsText" text="zz">
      <formula>NOT(ISERROR(SEARCH("zz",G393)))</formula>
    </cfRule>
  </conditionalFormatting>
  <conditionalFormatting sqref="G415">
    <cfRule type="containsText" dxfId="1250" priority="1267" operator="containsText" text="zz">
      <formula>NOT(ISERROR(SEARCH("zz",G415)))</formula>
    </cfRule>
  </conditionalFormatting>
  <conditionalFormatting sqref="G427">
    <cfRule type="containsText" dxfId="1249" priority="1266" operator="containsText" text="zz">
      <formula>NOT(ISERROR(SEARCH("zz",G427)))</formula>
    </cfRule>
  </conditionalFormatting>
  <conditionalFormatting sqref="G408">
    <cfRule type="containsText" dxfId="1248" priority="1265" operator="containsText" text="zz">
      <formula>NOT(ISERROR(SEARCH("zz",G408)))</formula>
    </cfRule>
  </conditionalFormatting>
  <conditionalFormatting sqref="G429 G441:G445">
    <cfRule type="containsText" dxfId="1247" priority="1264" operator="containsText" text="zz">
      <formula>NOT(ISERROR(SEARCH("zz",G429)))</formula>
    </cfRule>
  </conditionalFormatting>
  <conditionalFormatting sqref="G430">
    <cfRule type="containsText" dxfId="1246" priority="1263" operator="containsText" text="zz">
      <formula>NOT(ISERROR(SEARCH("zz",G430)))</formula>
    </cfRule>
  </conditionalFormatting>
  <conditionalFormatting sqref="G342">
    <cfRule type="containsText" dxfId="1245" priority="1262" operator="containsText" text="zz">
      <formula>NOT(ISERROR(SEARCH("zz",G342)))</formula>
    </cfRule>
  </conditionalFormatting>
  <conditionalFormatting sqref="G403">
    <cfRule type="containsText" dxfId="1244" priority="1261" operator="containsText" text="zz">
      <formula>NOT(ISERROR(SEARCH("zz",G403)))</formula>
    </cfRule>
  </conditionalFormatting>
  <conditionalFormatting sqref="G431">
    <cfRule type="containsText" dxfId="1243" priority="1260" operator="containsText" text="zz">
      <formula>NOT(ISERROR(SEARCH("zz",G431)))</formula>
    </cfRule>
  </conditionalFormatting>
  <conditionalFormatting sqref="G422">
    <cfRule type="containsText" dxfId="1242" priority="1258" operator="containsText" text="zz">
      <formula>NOT(ISERROR(SEARCH("zz",G422)))</formula>
    </cfRule>
  </conditionalFormatting>
  <conditionalFormatting sqref="G421">
    <cfRule type="containsText" dxfId="1241" priority="1259" operator="containsText" text="zz">
      <formula>NOT(ISERROR(SEARCH("zz",G421)))</formula>
    </cfRule>
  </conditionalFormatting>
  <conditionalFormatting sqref="G432">
    <cfRule type="containsText" dxfId="1240" priority="1257" operator="containsText" text="zz">
      <formula>NOT(ISERROR(SEARCH("zz",G432)))</formula>
    </cfRule>
  </conditionalFormatting>
  <conditionalFormatting sqref="G433">
    <cfRule type="containsText" dxfId="1239" priority="1256" operator="containsText" text="zz">
      <formula>NOT(ISERROR(SEARCH("zz",G433)))</formula>
    </cfRule>
  </conditionalFormatting>
  <conditionalFormatting sqref="G402">
    <cfRule type="containsText" dxfId="1238" priority="1255" operator="containsText" text="zz">
      <formula>NOT(ISERROR(SEARCH("zz",G402)))</formula>
    </cfRule>
  </conditionalFormatting>
  <conditionalFormatting sqref="G447">
    <cfRule type="containsText" dxfId="1237" priority="1254" operator="containsText" text="zz">
      <formula>NOT(ISERROR(SEARCH("zz",G447)))</formula>
    </cfRule>
  </conditionalFormatting>
  <conditionalFormatting sqref="G434">
    <cfRule type="containsText" dxfId="1236" priority="1253" operator="containsText" text="zz">
      <formula>NOT(ISERROR(SEARCH("zz",G434)))</formula>
    </cfRule>
  </conditionalFormatting>
  <conditionalFormatting sqref="G435">
    <cfRule type="containsText" dxfId="1235" priority="1252" operator="containsText" text="zz">
      <formula>NOT(ISERROR(SEARCH("zz",G435)))</formula>
    </cfRule>
  </conditionalFormatting>
  <conditionalFormatting sqref="G436">
    <cfRule type="containsText" dxfId="1234" priority="1251" operator="containsText" text="zz">
      <formula>NOT(ISERROR(SEARCH("zz",G436)))</formula>
    </cfRule>
  </conditionalFormatting>
  <conditionalFormatting sqref="G436">
    <cfRule type="containsText" dxfId="1233" priority="1250" operator="containsText" text="zz">
      <formula>NOT(ISERROR(SEARCH("zz",G436)))</formula>
    </cfRule>
  </conditionalFormatting>
  <conditionalFormatting sqref="G437">
    <cfRule type="containsText" dxfId="1232" priority="1248" operator="containsText" text="zz">
      <formula>NOT(ISERROR(SEARCH("zz",G437)))</formula>
    </cfRule>
  </conditionalFormatting>
  <conditionalFormatting sqref="G437">
    <cfRule type="containsText" dxfId="1231" priority="1249" operator="containsText" text="zz">
      <formula>NOT(ISERROR(SEARCH("zz",G437)))</formula>
    </cfRule>
  </conditionalFormatting>
  <conditionalFormatting sqref="G438">
    <cfRule type="containsText" dxfId="1230" priority="1247" operator="containsText" text="zz">
      <formula>NOT(ISERROR(SEARCH("zz",G438)))</formula>
    </cfRule>
  </conditionalFormatting>
  <conditionalFormatting sqref="G438">
    <cfRule type="containsText" dxfId="1229" priority="1245" operator="containsText" text="zz">
      <formula>NOT(ISERROR(SEARCH("zz",G438)))</formula>
    </cfRule>
  </conditionalFormatting>
  <conditionalFormatting sqref="G438">
    <cfRule type="containsText" dxfId="1228" priority="1246" operator="containsText" text="zz">
      <formula>NOT(ISERROR(SEARCH("zz",G438)))</formula>
    </cfRule>
  </conditionalFormatting>
  <conditionalFormatting sqref="G458">
    <cfRule type="containsText" dxfId="1227" priority="1241" operator="containsText" text="zz">
      <formula>NOT(ISERROR(SEARCH("zz",G458)))</formula>
    </cfRule>
  </conditionalFormatting>
  <conditionalFormatting sqref="G440">
    <cfRule type="containsText" dxfId="1226" priority="1244" operator="containsText" text="zz">
      <formula>NOT(ISERROR(SEARCH("zz",G440)))</formula>
    </cfRule>
  </conditionalFormatting>
  <conditionalFormatting sqref="G446">
    <cfRule type="containsText" dxfId="1225" priority="1243" operator="containsText" text="zz">
      <formula>NOT(ISERROR(SEARCH("zz",G446)))</formula>
    </cfRule>
  </conditionalFormatting>
  <conditionalFormatting sqref="G457 G467 G469:G470">
    <cfRule type="containsText" dxfId="1224" priority="1242" operator="containsText" text="zz">
      <formula>NOT(ISERROR(SEARCH("zz",G457)))</formula>
    </cfRule>
  </conditionalFormatting>
  <conditionalFormatting sqref="G462">
    <cfRule type="containsText" dxfId="1223" priority="1238" operator="containsText" text="zz">
      <formula>NOT(ISERROR(SEARCH("zz",G462)))</formula>
    </cfRule>
  </conditionalFormatting>
  <conditionalFormatting sqref="G459">
    <cfRule type="containsText" dxfId="1222" priority="1240" operator="containsText" text="zz">
      <formula>NOT(ISERROR(SEARCH("zz",G459)))</formula>
    </cfRule>
  </conditionalFormatting>
  <conditionalFormatting sqref="G460">
    <cfRule type="containsText" dxfId="1221" priority="1239" operator="containsText" text="zz">
      <formula>NOT(ISERROR(SEARCH("zz",G460)))</formula>
    </cfRule>
  </conditionalFormatting>
  <conditionalFormatting sqref="G465 G469:G470 G467">
    <cfRule type="containsText" dxfId="1220" priority="1233" operator="containsText" text="zz">
      <formula>NOT(ISERROR(SEARCH("zz",G465)))</formula>
    </cfRule>
  </conditionalFormatting>
  <conditionalFormatting sqref="G463">
    <cfRule type="containsText" dxfId="1219" priority="1237" operator="containsText" text="zz">
      <formula>NOT(ISERROR(SEARCH("zz",G463)))</formula>
    </cfRule>
  </conditionalFormatting>
  <conditionalFormatting sqref="G439">
    <cfRule type="containsText" dxfId="1218" priority="1236" operator="containsText" text="zz">
      <formula>NOT(ISERROR(SEARCH("zz",G439)))</formula>
    </cfRule>
  </conditionalFormatting>
  <conditionalFormatting sqref="G439">
    <cfRule type="containsText" dxfId="1217" priority="1234" operator="containsText" text="zz">
      <formula>NOT(ISERROR(SEARCH("zz",G439)))</formula>
    </cfRule>
  </conditionalFormatting>
  <conditionalFormatting sqref="G439">
    <cfRule type="containsText" dxfId="1216" priority="1235" operator="containsText" text="zz">
      <formula>NOT(ISERROR(SEARCH("zz",G439)))</formula>
    </cfRule>
  </conditionalFormatting>
  <conditionalFormatting sqref="G468">
    <cfRule type="containsText" dxfId="1215" priority="1232" operator="containsText" text="zz">
      <formula>NOT(ISERROR(SEARCH("zz",G468)))</formula>
    </cfRule>
  </conditionalFormatting>
  <conditionalFormatting sqref="G468">
    <cfRule type="containsText" dxfId="1214" priority="1231" operator="containsText" text="zz">
      <formula>NOT(ISERROR(SEARCH("zz",G468)))</formula>
    </cfRule>
  </conditionalFormatting>
  <conditionalFormatting sqref="G472">
    <cfRule type="containsText" dxfId="1213" priority="1230" operator="containsText" text="zz">
      <formula>NOT(ISERROR(SEARCH("zz",G472)))</formula>
    </cfRule>
  </conditionalFormatting>
  <conditionalFormatting sqref="G464">
    <cfRule type="containsText" dxfId="1212" priority="1229" operator="containsText" text="zz">
      <formula>NOT(ISERROR(SEARCH("zz",G464)))</formula>
    </cfRule>
  </conditionalFormatting>
  <conditionalFormatting sqref="G473">
    <cfRule type="containsText" dxfId="1211" priority="1228" operator="containsText" text="zz">
      <formula>NOT(ISERROR(SEARCH("zz",G473)))</formula>
    </cfRule>
  </conditionalFormatting>
  <conditionalFormatting sqref="G474">
    <cfRule type="containsText" dxfId="1210" priority="1227" operator="containsText" text="zz">
      <formula>NOT(ISERROR(SEARCH("zz",G474)))</formula>
    </cfRule>
  </conditionalFormatting>
  <conditionalFormatting sqref="G475">
    <cfRule type="containsText" dxfId="1209" priority="1226" operator="containsText" text="zz">
      <formula>NOT(ISERROR(SEARCH("zz",G475)))</formula>
    </cfRule>
  </conditionalFormatting>
  <conditionalFormatting sqref="G476">
    <cfRule type="containsText" dxfId="1208" priority="1225" operator="containsText" text="zz">
      <formula>NOT(ISERROR(SEARCH("zz",G476)))</formula>
    </cfRule>
  </conditionalFormatting>
  <conditionalFormatting sqref="G466">
    <cfRule type="containsText" dxfId="1207" priority="1224" operator="containsText" text="zz">
      <formula>NOT(ISERROR(SEARCH("zz",G466)))</formula>
    </cfRule>
  </conditionalFormatting>
  <conditionalFormatting sqref="G461">
    <cfRule type="containsText" dxfId="1206" priority="1223" operator="containsText" text="zz">
      <formula>NOT(ISERROR(SEARCH("zz",G461)))</formula>
    </cfRule>
  </conditionalFormatting>
  <conditionalFormatting sqref="G480">
    <cfRule type="containsText" dxfId="1205" priority="1218" operator="containsText" text="zz">
      <formula>NOT(ISERROR(SEARCH("zz",G480)))</formula>
    </cfRule>
  </conditionalFormatting>
  <conditionalFormatting sqref="G420">
    <cfRule type="containsText" dxfId="1204" priority="1222" operator="containsText" text="zz">
      <formula>NOT(ISERROR(SEARCH("zz",G420)))</formula>
    </cfRule>
  </conditionalFormatting>
  <conditionalFormatting sqref="G477">
    <cfRule type="containsText" dxfId="1203" priority="1221" operator="containsText" text="zz">
      <formula>NOT(ISERROR(SEARCH("zz",G477)))</formula>
    </cfRule>
  </conditionalFormatting>
  <conditionalFormatting sqref="G478">
    <cfRule type="containsText" dxfId="1202" priority="1220" operator="containsText" text="zz">
      <formula>NOT(ISERROR(SEARCH("zz",G478)))</formula>
    </cfRule>
  </conditionalFormatting>
  <conditionalFormatting sqref="G479">
    <cfRule type="containsText" dxfId="1201" priority="1219" operator="containsText" text="zz">
      <formula>NOT(ISERROR(SEARCH("zz",G479)))</formula>
    </cfRule>
  </conditionalFormatting>
  <conditionalFormatting sqref="G481">
    <cfRule type="containsText" dxfId="1200" priority="1217" operator="containsText" text="zz">
      <formula>NOT(ISERROR(SEARCH("zz",G481)))</formula>
    </cfRule>
  </conditionalFormatting>
  <conditionalFormatting sqref="G482">
    <cfRule type="containsText" dxfId="1199" priority="1216" operator="containsText" text="zz">
      <formula>NOT(ISERROR(SEARCH("zz",G482)))</formula>
    </cfRule>
  </conditionalFormatting>
  <conditionalFormatting sqref="G416">
    <cfRule type="containsText" dxfId="1198" priority="1215" operator="containsText" text="zz">
      <formula>NOT(ISERROR(SEARCH("zz",G416)))</formula>
    </cfRule>
  </conditionalFormatting>
  <conditionalFormatting sqref="G483">
    <cfRule type="containsText" dxfId="1197" priority="1214" operator="containsText" text="zz">
      <formula>NOT(ISERROR(SEARCH("zz",G483)))</formula>
    </cfRule>
  </conditionalFormatting>
  <conditionalFormatting sqref="G287">
    <cfRule type="containsText" dxfId="1196" priority="1213" operator="containsText" text="zz">
      <formula>NOT(ISERROR(SEARCH("zz",G287)))</formula>
    </cfRule>
  </conditionalFormatting>
  <conditionalFormatting sqref="G417:G418">
    <cfRule type="containsText" dxfId="1195" priority="1212" operator="containsText" text="zz">
      <formula>NOT(ISERROR(SEARCH("zz",G417)))</formula>
    </cfRule>
  </conditionalFormatting>
  <conditionalFormatting sqref="G380">
    <cfRule type="containsText" dxfId="1194" priority="1211" operator="containsText" text="zz">
      <formula>NOT(ISERROR(SEARCH("zz",G380)))</formula>
    </cfRule>
  </conditionalFormatting>
  <conditionalFormatting sqref="G419">
    <cfRule type="containsText" dxfId="1193" priority="1210" operator="containsText" text="zz">
      <formula>NOT(ISERROR(SEARCH("zz",G419)))</formula>
    </cfRule>
  </conditionalFormatting>
  <conditionalFormatting sqref="G343">
    <cfRule type="containsText" dxfId="1192" priority="1209" operator="containsText" text="zz">
      <formula>NOT(ISERROR(SEARCH("zz",G343)))</formula>
    </cfRule>
  </conditionalFormatting>
  <conditionalFormatting sqref="G484 G488">
    <cfRule type="containsText" dxfId="1191" priority="1208" operator="containsText" text="zz">
      <formula>NOT(ISERROR(SEARCH("zz",G484)))</formula>
    </cfRule>
  </conditionalFormatting>
  <conditionalFormatting sqref="G406">
    <cfRule type="containsText" dxfId="1190" priority="1207" operator="containsText" text="zz">
      <formula>NOT(ISERROR(SEARCH("zz",G406)))</formula>
    </cfRule>
  </conditionalFormatting>
  <conditionalFormatting sqref="G372">
    <cfRule type="containsText" dxfId="1189" priority="1205" operator="containsText" text="zz">
      <formula>NOT(ISERROR(SEARCH("zz",G372)))</formula>
    </cfRule>
  </conditionalFormatting>
  <conditionalFormatting sqref="G372">
    <cfRule type="containsText" dxfId="1188" priority="1206" operator="containsText" text="zz">
      <formula>NOT(ISERROR(SEARCH("zz",G372)))</formula>
    </cfRule>
  </conditionalFormatting>
  <conditionalFormatting sqref="G372">
    <cfRule type="containsText" dxfId="1187" priority="1203" operator="containsText" text="zz">
      <formula>NOT(ISERROR(SEARCH("zz",G372)))</formula>
    </cfRule>
  </conditionalFormatting>
  <conditionalFormatting sqref="G372">
    <cfRule type="containsText" dxfId="1186" priority="1204" operator="containsText" text="zz">
      <formula>NOT(ISERROR(SEARCH("zz",G372)))</formula>
    </cfRule>
  </conditionalFormatting>
  <conditionalFormatting sqref="G519">
    <cfRule type="containsText" dxfId="1185" priority="1201" operator="containsText" text="zz">
      <formula>NOT(ISERROR(SEARCH("zz",G519)))</formula>
    </cfRule>
  </conditionalFormatting>
  <conditionalFormatting sqref="G516">
    <cfRule type="containsText" dxfId="1184" priority="1202" operator="containsText" text="zz">
      <formula>NOT(ISERROR(SEARCH("zz",G516)))</formula>
    </cfRule>
  </conditionalFormatting>
  <conditionalFormatting sqref="G517">
    <cfRule type="containsText" dxfId="1183" priority="1200" operator="containsText" text="zz">
      <formula>NOT(ISERROR(SEARCH("zz",G517)))</formula>
    </cfRule>
  </conditionalFormatting>
  <conditionalFormatting sqref="G520">
    <cfRule type="containsText" dxfId="1182" priority="1199" operator="containsText" text="zz">
      <formula>NOT(ISERROR(SEARCH("zz",G520)))</formula>
    </cfRule>
  </conditionalFormatting>
  <conditionalFormatting sqref="G528:G529">
    <cfRule type="containsText" dxfId="1181" priority="1198" operator="containsText" text="zz">
      <formula>NOT(ISERROR(SEARCH("zz",G528)))</formula>
    </cfRule>
  </conditionalFormatting>
  <conditionalFormatting sqref="G524">
    <cfRule type="containsText" dxfId="1180" priority="1197" operator="containsText" text="zz">
      <formula>NOT(ISERROR(SEARCH("zz",G524)))</formula>
    </cfRule>
  </conditionalFormatting>
  <conditionalFormatting sqref="G522">
    <cfRule type="containsText" dxfId="1179" priority="1196" operator="containsText" text="zz">
      <formula>NOT(ISERROR(SEARCH("zz",G522)))</formula>
    </cfRule>
  </conditionalFormatting>
  <conditionalFormatting sqref="G521">
    <cfRule type="containsText" dxfId="1178" priority="1195" operator="containsText" text="zz">
      <formula>NOT(ISERROR(SEARCH("zz",G521)))</formula>
    </cfRule>
  </conditionalFormatting>
  <conditionalFormatting sqref="G485">
    <cfRule type="containsText" dxfId="1177" priority="1194" operator="containsText" text="zz">
      <formula>NOT(ISERROR(SEARCH("zz",G485)))</formula>
    </cfRule>
  </conditionalFormatting>
  <conditionalFormatting sqref="G486">
    <cfRule type="containsText" dxfId="1176" priority="1193" operator="containsText" text="zz">
      <formula>NOT(ISERROR(SEARCH("zz",G486)))</formula>
    </cfRule>
  </conditionalFormatting>
  <conditionalFormatting sqref="G471">
    <cfRule type="containsText" dxfId="1175" priority="1192" operator="containsText" text="zz">
      <formula>NOT(ISERROR(SEARCH("zz",G471)))</formula>
    </cfRule>
  </conditionalFormatting>
  <conditionalFormatting sqref="G487">
    <cfRule type="containsText" dxfId="1174" priority="1191" operator="containsText" text="zz">
      <formula>NOT(ISERROR(SEARCH("zz",G487)))</formula>
    </cfRule>
  </conditionalFormatting>
  <conditionalFormatting sqref="G493">
    <cfRule type="containsText" dxfId="1173" priority="1190" operator="containsText" text="zz">
      <formula>NOT(ISERROR(SEARCH("zz",G493)))</formula>
    </cfRule>
  </conditionalFormatting>
  <conditionalFormatting sqref="G494">
    <cfRule type="containsText" dxfId="1172" priority="1189" operator="containsText" text="zz">
      <formula>NOT(ISERROR(SEARCH("zz",G494)))</formula>
    </cfRule>
  </conditionalFormatting>
  <conditionalFormatting sqref="G518">
    <cfRule type="containsText" dxfId="1171" priority="1188" operator="containsText" text="zz">
      <formula>NOT(ISERROR(SEARCH("zz",G518)))</formula>
    </cfRule>
  </conditionalFormatting>
  <conditionalFormatting sqref="G538">
    <cfRule type="containsText" dxfId="1170" priority="1187" operator="containsText" text="zz">
      <formula>NOT(ISERROR(SEARCH("zz",G538)))</formula>
    </cfRule>
  </conditionalFormatting>
  <conditionalFormatting sqref="G539">
    <cfRule type="containsText" dxfId="1169" priority="1186" operator="containsText" text="zz">
      <formula>NOT(ISERROR(SEARCH("zz",G539)))</formula>
    </cfRule>
  </conditionalFormatting>
  <conditionalFormatting sqref="G540">
    <cfRule type="containsText" dxfId="1168" priority="1185" operator="containsText" text="zz">
      <formula>NOT(ISERROR(SEARCH("zz",G540)))</formula>
    </cfRule>
  </conditionalFormatting>
  <conditionalFormatting sqref="G512">
    <cfRule type="containsText" dxfId="1167" priority="1184" operator="containsText" text="zz">
      <formula>NOT(ISERROR(SEARCH("zz",G512)))</formula>
    </cfRule>
  </conditionalFormatting>
  <conditionalFormatting sqref="G499">
    <cfRule type="containsText" dxfId="1166" priority="1183" operator="containsText" text="zz">
      <formula>NOT(ISERROR(SEARCH("zz",G499)))</formula>
    </cfRule>
  </conditionalFormatting>
  <conditionalFormatting sqref="G500">
    <cfRule type="containsText" dxfId="1165" priority="1182" operator="containsText" text="zz">
      <formula>NOT(ISERROR(SEARCH("zz",G500)))</formula>
    </cfRule>
  </conditionalFormatting>
  <conditionalFormatting sqref="G501">
    <cfRule type="containsText" dxfId="1164" priority="1181" operator="containsText" text="zz">
      <formula>NOT(ISERROR(SEARCH("zz",G501)))</formula>
    </cfRule>
  </conditionalFormatting>
  <conditionalFormatting sqref="G501">
    <cfRule type="containsText" dxfId="1163" priority="1180" operator="containsText" text="zz">
      <formula>NOT(ISERROR(SEARCH("zz",G501)))</formula>
    </cfRule>
  </conditionalFormatting>
  <conditionalFormatting sqref="G503">
    <cfRule type="containsText" dxfId="1162" priority="1178" operator="containsText" text="zz">
      <formula>NOT(ISERROR(SEARCH("zz",G503)))</formula>
    </cfRule>
  </conditionalFormatting>
  <conditionalFormatting sqref="G503">
    <cfRule type="containsText" dxfId="1161" priority="1179" operator="containsText" text="zz">
      <formula>NOT(ISERROR(SEARCH("zz",G503)))</formula>
    </cfRule>
  </conditionalFormatting>
  <conditionalFormatting sqref="G504">
    <cfRule type="containsText" dxfId="1160" priority="1177" operator="containsText" text="zz">
      <formula>NOT(ISERROR(SEARCH("zz",G504)))</formula>
    </cfRule>
  </conditionalFormatting>
  <conditionalFormatting sqref="G504">
    <cfRule type="containsText" dxfId="1159" priority="1175" operator="containsText" text="zz">
      <formula>NOT(ISERROR(SEARCH("zz",G504)))</formula>
    </cfRule>
  </conditionalFormatting>
  <conditionalFormatting sqref="G504">
    <cfRule type="containsText" dxfId="1158" priority="1176" operator="containsText" text="zz">
      <formula>NOT(ISERROR(SEARCH("zz",G504)))</formula>
    </cfRule>
  </conditionalFormatting>
  <conditionalFormatting sqref="G506">
    <cfRule type="containsText" dxfId="1157" priority="1174" operator="containsText" text="zz">
      <formula>NOT(ISERROR(SEARCH("zz",G506)))</formula>
    </cfRule>
  </conditionalFormatting>
  <conditionalFormatting sqref="G511">
    <cfRule type="containsText" dxfId="1156" priority="1173" operator="containsText" text="zz">
      <formula>NOT(ISERROR(SEARCH("zz",G511)))</formula>
    </cfRule>
  </conditionalFormatting>
  <conditionalFormatting sqref="G505">
    <cfRule type="containsText" dxfId="1155" priority="1172" operator="containsText" text="zz">
      <formula>NOT(ISERROR(SEARCH("zz",G505)))</formula>
    </cfRule>
  </conditionalFormatting>
  <conditionalFormatting sqref="G505">
    <cfRule type="containsText" dxfId="1154" priority="1170" operator="containsText" text="zz">
      <formula>NOT(ISERROR(SEARCH("zz",G505)))</formula>
    </cfRule>
  </conditionalFormatting>
  <conditionalFormatting sqref="G505">
    <cfRule type="containsText" dxfId="1153" priority="1171" operator="containsText" text="zz">
      <formula>NOT(ISERROR(SEARCH("zz",G505)))</formula>
    </cfRule>
  </conditionalFormatting>
  <conditionalFormatting sqref="G541">
    <cfRule type="containsText" dxfId="1152" priority="1169" operator="containsText" text="zz">
      <formula>NOT(ISERROR(SEARCH("zz",G541)))</formula>
    </cfRule>
  </conditionalFormatting>
  <conditionalFormatting sqref="J281:J283 J295:J296 J301:J302 J299 J516:J520 J305:J307 J329:J334 J336:J344 J346:J348 J352 J372 J374:J386 J503:J512 J522:J535 J354:J370 J484:J491 J619:J620 J410:J413 J538:J541 J543:J544 J577:J579 J586:J594 J623:J627 J415:J448 J388:J408 J689 J666:J669 J692:J693 J707:J715 J837 J845 J493:J501 J52:J171 J286:J291 J924:J934 J860:J877 J173:J195 J197:J246 J248:J279 J450:J473 J940 J955 J973:J975 J309:J327 J978 J989:J992 J998:J1000 J1029:J1038 J1010:J1012 J1003:J1004 J1107 J1113 J1085:J1088 J1115:J1119 J1169:J1173 J1187 J1178 J1215:J1217 J1196 J1228 J1198:J1203 J1205:J1209 J1233:J1236 J476:J482 J1260:J1267 J1311 J1337:J1338 J1343:J1348 J1352:J1355 J1363:J1365 J1395:J1398 J1:J49">
    <cfRule type="cellIs" dxfId="1151" priority="1168" operator="equal">
      <formula>""</formula>
    </cfRule>
  </conditionalFormatting>
  <conditionalFormatting sqref="J280">
    <cfRule type="cellIs" dxfId="1150" priority="1160" operator="equal">
      <formula>""</formula>
    </cfRule>
  </conditionalFormatting>
  <conditionalFormatting sqref="J298">
    <cfRule type="cellIs" dxfId="1149" priority="1156" operator="equal">
      <formula>""</formula>
    </cfRule>
  </conditionalFormatting>
  <conditionalFormatting sqref="J293">
    <cfRule type="cellIs" dxfId="1148" priority="1159" operator="equal">
      <formula>""</formula>
    </cfRule>
  </conditionalFormatting>
  <conditionalFormatting sqref="J300">
    <cfRule type="cellIs" dxfId="1147" priority="1158" operator="equal">
      <formula>""</formula>
    </cfRule>
  </conditionalFormatting>
  <conditionalFormatting sqref="J297">
    <cfRule type="cellIs" dxfId="1146" priority="1157" operator="equal">
      <formula>""</formula>
    </cfRule>
  </conditionalFormatting>
  <conditionalFormatting sqref="J513:J515">
    <cfRule type="cellIs" dxfId="1145" priority="1152" operator="equal">
      <formula>""</formula>
    </cfRule>
  </conditionalFormatting>
  <conditionalFormatting sqref="J303">
    <cfRule type="cellIs" dxfId="1144" priority="1155" operator="equal">
      <formula>""</formula>
    </cfRule>
  </conditionalFormatting>
  <conditionalFormatting sqref="G513:G514">
    <cfRule type="containsText" dxfId="1143" priority="1154" operator="containsText" text="zz">
      <formula>NOT(ISERROR(SEARCH("zz",G513)))</formula>
    </cfRule>
  </conditionalFormatting>
  <conditionalFormatting sqref="G515">
    <cfRule type="containsText" dxfId="1142" priority="1153" operator="containsText" text="zz">
      <formula>NOT(ISERROR(SEARCH("zz",G515)))</formula>
    </cfRule>
  </conditionalFormatting>
  <conditionalFormatting sqref="J409 J328">
    <cfRule type="cellIs" dxfId="1141" priority="1150" operator="equal">
      <formula>""</formula>
    </cfRule>
  </conditionalFormatting>
  <conditionalFormatting sqref="J304">
    <cfRule type="cellIs" dxfId="1140" priority="1151" operator="equal">
      <formula>""</formula>
    </cfRule>
  </conditionalFormatting>
  <conditionalFormatting sqref="J521">
    <cfRule type="cellIs" dxfId="1139" priority="1149" operator="equal">
      <formula>""</formula>
    </cfRule>
  </conditionalFormatting>
  <conditionalFormatting sqref="J292">
    <cfRule type="cellIs" dxfId="1138" priority="1148" operator="equal">
      <formula>""</formula>
    </cfRule>
  </conditionalFormatting>
  <conditionalFormatting sqref="J335">
    <cfRule type="cellIs" dxfId="1137" priority="1147" operator="equal">
      <formula>""</formula>
    </cfRule>
  </conditionalFormatting>
  <conditionalFormatting sqref="J351">
    <cfRule type="cellIs" dxfId="1136" priority="1146" operator="equal">
      <formula>""</formula>
    </cfRule>
  </conditionalFormatting>
  <conditionalFormatting sqref="J371">
    <cfRule type="cellIs" dxfId="1135" priority="1145" operator="equal">
      <formula>""</formula>
    </cfRule>
  </conditionalFormatting>
  <conditionalFormatting sqref="J373">
    <cfRule type="cellIs" dxfId="1134" priority="1144" operator="equal">
      <formula>""</formula>
    </cfRule>
  </conditionalFormatting>
  <conditionalFormatting sqref="G502">
    <cfRule type="containsText" dxfId="1133" priority="1143" operator="containsText" text="zz">
      <formula>NOT(ISERROR(SEARCH("zz",G502)))</formula>
    </cfRule>
  </conditionalFormatting>
  <conditionalFormatting sqref="J502">
    <cfRule type="cellIs" dxfId="1132" priority="1142" operator="equal">
      <formula>""</formula>
    </cfRule>
  </conditionalFormatting>
  <conditionalFormatting sqref="J545:J548 J552:J553 J599:J605">
    <cfRule type="cellIs" dxfId="1131" priority="1141" operator="equal">
      <formula>""</formula>
    </cfRule>
  </conditionalFormatting>
  <conditionalFormatting sqref="G353">
    <cfRule type="containsText" dxfId="1130" priority="1140" operator="containsText" text="zz">
      <formula>NOT(ISERROR(SEARCH("zz",G353)))</formula>
    </cfRule>
  </conditionalFormatting>
  <conditionalFormatting sqref="J353">
    <cfRule type="cellIs" dxfId="1129" priority="1139" operator="equal">
      <formula>""</formula>
    </cfRule>
  </conditionalFormatting>
  <conditionalFormatting sqref="J492">
    <cfRule type="cellIs" dxfId="1128" priority="1138" operator="equal">
      <formula>""</formula>
    </cfRule>
  </conditionalFormatting>
  <conditionalFormatting sqref="J483">
    <cfRule type="cellIs" dxfId="1127" priority="1137" operator="equal">
      <formula>""</formula>
    </cfRule>
  </conditionalFormatting>
  <conditionalFormatting sqref="G536">
    <cfRule type="containsText" dxfId="1126" priority="1136" operator="containsText" text="zz">
      <formula>NOT(ISERROR(SEARCH("zz",G536)))</formula>
    </cfRule>
  </conditionalFormatting>
  <conditionalFormatting sqref="J536">
    <cfRule type="cellIs" dxfId="1125" priority="1135" operator="equal">
      <formula>""</formula>
    </cfRule>
  </conditionalFormatting>
  <conditionalFormatting sqref="G542">
    <cfRule type="containsText" dxfId="1124" priority="1134" operator="containsText" text="zz">
      <formula>NOT(ISERROR(SEARCH("zz",G542)))</formula>
    </cfRule>
  </conditionalFormatting>
  <conditionalFormatting sqref="J542">
    <cfRule type="cellIs" dxfId="1123" priority="1133" operator="equal">
      <formula>""</formula>
    </cfRule>
  </conditionalFormatting>
  <conditionalFormatting sqref="G537">
    <cfRule type="containsText" dxfId="1122" priority="1132" operator="containsText" text="zz">
      <formula>NOT(ISERROR(SEARCH("zz",G537)))</formula>
    </cfRule>
  </conditionalFormatting>
  <conditionalFormatting sqref="J537">
    <cfRule type="cellIs" dxfId="1121" priority="1131" operator="equal">
      <formula>""</formula>
    </cfRule>
  </conditionalFormatting>
  <conditionalFormatting sqref="G549">
    <cfRule type="containsText" dxfId="1120" priority="1130" operator="containsText" text="zz">
      <formula>NOT(ISERROR(SEARCH("zz",G549)))</formula>
    </cfRule>
  </conditionalFormatting>
  <conditionalFormatting sqref="J554">
    <cfRule type="cellIs" dxfId="1119" priority="1128" operator="equal">
      <formula>""</formula>
    </cfRule>
  </conditionalFormatting>
  <conditionalFormatting sqref="G554">
    <cfRule type="containsText" dxfId="1118" priority="1129" operator="containsText" text="zz">
      <formula>NOT(ISERROR(SEARCH("zz",G554)))</formula>
    </cfRule>
  </conditionalFormatting>
  <conditionalFormatting sqref="J555:J557">
    <cfRule type="cellIs" dxfId="1117" priority="1124" operator="equal">
      <formula>""</formula>
    </cfRule>
  </conditionalFormatting>
  <conditionalFormatting sqref="G555">
    <cfRule type="containsText" dxfId="1116" priority="1127" operator="containsText" text="zz">
      <formula>NOT(ISERROR(SEARCH("zz",G555)))</formula>
    </cfRule>
  </conditionalFormatting>
  <conditionalFormatting sqref="G557">
    <cfRule type="containsText" dxfId="1115" priority="1126" operator="containsText" text="zz">
      <formula>NOT(ISERROR(SEARCH("zz",G557)))</formula>
    </cfRule>
  </conditionalFormatting>
  <conditionalFormatting sqref="G556">
    <cfRule type="containsText" dxfId="1114" priority="1125" operator="containsText" text="zz">
      <formula>NOT(ISERROR(SEARCH("zz",G556)))</formula>
    </cfRule>
  </conditionalFormatting>
  <conditionalFormatting sqref="J562 J564">
    <cfRule type="cellIs" dxfId="1113" priority="1117" operator="equal">
      <formula>""</formula>
    </cfRule>
  </conditionalFormatting>
  <conditionalFormatting sqref="G560">
    <cfRule type="containsText" dxfId="1112" priority="1123" operator="containsText" text="zz">
      <formula>NOT(ISERROR(SEARCH("zz",G560)))</formula>
    </cfRule>
  </conditionalFormatting>
  <conditionalFormatting sqref="J560">
    <cfRule type="cellIs" dxfId="1111" priority="1122" operator="equal">
      <formula>""</formula>
    </cfRule>
  </conditionalFormatting>
  <conditionalFormatting sqref="G561">
    <cfRule type="containsText" dxfId="1110" priority="1121" operator="containsText" text="zz">
      <formula>NOT(ISERROR(SEARCH("zz",G561)))</formula>
    </cfRule>
  </conditionalFormatting>
  <conditionalFormatting sqref="J561">
    <cfRule type="cellIs" dxfId="1109" priority="1120" operator="equal">
      <formula>""</formula>
    </cfRule>
  </conditionalFormatting>
  <conditionalFormatting sqref="G562">
    <cfRule type="containsText" dxfId="1108" priority="1119" operator="containsText" text="zz">
      <formula>NOT(ISERROR(SEARCH("zz",G562)))</formula>
    </cfRule>
  </conditionalFormatting>
  <conditionalFormatting sqref="G564">
    <cfRule type="containsText" dxfId="1107" priority="1118" operator="containsText" text="zz">
      <formula>NOT(ISERROR(SEARCH("zz",G564)))</formula>
    </cfRule>
  </conditionalFormatting>
  <conditionalFormatting sqref="J565">
    <cfRule type="cellIs" dxfId="1106" priority="1115" operator="equal">
      <formula>""</formula>
    </cfRule>
  </conditionalFormatting>
  <conditionalFormatting sqref="G565">
    <cfRule type="containsText" dxfId="1105" priority="1116" operator="containsText" text="zz">
      <formula>NOT(ISERROR(SEARCH("zz",G565)))</formula>
    </cfRule>
  </conditionalFormatting>
  <conditionalFormatting sqref="J574">
    <cfRule type="cellIs" dxfId="1104" priority="1098" operator="equal">
      <formula>""</formula>
    </cfRule>
  </conditionalFormatting>
  <conditionalFormatting sqref="G566">
    <cfRule type="containsText" dxfId="1103" priority="1114" operator="containsText" text="zz">
      <formula>NOT(ISERROR(SEARCH("zz",G566)))</formula>
    </cfRule>
  </conditionalFormatting>
  <conditionalFormatting sqref="J566">
    <cfRule type="cellIs" dxfId="1102" priority="1113" operator="equal">
      <formula>""</formula>
    </cfRule>
  </conditionalFormatting>
  <conditionalFormatting sqref="G567">
    <cfRule type="containsText" dxfId="1101" priority="1112" operator="containsText" text="zz">
      <formula>NOT(ISERROR(SEARCH("zz",G567)))</formula>
    </cfRule>
  </conditionalFormatting>
  <conditionalFormatting sqref="J568">
    <cfRule type="cellIs" dxfId="1100" priority="1110" operator="equal">
      <formula>""</formula>
    </cfRule>
  </conditionalFormatting>
  <conditionalFormatting sqref="G568">
    <cfRule type="containsText" dxfId="1099" priority="1111" operator="containsText" text="zz">
      <formula>NOT(ISERROR(SEARCH("zz",G568)))</formula>
    </cfRule>
  </conditionalFormatting>
  <conditionalFormatting sqref="J569">
    <cfRule type="cellIs" dxfId="1098" priority="1108" operator="equal">
      <formula>""</formula>
    </cfRule>
  </conditionalFormatting>
  <conditionalFormatting sqref="G569">
    <cfRule type="containsText" dxfId="1097" priority="1109" operator="containsText" text="zz">
      <formula>NOT(ISERROR(SEARCH("zz",G569)))</formula>
    </cfRule>
  </conditionalFormatting>
  <conditionalFormatting sqref="J570">
    <cfRule type="cellIs" dxfId="1096" priority="1106" operator="equal">
      <formula>""</formula>
    </cfRule>
  </conditionalFormatting>
  <conditionalFormatting sqref="G570">
    <cfRule type="containsText" dxfId="1095" priority="1107" operator="containsText" text="zz">
      <formula>NOT(ISERROR(SEARCH("zz",G570)))</formula>
    </cfRule>
  </conditionalFormatting>
  <conditionalFormatting sqref="J609">
    <cfRule type="cellIs" dxfId="1094" priority="1051" operator="equal">
      <formula>""</formula>
    </cfRule>
  </conditionalFormatting>
  <conditionalFormatting sqref="G571">
    <cfRule type="containsText" dxfId="1093" priority="1105" operator="containsText" text="zz">
      <formula>NOT(ISERROR(SEARCH("zz",G571)))</formula>
    </cfRule>
  </conditionalFormatting>
  <conditionalFormatting sqref="J571">
    <cfRule type="cellIs" dxfId="1092" priority="1104" operator="equal">
      <formula>""</formula>
    </cfRule>
  </conditionalFormatting>
  <conditionalFormatting sqref="G572">
    <cfRule type="containsText" dxfId="1091" priority="1103" operator="containsText" text="zz">
      <formula>NOT(ISERROR(SEARCH("zz",G572)))</formula>
    </cfRule>
  </conditionalFormatting>
  <conditionalFormatting sqref="J572">
    <cfRule type="cellIs" dxfId="1090" priority="1102" operator="equal">
      <formula>""</formula>
    </cfRule>
  </conditionalFormatting>
  <conditionalFormatting sqref="G573">
    <cfRule type="containsText" dxfId="1089" priority="1101" operator="containsText" text="zz">
      <formula>NOT(ISERROR(SEARCH("zz",G573)))</formula>
    </cfRule>
  </conditionalFormatting>
  <conditionalFormatting sqref="J573">
    <cfRule type="cellIs" dxfId="1088" priority="1100" operator="equal">
      <formula>""</formula>
    </cfRule>
  </conditionalFormatting>
  <conditionalFormatting sqref="G574">
    <cfRule type="containsText" dxfId="1087" priority="1099" operator="containsText" text="zz">
      <formula>NOT(ISERROR(SEARCH("zz",G574)))</formula>
    </cfRule>
  </conditionalFormatting>
  <conditionalFormatting sqref="J575">
    <cfRule type="cellIs" dxfId="1086" priority="1096" operator="equal">
      <formula>""</formula>
    </cfRule>
  </conditionalFormatting>
  <conditionalFormatting sqref="G575">
    <cfRule type="containsText" dxfId="1085" priority="1097" operator="containsText" text="zz">
      <formula>NOT(ISERROR(SEARCH("zz",G575)))</formula>
    </cfRule>
  </conditionalFormatting>
  <conditionalFormatting sqref="J621">
    <cfRule type="cellIs" dxfId="1084" priority="1035" operator="equal">
      <formula>""</formula>
    </cfRule>
  </conditionalFormatting>
  <conditionalFormatting sqref="G577">
    <cfRule type="containsText" dxfId="1083" priority="1094" operator="containsText" text="zz">
      <formula>NOT(ISERROR(SEARCH("zz",G577)))</formula>
    </cfRule>
  </conditionalFormatting>
  <conditionalFormatting sqref="G576">
    <cfRule type="containsText" dxfId="1082" priority="1095" operator="containsText" text="zz">
      <formula>NOT(ISERROR(SEARCH("zz",G576)))</formula>
    </cfRule>
  </conditionalFormatting>
  <conditionalFormatting sqref="G578">
    <cfRule type="containsText" dxfId="1081" priority="1093" operator="containsText" text="zz">
      <formula>NOT(ISERROR(SEARCH("zz",G578)))</formula>
    </cfRule>
  </conditionalFormatting>
  <conditionalFormatting sqref="G579">
    <cfRule type="containsText" dxfId="1080" priority="1092" operator="containsText" text="zz">
      <formula>NOT(ISERROR(SEARCH("zz",G579)))</formula>
    </cfRule>
  </conditionalFormatting>
  <conditionalFormatting sqref="J576">
    <cfRule type="cellIs" dxfId="1079" priority="1091" operator="equal">
      <formula>""</formula>
    </cfRule>
  </conditionalFormatting>
  <conditionalFormatting sqref="G580">
    <cfRule type="containsText" dxfId="1078" priority="1090" operator="containsText" text="zz">
      <formula>NOT(ISERROR(SEARCH("zz",G580)))</formula>
    </cfRule>
  </conditionalFormatting>
  <conditionalFormatting sqref="J580">
    <cfRule type="cellIs" dxfId="1077" priority="1089" operator="equal">
      <formula>""</formula>
    </cfRule>
  </conditionalFormatting>
  <conditionalFormatting sqref="G581">
    <cfRule type="containsText" dxfId="1076" priority="1088" operator="containsText" text="zz">
      <formula>NOT(ISERROR(SEARCH("zz",G581)))</formula>
    </cfRule>
  </conditionalFormatting>
  <conditionalFormatting sqref="J581">
    <cfRule type="cellIs" dxfId="1075" priority="1087" operator="equal">
      <formula>""</formula>
    </cfRule>
  </conditionalFormatting>
  <conditionalFormatting sqref="G583">
    <cfRule type="containsText" dxfId="1074" priority="1086" operator="containsText" text="zz">
      <formula>NOT(ISERROR(SEARCH("zz",G583)))</formula>
    </cfRule>
  </conditionalFormatting>
  <conditionalFormatting sqref="J583">
    <cfRule type="cellIs" dxfId="1073" priority="1085" operator="equal">
      <formula>""</formula>
    </cfRule>
  </conditionalFormatting>
  <conditionalFormatting sqref="G584">
    <cfRule type="containsText" dxfId="1072" priority="1084" operator="containsText" text="zz">
      <formula>NOT(ISERROR(SEARCH("zz",G584)))</formula>
    </cfRule>
  </conditionalFormatting>
  <conditionalFormatting sqref="J584">
    <cfRule type="cellIs" dxfId="1071" priority="1083" operator="equal">
      <formula>""</formula>
    </cfRule>
  </conditionalFormatting>
  <conditionalFormatting sqref="G589:G592">
    <cfRule type="containsText" dxfId="1070" priority="1082" operator="containsText" text="zz">
      <formula>NOT(ISERROR(SEARCH("zz",G589)))</formula>
    </cfRule>
  </conditionalFormatting>
  <conditionalFormatting sqref="G594">
    <cfRule type="containsText" dxfId="1069" priority="1081" operator="containsText" text="zz">
      <formula>NOT(ISERROR(SEARCH("zz",G594)))</formula>
    </cfRule>
  </conditionalFormatting>
  <conditionalFormatting sqref="G586">
    <cfRule type="containsText" dxfId="1068" priority="1079" operator="containsText" text="zz">
      <formula>NOT(ISERROR(SEARCH("zz",G586)))</formula>
    </cfRule>
  </conditionalFormatting>
  <conditionalFormatting sqref="G586">
    <cfRule type="containsText" dxfId="1067" priority="1080" operator="containsText" text="zz">
      <formula>NOT(ISERROR(SEARCH("zz",G586)))</formula>
    </cfRule>
  </conditionalFormatting>
  <conditionalFormatting sqref="G587">
    <cfRule type="containsText" dxfId="1066" priority="1078" operator="containsText" text="zz">
      <formula>NOT(ISERROR(SEARCH("zz",G587)))</formula>
    </cfRule>
  </conditionalFormatting>
  <conditionalFormatting sqref="G587">
    <cfRule type="containsText" dxfId="1065" priority="1076" operator="containsText" text="zz">
      <formula>NOT(ISERROR(SEARCH("zz",G587)))</formula>
    </cfRule>
  </conditionalFormatting>
  <conditionalFormatting sqref="G587">
    <cfRule type="containsText" dxfId="1064" priority="1077" operator="containsText" text="zz">
      <formula>NOT(ISERROR(SEARCH("zz",G587)))</formula>
    </cfRule>
  </conditionalFormatting>
  <conditionalFormatting sqref="G588">
    <cfRule type="containsText" dxfId="1063" priority="1075" operator="containsText" text="zz">
      <formula>NOT(ISERROR(SEARCH("zz",G588)))</formula>
    </cfRule>
  </conditionalFormatting>
  <conditionalFormatting sqref="G593">
    <cfRule type="containsText" dxfId="1062" priority="1074" operator="containsText" text="zz">
      <formula>NOT(ISERROR(SEARCH("zz",G593)))</formula>
    </cfRule>
  </conditionalFormatting>
  <conditionalFormatting sqref="G595">
    <cfRule type="containsText" dxfId="1061" priority="1073" operator="containsText" text="zz">
      <formula>NOT(ISERROR(SEARCH("zz",G595)))</formula>
    </cfRule>
  </conditionalFormatting>
  <conditionalFormatting sqref="J595">
    <cfRule type="cellIs" dxfId="1060" priority="1072" operator="equal">
      <formula>""</formula>
    </cfRule>
  </conditionalFormatting>
  <conditionalFormatting sqref="G585">
    <cfRule type="containsText" dxfId="1059" priority="1071" operator="containsText" text="zz">
      <formula>NOT(ISERROR(SEARCH("zz",G585)))</formula>
    </cfRule>
  </conditionalFormatting>
  <conditionalFormatting sqref="J585">
    <cfRule type="cellIs" dxfId="1058" priority="1070" operator="equal">
      <formula>""</formula>
    </cfRule>
  </conditionalFormatting>
  <conditionalFormatting sqref="G598">
    <cfRule type="containsText" dxfId="1057" priority="1069" operator="containsText" text="zz">
      <formula>NOT(ISERROR(SEARCH("zz",G598)))</formula>
    </cfRule>
  </conditionalFormatting>
  <conditionalFormatting sqref="J598">
    <cfRule type="cellIs" dxfId="1056" priority="1068" operator="equal">
      <formula>""</formula>
    </cfRule>
  </conditionalFormatting>
  <conditionalFormatting sqref="J597">
    <cfRule type="cellIs" dxfId="1055" priority="1067" operator="equal">
      <formula>""</formula>
    </cfRule>
  </conditionalFormatting>
  <conditionalFormatting sqref="G597">
    <cfRule type="containsText" dxfId="1054" priority="1066" operator="containsText" text="zz">
      <formula>NOT(ISERROR(SEARCH("zz",G597)))</formula>
    </cfRule>
  </conditionalFormatting>
  <conditionalFormatting sqref="G596">
    <cfRule type="containsText" dxfId="1053" priority="1065" operator="containsText" text="zz">
      <formula>NOT(ISERROR(SEARCH("zz",G596)))</formula>
    </cfRule>
  </conditionalFormatting>
  <conditionalFormatting sqref="J596">
    <cfRule type="cellIs" dxfId="1052" priority="1064" operator="equal">
      <formula>""</formula>
    </cfRule>
  </conditionalFormatting>
  <conditionalFormatting sqref="G614">
    <cfRule type="containsText" dxfId="1051" priority="1063" operator="containsText" text="zz">
      <formula>NOT(ISERROR(SEARCH("zz",G614)))</formula>
    </cfRule>
  </conditionalFormatting>
  <conditionalFormatting sqref="J614">
    <cfRule type="cellIs" dxfId="1050" priority="1062" operator="equal">
      <formula>""</formula>
    </cfRule>
  </conditionalFormatting>
  <conditionalFormatting sqref="J615">
    <cfRule type="cellIs" dxfId="1049" priority="1061" operator="equal">
      <formula>""</formula>
    </cfRule>
  </conditionalFormatting>
  <conditionalFormatting sqref="G615">
    <cfRule type="containsText" dxfId="1048" priority="1060" operator="containsText" text="zz">
      <formula>NOT(ISERROR(SEARCH("zz",G615)))</formula>
    </cfRule>
  </conditionalFormatting>
  <conditionalFormatting sqref="G613">
    <cfRule type="containsText" dxfId="1047" priority="1059" operator="containsText" text="zz">
      <formula>NOT(ISERROR(SEARCH("zz",G613)))</formula>
    </cfRule>
  </conditionalFormatting>
  <conditionalFormatting sqref="J613">
    <cfRule type="cellIs" dxfId="1046" priority="1058" operator="equal">
      <formula>""</formula>
    </cfRule>
  </conditionalFormatting>
  <conditionalFormatting sqref="G611">
    <cfRule type="containsText" dxfId="1045" priority="1057" operator="containsText" text="zz">
      <formula>NOT(ISERROR(SEARCH("zz",G611)))</formula>
    </cfRule>
  </conditionalFormatting>
  <conditionalFormatting sqref="J611">
    <cfRule type="cellIs" dxfId="1044" priority="1056" operator="equal">
      <formula>""</formula>
    </cfRule>
  </conditionalFormatting>
  <conditionalFormatting sqref="G612">
    <cfRule type="containsText" dxfId="1043" priority="1055" operator="containsText" text="zz">
      <formula>NOT(ISERROR(SEARCH("zz",G612)))</formula>
    </cfRule>
  </conditionalFormatting>
  <conditionalFormatting sqref="J610">
    <cfRule type="cellIs" dxfId="1042" priority="1053" operator="equal">
      <formula>""</formula>
    </cfRule>
  </conditionalFormatting>
  <conditionalFormatting sqref="G610">
    <cfRule type="containsText" dxfId="1041" priority="1054" operator="containsText" text="zz">
      <formula>NOT(ISERROR(SEARCH("zz",G610)))</formula>
    </cfRule>
  </conditionalFormatting>
  <conditionalFormatting sqref="G609">
    <cfRule type="containsText" dxfId="1040" priority="1052" operator="containsText" text="zz">
      <formula>NOT(ISERROR(SEARCH("zz",G609)))</formula>
    </cfRule>
  </conditionalFormatting>
  <conditionalFormatting sqref="J608">
    <cfRule type="cellIs" dxfId="1039" priority="1049" operator="equal">
      <formula>""</formula>
    </cfRule>
  </conditionalFormatting>
  <conditionalFormatting sqref="G608">
    <cfRule type="containsText" dxfId="1038" priority="1050" operator="containsText" text="zz">
      <formula>NOT(ISERROR(SEARCH("zz",G608)))</formula>
    </cfRule>
  </conditionalFormatting>
  <conditionalFormatting sqref="J641">
    <cfRule type="cellIs" dxfId="1037" priority="1022" operator="equal">
      <formula>""</formula>
    </cfRule>
  </conditionalFormatting>
  <conditionalFormatting sqref="G350">
    <cfRule type="containsText" dxfId="1036" priority="1048" operator="containsText" text="zz">
      <formula>NOT(ISERROR(SEARCH("zz",G350)))</formula>
    </cfRule>
  </conditionalFormatting>
  <conditionalFormatting sqref="J350">
    <cfRule type="cellIs" dxfId="1035" priority="1047" operator="equal">
      <formula>""</formula>
    </cfRule>
  </conditionalFormatting>
  <conditionalFormatting sqref="G607">
    <cfRule type="containsText" dxfId="1034" priority="1046" operator="containsText" text="zz">
      <formula>NOT(ISERROR(SEARCH("zz",G607)))</formula>
    </cfRule>
  </conditionalFormatting>
  <conditionalFormatting sqref="J607">
    <cfRule type="cellIs" dxfId="1033" priority="1045" operator="equal">
      <formula>""</formula>
    </cfRule>
  </conditionalFormatting>
  <conditionalFormatting sqref="G616">
    <cfRule type="containsText" dxfId="1032" priority="1044" operator="containsText" text="zz">
      <formula>NOT(ISERROR(SEARCH("zz",G616)))</formula>
    </cfRule>
  </conditionalFormatting>
  <conditionalFormatting sqref="J616">
    <cfRule type="cellIs" dxfId="1031" priority="1043" operator="equal">
      <formula>""</formula>
    </cfRule>
  </conditionalFormatting>
  <conditionalFormatting sqref="G617">
    <cfRule type="containsText" dxfId="1030" priority="1042" operator="containsText" text="zz">
      <formula>NOT(ISERROR(SEARCH("zz",G617)))</formula>
    </cfRule>
  </conditionalFormatting>
  <conditionalFormatting sqref="J617">
    <cfRule type="cellIs" dxfId="1029" priority="1041" operator="equal">
      <formula>""</formula>
    </cfRule>
  </conditionalFormatting>
  <conditionalFormatting sqref="G618">
    <cfRule type="containsText" dxfId="1028" priority="1040" operator="containsText" text="zz">
      <formula>NOT(ISERROR(SEARCH("zz",G618)))</formula>
    </cfRule>
  </conditionalFormatting>
  <conditionalFormatting sqref="J618">
    <cfRule type="cellIs" dxfId="1027" priority="1039" operator="equal">
      <formula>""</formula>
    </cfRule>
  </conditionalFormatting>
  <conditionalFormatting sqref="G622">
    <cfRule type="containsText" dxfId="1026" priority="1038" operator="containsText" text="zz">
      <formula>NOT(ISERROR(SEARCH("zz",G622)))</formula>
    </cfRule>
  </conditionalFormatting>
  <conditionalFormatting sqref="J622">
    <cfRule type="cellIs" dxfId="1025" priority="1037" operator="equal">
      <formula>""</formula>
    </cfRule>
  </conditionalFormatting>
  <conditionalFormatting sqref="G621">
    <cfRule type="containsText" dxfId="1024" priority="1036" operator="containsText" text="zz">
      <formula>NOT(ISERROR(SEARCH("zz",G621)))</formula>
    </cfRule>
  </conditionalFormatting>
  <conditionalFormatting sqref="J628">
    <cfRule type="cellIs" dxfId="1023" priority="1033" operator="equal">
      <formula>""</formula>
    </cfRule>
  </conditionalFormatting>
  <conditionalFormatting sqref="G628">
    <cfRule type="containsText" dxfId="1022" priority="1034" operator="containsText" text="zz">
      <formula>NOT(ISERROR(SEARCH("zz",G628)))</formula>
    </cfRule>
  </conditionalFormatting>
  <conditionalFormatting sqref="J630">
    <cfRule type="cellIs" dxfId="1021" priority="1029" operator="equal">
      <formula>""</formula>
    </cfRule>
  </conditionalFormatting>
  <conditionalFormatting sqref="J629">
    <cfRule type="cellIs" dxfId="1020" priority="1032" operator="equal">
      <formula>""</formula>
    </cfRule>
  </conditionalFormatting>
  <conditionalFormatting sqref="G629">
    <cfRule type="containsText" dxfId="1019" priority="1031" operator="containsText" text="zz">
      <formula>NOT(ISERROR(SEARCH("zz",G629)))</formula>
    </cfRule>
  </conditionalFormatting>
  <conditionalFormatting sqref="G630">
    <cfRule type="containsText" dxfId="1018" priority="1030" operator="containsText" text="zz">
      <formula>NOT(ISERROR(SEARCH("zz",G630)))</formula>
    </cfRule>
  </conditionalFormatting>
  <conditionalFormatting sqref="J637:J638">
    <cfRule type="cellIs" dxfId="1017" priority="1009" operator="equal">
      <formula>""</formula>
    </cfRule>
  </conditionalFormatting>
  <conditionalFormatting sqref="J631">
    <cfRule type="cellIs" dxfId="1016" priority="1028" operator="equal">
      <formula>""</formula>
    </cfRule>
  </conditionalFormatting>
  <conditionalFormatting sqref="G631">
    <cfRule type="containsText" dxfId="1015" priority="1027" operator="containsText" text="zz">
      <formula>NOT(ISERROR(SEARCH("zz",G631)))</formula>
    </cfRule>
  </conditionalFormatting>
  <conditionalFormatting sqref="G632">
    <cfRule type="containsText" dxfId="1014" priority="1026" operator="containsText" text="zz">
      <formula>NOT(ISERROR(SEARCH("zz",G632)))</formula>
    </cfRule>
  </conditionalFormatting>
  <conditionalFormatting sqref="J632">
    <cfRule type="cellIs" dxfId="1013" priority="1025" operator="equal">
      <formula>""</formula>
    </cfRule>
  </conditionalFormatting>
  <conditionalFormatting sqref="G633">
    <cfRule type="containsText" dxfId="1012" priority="1024" operator="containsText" text="zz">
      <formula>NOT(ISERROR(SEARCH("zz",G633)))</formula>
    </cfRule>
  </conditionalFormatting>
  <conditionalFormatting sqref="J633">
    <cfRule type="cellIs" dxfId="1011" priority="1023" operator="equal">
      <formula>""</formula>
    </cfRule>
  </conditionalFormatting>
  <conditionalFormatting sqref="G641">
    <cfRule type="containsText" dxfId="1010" priority="1020" operator="containsText" text="zz">
      <formula>NOT(ISERROR(SEARCH("zz",G641)))</formula>
    </cfRule>
  </conditionalFormatting>
  <conditionalFormatting sqref="G640">
    <cfRule type="containsText" dxfId="1009" priority="1021" operator="containsText" text="zz">
      <formula>NOT(ISERROR(SEARCH("zz",G640)))</formula>
    </cfRule>
  </conditionalFormatting>
  <conditionalFormatting sqref="J640">
    <cfRule type="cellIs" dxfId="1008" priority="1019" operator="equal">
      <formula>""</formula>
    </cfRule>
  </conditionalFormatting>
  <conditionalFormatting sqref="G634">
    <cfRule type="containsText" dxfId="1007" priority="1018" operator="containsText" text="zz">
      <formula>NOT(ISERROR(SEARCH("zz",G634)))</formula>
    </cfRule>
  </conditionalFormatting>
  <conditionalFormatting sqref="J634">
    <cfRule type="cellIs" dxfId="1006" priority="1017" operator="equal">
      <formula>""</formula>
    </cfRule>
  </conditionalFormatting>
  <conditionalFormatting sqref="G414">
    <cfRule type="containsText" dxfId="1005" priority="1016" operator="containsText" text="zz">
      <formula>NOT(ISERROR(SEARCH("zz",G414)))</formula>
    </cfRule>
  </conditionalFormatting>
  <conditionalFormatting sqref="J414">
    <cfRule type="cellIs" dxfId="1004" priority="1015" operator="equal">
      <formula>""</formula>
    </cfRule>
  </conditionalFormatting>
  <conditionalFormatting sqref="G635">
    <cfRule type="containsText" dxfId="1003" priority="1014" operator="containsText" text="zz">
      <formula>NOT(ISERROR(SEARCH("zz",G635)))</formula>
    </cfRule>
  </conditionalFormatting>
  <conditionalFormatting sqref="J635">
    <cfRule type="cellIs" dxfId="1002" priority="1013" operator="equal">
      <formula>""</formula>
    </cfRule>
  </conditionalFormatting>
  <conditionalFormatting sqref="G636">
    <cfRule type="containsText" dxfId="1001" priority="1012" operator="containsText" text="zz">
      <formula>NOT(ISERROR(SEARCH("zz",G636)))</formula>
    </cfRule>
  </conditionalFormatting>
  <conditionalFormatting sqref="J636">
    <cfRule type="cellIs" dxfId="1000" priority="1011" operator="equal">
      <formula>""</formula>
    </cfRule>
  </conditionalFormatting>
  <conditionalFormatting sqref="G637:G638">
    <cfRule type="containsText" dxfId="999" priority="1010" operator="containsText" text="zz">
      <formula>NOT(ISERROR(SEARCH("zz",G637)))</formula>
    </cfRule>
  </conditionalFormatting>
  <conditionalFormatting sqref="G639">
    <cfRule type="containsText" dxfId="998" priority="1008" operator="containsText" text="zz">
      <formula>NOT(ISERROR(SEARCH("zz",G639)))</formula>
    </cfRule>
  </conditionalFormatting>
  <conditionalFormatting sqref="J639">
    <cfRule type="cellIs" dxfId="997" priority="1007" operator="equal">
      <formula>""</formula>
    </cfRule>
  </conditionalFormatting>
  <conditionalFormatting sqref="G642">
    <cfRule type="containsText" dxfId="996" priority="1006" operator="containsText" text="zz">
      <formula>NOT(ISERROR(SEARCH("zz",G642)))</formula>
    </cfRule>
  </conditionalFormatting>
  <conditionalFormatting sqref="J642">
    <cfRule type="cellIs" dxfId="995" priority="1005" operator="equal">
      <formula>""</formula>
    </cfRule>
  </conditionalFormatting>
  <conditionalFormatting sqref="G644">
    <cfRule type="containsText" dxfId="994" priority="1004" operator="containsText" text="zz">
      <formula>NOT(ISERROR(SEARCH("zz",G644)))</formula>
    </cfRule>
  </conditionalFormatting>
  <conditionalFormatting sqref="J644">
    <cfRule type="cellIs" dxfId="993" priority="1003" operator="equal">
      <formula>""</formula>
    </cfRule>
  </conditionalFormatting>
  <conditionalFormatting sqref="G645">
    <cfRule type="containsText" dxfId="992" priority="1002" operator="containsText" text="zz">
      <formula>NOT(ISERROR(SEARCH("zz",G645)))</formula>
    </cfRule>
  </conditionalFormatting>
  <conditionalFormatting sqref="J645">
    <cfRule type="cellIs" dxfId="991" priority="1001" operator="equal">
      <formula>""</formula>
    </cfRule>
  </conditionalFormatting>
  <conditionalFormatting sqref="J646">
    <cfRule type="cellIs" dxfId="990" priority="1000" operator="equal">
      <formula>""</formula>
    </cfRule>
  </conditionalFormatting>
  <conditionalFormatting sqref="G646">
    <cfRule type="containsText" dxfId="989" priority="999" operator="containsText" text="zz">
      <formula>NOT(ISERROR(SEARCH("zz",G646)))</formula>
    </cfRule>
  </conditionalFormatting>
  <conditionalFormatting sqref="G647">
    <cfRule type="containsText" dxfId="988" priority="998" operator="containsText" text="zz">
      <formula>NOT(ISERROR(SEARCH("zz",G647)))</formula>
    </cfRule>
  </conditionalFormatting>
  <conditionalFormatting sqref="J648 J671:J672 J674">
    <cfRule type="cellIs" dxfId="987" priority="996" operator="equal">
      <formula>""</formula>
    </cfRule>
  </conditionalFormatting>
  <conditionalFormatting sqref="G648 G671:G672 G674">
    <cfRule type="containsText" dxfId="986" priority="997" operator="containsText" text="zz">
      <formula>NOT(ISERROR(SEARCH("zz",G648)))</formula>
    </cfRule>
  </conditionalFormatting>
  <conditionalFormatting sqref="J675">
    <cfRule type="cellIs" dxfId="985" priority="994" operator="equal">
      <formula>""</formula>
    </cfRule>
  </conditionalFormatting>
  <conditionalFormatting sqref="G675">
    <cfRule type="containsText" dxfId="984" priority="995" operator="containsText" text="zz">
      <formula>NOT(ISERROR(SEARCH("zz",G675)))</formula>
    </cfRule>
  </conditionalFormatting>
  <conditionalFormatting sqref="J679">
    <cfRule type="cellIs" dxfId="983" priority="992" operator="equal">
      <formula>""</formula>
    </cfRule>
  </conditionalFormatting>
  <conditionalFormatting sqref="G679">
    <cfRule type="containsText" dxfId="982" priority="993" operator="containsText" text="zz">
      <formula>NOT(ISERROR(SEARCH("zz",G679)))</formula>
    </cfRule>
  </conditionalFormatting>
  <conditionalFormatting sqref="J686">
    <cfRule type="cellIs" dxfId="981" priority="940" operator="equal">
      <formula>""</formula>
    </cfRule>
  </conditionalFormatting>
  <conditionalFormatting sqref="J660">
    <cfRule type="cellIs" dxfId="980" priority="962" operator="equal">
      <formula>""</formula>
    </cfRule>
  </conditionalFormatting>
  <conditionalFormatting sqref="G50">
    <cfRule type="containsText" dxfId="979" priority="989" operator="containsText" text="zz">
      <formula>NOT(ISERROR(SEARCH("zz",G50)))</formula>
    </cfRule>
  </conditionalFormatting>
  <conditionalFormatting sqref="J50">
    <cfRule type="cellIs" dxfId="978" priority="988" operator="equal">
      <formula>""</formula>
    </cfRule>
  </conditionalFormatting>
  <conditionalFormatting sqref="G284">
    <cfRule type="containsText" dxfId="977" priority="987" operator="containsText" text="zz">
      <formula>NOT(ISERROR(SEARCH("zz",G284)))</formula>
    </cfRule>
  </conditionalFormatting>
  <conditionalFormatting sqref="J284">
    <cfRule type="cellIs" dxfId="976" priority="986" operator="equal">
      <formula>""</formula>
    </cfRule>
  </conditionalFormatting>
  <conditionalFormatting sqref="G558">
    <cfRule type="containsText" dxfId="975" priority="985" operator="containsText" text="zz">
      <formula>NOT(ISERROR(SEARCH("zz",G558)))</formula>
    </cfRule>
  </conditionalFormatting>
  <conditionalFormatting sqref="J558">
    <cfRule type="cellIs" dxfId="974" priority="984" operator="equal">
      <formula>""</formula>
    </cfRule>
  </conditionalFormatting>
  <conditionalFormatting sqref="G387">
    <cfRule type="containsText" dxfId="973" priority="983" operator="containsText" text="zz">
      <formula>NOT(ISERROR(SEARCH("zz",G387)))</formula>
    </cfRule>
  </conditionalFormatting>
  <conditionalFormatting sqref="J387">
    <cfRule type="cellIs" dxfId="972" priority="982" operator="equal">
      <formula>""</formula>
    </cfRule>
  </conditionalFormatting>
  <conditionalFormatting sqref="J694:J695 J725 J727:J731 J737">
    <cfRule type="cellIs" dxfId="971" priority="981" operator="equal">
      <formula>""</formula>
    </cfRule>
  </conditionalFormatting>
  <conditionalFormatting sqref="G582">
    <cfRule type="containsText" dxfId="970" priority="980" operator="containsText" text="zz">
      <formula>NOT(ISERROR(SEARCH("zz",G582)))</formula>
    </cfRule>
  </conditionalFormatting>
  <conditionalFormatting sqref="J582">
    <cfRule type="cellIs" dxfId="969" priority="979" operator="equal">
      <formula>""</formula>
    </cfRule>
  </conditionalFormatting>
  <conditionalFormatting sqref="G670">
    <cfRule type="containsText" dxfId="968" priority="978" operator="containsText" text="zz">
      <formula>NOT(ISERROR(SEARCH("zz",G670)))</formula>
    </cfRule>
  </conditionalFormatting>
  <conditionalFormatting sqref="J643">
    <cfRule type="cellIs" dxfId="967" priority="976" operator="equal">
      <formula>""</formula>
    </cfRule>
  </conditionalFormatting>
  <conditionalFormatting sqref="G643">
    <cfRule type="containsText" dxfId="966" priority="977" operator="containsText" text="zz">
      <formula>NOT(ISERROR(SEARCH("zz",G643)))</formula>
    </cfRule>
  </conditionalFormatting>
  <conditionalFormatting sqref="J716">
    <cfRule type="cellIs" dxfId="965" priority="903" operator="equal">
      <formula>""</formula>
    </cfRule>
  </conditionalFormatting>
  <conditionalFormatting sqref="J649:J658">
    <cfRule type="cellIs" dxfId="964" priority="975" operator="equal">
      <formula>""</formula>
    </cfRule>
  </conditionalFormatting>
  <conditionalFormatting sqref="G652:G656">
    <cfRule type="containsText" dxfId="963" priority="974" operator="containsText" text="zz">
      <formula>NOT(ISERROR(SEARCH("zz",G652)))</formula>
    </cfRule>
  </conditionalFormatting>
  <conditionalFormatting sqref="G658">
    <cfRule type="containsText" dxfId="962" priority="973" operator="containsText" text="zz">
      <formula>NOT(ISERROR(SEARCH("zz",G658)))</formula>
    </cfRule>
  </conditionalFormatting>
  <conditionalFormatting sqref="G649">
    <cfRule type="containsText" dxfId="961" priority="971" operator="containsText" text="zz">
      <formula>NOT(ISERROR(SEARCH("zz",G649)))</formula>
    </cfRule>
  </conditionalFormatting>
  <conditionalFormatting sqref="G649">
    <cfRule type="containsText" dxfId="960" priority="972" operator="containsText" text="zz">
      <formula>NOT(ISERROR(SEARCH("zz",G649)))</formula>
    </cfRule>
  </conditionalFormatting>
  <conditionalFormatting sqref="G650">
    <cfRule type="containsText" dxfId="959" priority="970" operator="containsText" text="zz">
      <formula>NOT(ISERROR(SEARCH("zz",G650)))</formula>
    </cfRule>
  </conditionalFormatting>
  <conditionalFormatting sqref="G650">
    <cfRule type="containsText" dxfId="958" priority="968" operator="containsText" text="zz">
      <formula>NOT(ISERROR(SEARCH("zz",G650)))</formula>
    </cfRule>
  </conditionalFormatting>
  <conditionalFormatting sqref="G650">
    <cfRule type="containsText" dxfId="957" priority="969" operator="containsText" text="zz">
      <formula>NOT(ISERROR(SEARCH("zz",G650)))</formula>
    </cfRule>
  </conditionalFormatting>
  <conditionalFormatting sqref="G651">
    <cfRule type="containsText" dxfId="956" priority="967" operator="containsText" text="zz">
      <formula>NOT(ISERROR(SEARCH("zz",G651)))</formula>
    </cfRule>
  </conditionalFormatting>
  <conditionalFormatting sqref="G657">
    <cfRule type="containsText" dxfId="955" priority="966" operator="containsText" text="zz">
      <formula>NOT(ISERROR(SEARCH("zz",G657)))</formula>
    </cfRule>
  </conditionalFormatting>
  <conditionalFormatting sqref="G659">
    <cfRule type="containsText" dxfId="954" priority="965" operator="containsText" text="zz">
      <formula>NOT(ISERROR(SEARCH("zz",G659)))</formula>
    </cfRule>
  </conditionalFormatting>
  <conditionalFormatting sqref="J659">
    <cfRule type="cellIs" dxfId="953" priority="964" operator="equal">
      <formula>""</formula>
    </cfRule>
  </conditionalFormatting>
  <conditionalFormatting sqref="G660">
    <cfRule type="containsText" dxfId="952" priority="963" operator="containsText" text="zz">
      <formula>NOT(ISERROR(SEARCH("zz",G660)))</formula>
    </cfRule>
  </conditionalFormatting>
  <conditionalFormatting sqref="J661:J663">
    <cfRule type="cellIs" dxfId="951" priority="960" operator="equal">
      <formula>""</formula>
    </cfRule>
  </conditionalFormatting>
  <conditionalFormatting sqref="G661:G663">
    <cfRule type="containsText" dxfId="950" priority="961" operator="containsText" text="zz">
      <formula>NOT(ISERROR(SEARCH("zz",G661)))</formula>
    </cfRule>
  </conditionalFormatting>
  <conditionalFormatting sqref="J664:J665">
    <cfRule type="cellIs" dxfId="949" priority="958" operator="equal">
      <formula>""</formula>
    </cfRule>
  </conditionalFormatting>
  <conditionalFormatting sqref="G664:G665">
    <cfRule type="containsText" dxfId="948" priority="959" operator="containsText" text="zz">
      <formula>NOT(ISERROR(SEARCH("zz",G664)))</formula>
    </cfRule>
  </conditionalFormatting>
  <conditionalFormatting sqref="J681">
    <cfRule type="cellIs" dxfId="947" priority="955" operator="equal">
      <formula>""</formula>
    </cfRule>
  </conditionalFormatting>
  <conditionalFormatting sqref="G680">
    <cfRule type="containsText" dxfId="946" priority="957" operator="containsText" text="zz">
      <formula>NOT(ISERROR(SEARCH("zz",G680)))</formula>
    </cfRule>
  </conditionalFormatting>
  <conditionalFormatting sqref="J688">
    <cfRule type="cellIs" dxfId="945" priority="937" operator="equal">
      <formula>""</formula>
    </cfRule>
  </conditionalFormatting>
  <conditionalFormatting sqref="G681">
    <cfRule type="containsText" dxfId="944" priority="956" operator="containsText" text="zz">
      <formula>NOT(ISERROR(SEARCH("zz",G681)))</formula>
    </cfRule>
  </conditionalFormatting>
  <conditionalFormatting sqref="J682">
    <cfRule type="cellIs" dxfId="943" priority="953" operator="equal">
      <formula>""</formula>
    </cfRule>
  </conditionalFormatting>
  <conditionalFormatting sqref="G682">
    <cfRule type="containsText" dxfId="942" priority="954" operator="containsText" text="zz">
      <formula>NOT(ISERROR(SEARCH("zz",G682)))</formula>
    </cfRule>
  </conditionalFormatting>
  <conditionalFormatting sqref="J739">
    <cfRule type="cellIs" dxfId="941" priority="895" operator="equal">
      <formula>""</formula>
    </cfRule>
  </conditionalFormatting>
  <conditionalFormatting sqref="J673">
    <cfRule type="cellIs" dxfId="940" priority="952" operator="equal">
      <formula>""</formula>
    </cfRule>
  </conditionalFormatting>
  <conditionalFormatting sqref="G673">
    <cfRule type="containsText" dxfId="939" priority="951" operator="containsText" text="zz">
      <formula>NOT(ISERROR(SEARCH("zz",G673)))</formula>
    </cfRule>
  </conditionalFormatting>
  <conditionalFormatting sqref="G676">
    <cfRule type="containsText" dxfId="938" priority="950" operator="containsText" text="zz">
      <formula>NOT(ISERROR(SEARCH("zz",G676)))</formula>
    </cfRule>
  </conditionalFormatting>
  <conditionalFormatting sqref="J676">
    <cfRule type="cellIs" dxfId="937" priority="949" operator="equal">
      <formula>""</formula>
    </cfRule>
  </conditionalFormatting>
  <conditionalFormatting sqref="J677">
    <cfRule type="cellIs" dxfId="936" priority="948" operator="equal">
      <formula>""</formula>
    </cfRule>
  </conditionalFormatting>
  <conditionalFormatting sqref="G677">
    <cfRule type="containsText" dxfId="935" priority="947" operator="containsText" text="zz">
      <formula>NOT(ISERROR(SEARCH("zz",G677)))</formula>
    </cfRule>
  </conditionalFormatting>
  <conditionalFormatting sqref="G683">
    <cfRule type="containsText" dxfId="934" priority="946" operator="containsText" text="zz">
      <formula>NOT(ISERROR(SEARCH("zz",G683)))</formula>
    </cfRule>
  </conditionalFormatting>
  <conditionalFormatting sqref="J683">
    <cfRule type="cellIs" dxfId="933" priority="945" operator="equal">
      <formula>""</formula>
    </cfRule>
  </conditionalFormatting>
  <conditionalFormatting sqref="G684">
    <cfRule type="containsText" dxfId="932" priority="944" operator="containsText" text="zz">
      <formula>NOT(ISERROR(SEARCH("zz",G684)))</formula>
    </cfRule>
  </conditionalFormatting>
  <conditionalFormatting sqref="J684">
    <cfRule type="cellIs" dxfId="931" priority="943" operator="equal">
      <formula>""</formula>
    </cfRule>
  </conditionalFormatting>
  <conditionalFormatting sqref="G685">
    <cfRule type="containsText" dxfId="930" priority="942" operator="containsText" text="zz">
      <formula>NOT(ISERROR(SEARCH("zz",G685)))</formula>
    </cfRule>
  </conditionalFormatting>
  <conditionalFormatting sqref="J685">
    <cfRule type="cellIs" dxfId="929" priority="941" operator="equal">
      <formula>""</formula>
    </cfRule>
  </conditionalFormatting>
  <conditionalFormatting sqref="J690">
    <cfRule type="cellIs" dxfId="928" priority="913" operator="equal">
      <formula>""</formula>
    </cfRule>
  </conditionalFormatting>
  <conditionalFormatting sqref="G686">
    <cfRule type="containsText" dxfId="927" priority="939" operator="containsText" text="zz">
      <formula>NOT(ISERROR(SEARCH("zz",G686)))</formula>
    </cfRule>
  </conditionalFormatting>
  <conditionalFormatting sqref="G688">
    <cfRule type="containsText" dxfId="926" priority="938" operator="containsText" text="zz">
      <formula>NOT(ISERROR(SEARCH("zz",G688)))</formula>
    </cfRule>
  </conditionalFormatting>
  <conditionalFormatting sqref="G678">
    <cfRule type="containsText" dxfId="925" priority="936" operator="containsText" text="zz">
      <formula>NOT(ISERROR(SEARCH("zz",G678)))</formula>
    </cfRule>
  </conditionalFormatting>
  <conditionalFormatting sqref="J678">
    <cfRule type="cellIs" dxfId="924" priority="935" operator="equal">
      <formula>""</formula>
    </cfRule>
  </conditionalFormatting>
  <conditionalFormatting sqref="G698">
    <cfRule type="containsText" dxfId="923" priority="934" operator="containsText" text="zz">
      <formula>NOT(ISERROR(SEARCH("zz",G698)))</formula>
    </cfRule>
  </conditionalFormatting>
  <conditionalFormatting sqref="J698">
    <cfRule type="cellIs" dxfId="922" priority="933" operator="equal">
      <formula>""</formula>
    </cfRule>
  </conditionalFormatting>
  <conditionalFormatting sqref="G699">
    <cfRule type="containsText" dxfId="921" priority="932" operator="containsText" text="zz">
      <formula>NOT(ISERROR(SEARCH("zz",G699)))</formula>
    </cfRule>
  </conditionalFormatting>
  <conditionalFormatting sqref="J699">
    <cfRule type="cellIs" dxfId="920" priority="931" operator="equal">
      <formula>""</formula>
    </cfRule>
  </conditionalFormatting>
  <conditionalFormatting sqref="G700">
    <cfRule type="containsText" dxfId="919" priority="930" operator="containsText" text="zz">
      <formula>NOT(ISERROR(SEARCH("zz",G700)))</formula>
    </cfRule>
  </conditionalFormatting>
  <conditionalFormatting sqref="J700">
    <cfRule type="cellIs" dxfId="918" priority="929" operator="equal">
      <formula>""</formula>
    </cfRule>
  </conditionalFormatting>
  <conditionalFormatting sqref="J726">
    <cfRule type="cellIs" dxfId="917" priority="928" operator="equal">
      <formula>""</formula>
    </cfRule>
  </conditionalFormatting>
  <conditionalFormatting sqref="G726">
    <cfRule type="containsText" dxfId="916" priority="927" operator="containsText" text="zz">
      <formula>NOT(ISERROR(SEARCH("zz",G726)))</formula>
    </cfRule>
  </conditionalFormatting>
  <conditionalFormatting sqref="G701">
    <cfRule type="containsText" dxfId="915" priority="926" operator="containsText" text="zz">
      <formula>NOT(ISERROR(SEARCH("zz",G701)))</formula>
    </cfRule>
  </conditionalFormatting>
  <conditionalFormatting sqref="J701">
    <cfRule type="cellIs" dxfId="914" priority="925" operator="equal">
      <formula>""</formula>
    </cfRule>
  </conditionalFormatting>
  <conditionalFormatting sqref="G703">
    <cfRule type="containsText" dxfId="913" priority="924" operator="containsText" text="zz">
      <formula>NOT(ISERROR(SEARCH("zz",G703)))</formula>
    </cfRule>
  </conditionalFormatting>
  <conditionalFormatting sqref="J703">
    <cfRule type="cellIs" dxfId="912" priority="923" operator="equal">
      <formula>""</formula>
    </cfRule>
  </conditionalFormatting>
  <conditionalFormatting sqref="G732">
    <cfRule type="containsText" dxfId="911" priority="922" operator="containsText" text="zz">
      <formula>NOT(ISERROR(SEARCH("zz",G732)))</formula>
    </cfRule>
  </conditionalFormatting>
  <conditionalFormatting sqref="J732">
    <cfRule type="cellIs" dxfId="910" priority="921" operator="equal">
      <formula>""</formula>
    </cfRule>
  </conditionalFormatting>
  <conditionalFormatting sqref="G704">
    <cfRule type="containsText" dxfId="909" priority="920" operator="containsText" text="zz">
      <formula>NOT(ISERROR(SEARCH("zz",G704)))</formula>
    </cfRule>
  </conditionalFormatting>
  <conditionalFormatting sqref="J704">
    <cfRule type="cellIs" dxfId="908" priority="919" operator="equal">
      <formula>""</formula>
    </cfRule>
  </conditionalFormatting>
  <conditionalFormatting sqref="G705">
    <cfRule type="containsText" dxfId="907" priority="918" operator="containsText" text="zz">
      <formula>NOT(ISERROR(SEARCH("zz",G705)))</formula>
    </cfRule>
  </conditionalFormatting>
  <conditionalFormatting sqref="J705">
    <cfRule type="cellIs" dxfId="906" priority="917" operator="equal">
      <formula>""</formula>
    </cfRule>
  </conditionalFormatting>
  <conditionalFormatting sqref="G706">
    <cfRule type="containsText" dxfId="905" priority="916" operator="containsText" text="zz">
      <formula>NOT(ISERROR(SEARCH("zz",G706)))</formula>
    </cfRule>
  </conditionalFormatting>
  <conditionalFormatting sqref="J706">
    <cfRule type="cellIs" dxfId="904" priority="915" operator="equal">
      <formula>""</formula>
    </cfRule>
  </conditionalFormatting>
  <conditionalFormatting sqref="G690">
    <cfRule type="containsText" dxfId="903" priority="914" operator="containsText" text="zz">
      <formula>NOT(ISERROR(SEARCH("zz",G690)))</formula>
    </cfRule>
  </conditionalFormatting>
  <conditionalFormatting sqref="G738">
    <cfRule type="containsText" dxfId="902" priority="912" operator="containsText" text="zz">
      <formula>NOT(ISERROR(SEARCH("zz",G738)))</formula>
    </cfRule>
  </conditionalFormatting>
  <conditionalFormatting sqref="J738">
    <cfRule type="cellIs" dxfId="901" priority="911" operator="equal">
      <formula>""</formula>
    </cfRule>
  </conditionalFormatting>
  <conditionalFormatting sqref="G709:G713">
    <cfRule type="containsText" dxfId="900" priority="910" operator="containsText" text="zz">
      <formula>NOT(ISERROR(SEARCH("zz",G709)))</formula>
    </cfRule>
  </conditionalFormatting>
  <conditionalFormatting sqref="G715">
    <cfRule type="containsText" dxfId="899" priority="909" operator="containsText" text="zz">
      <formula>NOT(ISERROR(SEARCH("zz",G715)))</formula>
    </cfRule>
  </conditionalFormatting>
  <conditionalFormatting sqref="G707">
    <cfRule type="containsText" dxfId="898" priority="907" operator="containsText" text="zz">
      <formula>NOT(ISERROR(SEARCH("zz",G707)))</formula>
    </cfRule>
  </conditionalFormatting>
  <conditionalFormatting sqref="G707">
    <cfRule type="containsText" dxfId="897" priority="908" operator="containsText" text="zz">
      <formula>NOT(ISERROR(SEARCH("zz",G707)))</formula>
    </cfRule>
  </conditionalFormatting>
  <conditionalFormatting sqref="G708">
    <cfRule type="containsText" dxfId="896" priority="906" operator="containsText" text="zz">
      <formula>NOT(ISERROR(SEARCH("zz",G708)))</formula>
    </cfRule>
  </conditionalFormatting>
  <conditionalFormatting sqref="G714">
    <cfRule type="containsText" dxfId="895" priority="905" operator="containsText" text="zz">
      <formula>NOT(ISERROR(SEARCH("zz",G714)))</formula>
    </cfRule>
  </conditionalFormatting>
  <conditionalFormatting sqref="G716">
    <cfRule type="containsText" dxfId="894" priority="904" operator="containsText" text="zz">
      <formula>NOT(ISERROR(SEARCH("zz",G716)))</formula>
    </cfRule>
  </conditionalFormatting>
  <conditionalFormatting sqref="J717">
    <cfRule type="cellIs" dxfId="893" priority="901" operator="equal">
      <formula>""</formula>
    </cfRule>
  </conditionalFormatting>
  <conditionalFormatting sqref="G717">
    <cfRule type="containsText" dxfId="892" priority="902" operator="containsText" text="zz">
      <formula>NOT(ISERROR(SEARCH("zz",G717)))</formula>
    </cfRule>
  </conditionalFormatting>
  <conditionalFormatting sqref="J742">
    <cfRule type="cellIs" dxfId="891" priority="883" operator="equal">
      <formula>""</formula>
    </cfRule>
  </conditionalFormatting>
  <conditionalFormatting sqref="G718 G720:G721">
    <cfRule type="containsText" dxfId="890" priority="900" operator="containsText" text="zz">
      <formula>NOT(ISERROR(SEARCH("zz",G718)))</formula>
    </cfRule>
  </conditionalFormatting>
  <conditionalFormatting sqref="J718 J720:J721">
    <cfRule type="cellIs" dxfId="889" priority="899" operator="equal">
      <formula>""</formula>
    </cfRule>
  </conditionalFormatting>
  <conditionalFormatting sqref="G722:G723">
    <cfRule type="containsText" dxfId="888" priority="898" operator="containsText" text="zz">
      <formula>NOT(ISERROR(SEARCH("zz",G722)))</formula>
    </cfRule>
  </conditionalFormatting>
  <conditionalFormatting sqref="J722:J723">
    <cfRule type="cellIs" dxfId="887" priority="897" operator="equal">
      <formula>""</formula>
    </cfRule>
  </conditionalFormatting>
  <conditionalFormatting sqref="G739">
    <cfRule type="containsText" dxfId="886" priority="896" operator="containsText" text="zz">
      <formula>NOT(ISERROR(SEARCH("zz",G739)))</formula>
    </cfRule>
  </conditionalFormatting>
  <conditionalFormatting sqref="J753:J754 J770:J773 J758:J760 J779:J791">
    <cfRule type="cellIs" dxfId="885" priority="856" operator="equal">
      <formula>""</formula>
    </cfRule>
  </conditionalFormatting>
  <conditionalFormatting sqref="J697">
    <cfRule type="cellIs" dxfId="884" priority="894" operator="equal">
      <formula>""</formula>
    </cfRule>
  </conditionalFormatting>
  <conditionalFormatting sqref="G697">
    <cfRule type="containsText" dxfId="883" priority="892" operator="containsText" text="zz">
      <formula>NOT(ISERROR(SEARCH("zz",G697)))</formula>
    </cfRule>
  </conditionalFormatting>
  <conditionalFormatting sqref="G696">
    <cfRule type="containsText" dxfId="882" priority="893" operator="containsText" text="zz">
      <formula>NOT(ISERROR(SEARCH("zz",G696)))</formula>
    </cfRule>
  </conditionalFormatting>
  <conditionalFormatting sqref="J696">
    <cfRule type="cellIs" dxfId="881" priority="891" operator="equal">
      <formula>""</formula>
    </cfRule>
  </conditionalFormatting>
  <conditionalFormatting sqref="G719">
    <cfRule type="containsText" dxfId="880" priority="890" operator="containsText" text="zz">
      <formula>NOT(ISERROR(SEARCH("zz",G719)))</formula>
    </cfRule>
  </conditionalFormatting>
  <conditionalFormatting sqref="J719">
    <cfRule type="cellIs" dxfId="879" priority="889" operator="equal">
      <formula>""</formula>
    </cfRule>
  </conditionalFormatting>
  <conditionalFormatting sqref="G563">
    <cfRule type="containsText" dxfId="878" priority="888" operator="containsText" text="zz">
      <formula>NOT(ISERROR(SEARCH("zz",G563)))</formula>
    </cfRule>
  </conditionalFormatting>
  <conditionalFormatting sqref="J563">
    <cfRule type="cellIs" dxfId="877" priority="887" operator="equal">
      <formula>""</formula>
    </cfRule>
  </conditionalFormatting>
  <conditionalFormatting sqref="J740">
    <cfRule type="cellIs" dxfId="876" priority="886" operator="equal">
      <formula>""</formula>
    </cfRule>
  </conditionalFormatting>
  <conditionalFormatting sqref="G740">
    <cfRule type="containsText" dxfId="875" priority="885" operator="containsText" text="zz">
      <formula>NOT(ISERROR(SEARCH("zz",G740)))</formula>
    </cfRule>
  </conditionalFormatting>
  <conditionalFormatting sqref="G742">
    <cfRule type="containsText" dxfId="874" priority="884" operator="containsText" text="zz">
      <formula>NOT(ISERROR(SEARCH("zz",G742)))</formula>
    </cfRule>
  </conditionalFormatting>
  <conditionalFormatting sqref="G702">
    <cfRule type="containsText" dxfId="873" priority="882" operator="containsText" text="zz">
      <formula>NOT(ISERROR(SEARCH("zz",G702)))</formula>
    </cfRule>
  </conditionalFormatting>
  <conditionalFormatting sqref="J702">
    <cfRule type="cellIs" dxfId="872" priority="881" operator="equal">
      <formula>""</formula>
    </cfRule>
  </conditionalFormatting>
  <conditionalFormatting sqref="G747">
    <cfRule type="containsText" dxfId="871" priority="880" operator="containsText" text="zz">
      <formula>NOT(ISERROR(SEARCH("zz",G747)))</formula>
    </cfRule>
  </conditionalFormatting>
  <conditionalFormatting sqref="J747">
    <cfRule type="cellIs" dxfId="870" priority="879" operator="equal">
      <formula>""</formula>
    </cfRule>
  </conditionalFormatting>
  <conditionalFormatting sqref="G691">
    <cfRule type="containsText" dxfId="869" priority="878" operator="containsText" text="zz">
      <formula>NOT(ISERROR(SEARCH("zz",G691)))</formula>
    </cfRule>
  </conditionalFormatting>
  <conditionalFormatting sqref="J691">
    <cfRule type="cellIs" dxfId="868" priority="877" operator="equal">
      <formula>""</formula>
    </cfRule>
  </conditionalFormatting>
  <conditionalFormatting sqref="G724">
    <cfRule type="containsText" dxfId="867" priority="876" operator="containsText" text="zz">
      <formula>NOT(ISERROR(SEARCH("zz",G724)))</formula>
    </cfRule>
  </conditionalFormatting>
  <conditionalFormatting sqref="J724">
    <cfRule type="cellIs" dxfId="866" priority="875" operator="equal">
      <formula>""</formula>
    </cfRule>
  </conditionalFormatting>
  <conditionalFormatting sqref="G687">
    <cfRule type="containsText" dxfId="865" priority="874" operator="containsText" text="zz">
      <formula>NOT(ISERROR(SEARCH("zz",G687)))</formula>
    </cfRule>
  </conditionalFormatting>
  <conditionalFormatting sqref="J687">
    <cfRule type="cellIs" dxfId="864" priority="873" operator="equal">
      <formula>""</formula>
    </cfRule>
  </conditionalFormatting>
  <conditionalFormatting sqref="G734">
    <cfRule type="containsText" dxfId="863" priority="872" operator="containsText" text="zz">
      <formula>NOT(ISERROR(SEARCH("zz",G734)))</formula>
    </cfRule>
  </conditionalFormatting>
  <conditionalFormatting sqref="J734">
    <cfRule type="cellIs" dxfId="862" priority="871" operator="equal">
      <formula>""</formula>
    </cfRule>
  </conditionalFormatting>
  <conditionalFormatting sqref="J743">
    <cfRule type="cellIs" dxfId="861" priority="870" operator="equal">
      <formula>""</formula>
    </cfRule>
  </conditionalFormatting>
  <conditionalFormatting sqref="G743">
    <cfRule type="containsText" dxfId="860" priority="869" operator="containsText" text="zz">
      <formula>NOT(ISERROR(SEARCH("zz",G743)))</formula>
    </cfRule>
  </conditionalFormatting>
  <conditionalFormatting sqref="G733">
    <cfRule type="containsText" dxfId="859" priority="868" operator="containsText" text="zz">
      <formula>NOT(ISERROR(SEARCH("zz",G733)))</formula>
    </cfRule>
  </conditionalFormatting>
  <conditionalFormatting sqref="J733">
    <cfRule type="cellIs" dxfId="858" priority="867" operator="equal">
      <formula>""</formula>
    </cfRule>
  </conditionalFormatting>
  <conditionalFormatting sqref="G744">
    <cfRule type="containsText" dxfId="857" priority="866" operator="containsText" text="zz">
      <formula>NOT(ISERROR(SEARCH("zz",G744)))</formula>
    </cfRule>
  </conditionalFormatting>
  <conditionalFormatting sqref="J744">
    <cfRule type="cellIs" dxfId="856" priority="865" operator="equal">
      <formula>""</formula>
    </cfRule>
  </conditionalFormatting>
  <conditionalFormatting sqref="G736">
    <cfRule type="containsText" dxfId="855" priority="862" operator="containsText" text="zz">
      <formula>NOT(ISERROR(SEARCH("zz",G736)))</formula>
    </cfRule>
  </conditionalFormatting>
  <conditionalFormatting sqref="J736">
    <cfRule type="cellIs" dxfId="854" priority="861" operator="equal">
      <formula>""</formula>
    </cfRule>
  </conditionalFormatting>
  <conditionalFormatting sqref="G735">
    <cfRule type="containsText" dxfId="853" priority="864" operator="containsText" text="zz">
      <formula>NOT(ISERROR(SEARCH("zz",G735)))</formula>
    </cfRule>
  </conditionalFormatting>
  <conditionalFormatting sqref="J735">
    <cfRule type="cellIs" dxfId="852" priority="863" operator="equal">
      <formula>""</formula>
    </cfRule>
  </conditionalFormatting>
  <conditionalFormatting sqref="G751">
    <cfRule type="containsText" dxfId="851" priority="858" operator="containsText" text="zz">
      <formula>NOT(ISERROR(SEARCH("zz",G751)))</formula>
    </cfRule>
  </conditionalFormatting>
  <conditionalFormatting sqref="J751">
    <cfRule type="cellIs" dxfId="850" priority="857" operator="equal">
      <formula>""</formula>
    </cfRule>
  </conditionalFormatting>
  <conditionalFormatting sqref="G748">
    <cfRule type="containsText" dxfId="849" priority="860" operator="containsText" text="zz">
      <formula>NOT(ISERROR(SEARCH("zz",G748)))</formula>
    </cfRule>
  </conditionalFormatting>
  <conditionalFormatting sqref="J748">
    <cfRule type="cellIs" dxfId="848" priority="859" operator="equal">
      <formula>""</formula>
    </cfRule>
  </conditionalFormatting>
  <conditionalFormatting sqref="J761">
    <cfRule type="cellIs" dxfId="847" priority="854" operator="equal">
      <formula>""</formula>
    </cfRule>
  </conditionalFormatting>
  <conditionalFormatting sqref="G761">
    <cfRule type="containsText" dxfId="846" priority="855" operator="containsText" text="zz">
      <formula>NOT(ISERROR(SEARCH("zz",G761)))</formula>
    </cfRule>
  </conditionalFormatting>
  <conditionalFormatting sqref="J766">
    <cfRule type="cellIs" dxfId="845" priority="853" operator="equal">
      <formula>""</formula>
    </cfRule>
  </conditionalFormatting>
  <conditionalFormatting sqref="G798:G799">
    <cfRule type="containsText" dxfId="844" priority="852" operator="containsText" text="zz">
      <formula>NOT(ISERROR(SEARCH("zz",G798)))</formula>
    </cfRule>
  </conditionalFormatting>
  <conditionalFormatting sqref="J798:J799">
    <cfRule type="cellIs" dxfId="843" priority="851" operator="equal">
      <formula>""</formula>
    </cfRule>
  </conditionalFormatting>
  <conditionalFormatting sqref="G802">
    <cfRule type="containsText" dxfId="842" priority="850" operator="containsText" text="zz">
      <formula>NOT(ISERROR(SEARCH("zz",G802)))</formula>
    </cfRule>
  </conditionalFormatting>
  <conditionalFormatting sqref="J802">
    <cfRule type="cellIs" dxfId="841" priority="849" operator="equal">
      <formula>""</formula>
    </cfRule>
  </conditionalFormatting>
  <conditionalFormatting sqref="G803">
    <cfRule type="containsText" dxfId="840" priority="848" operator="containsText" text="zz">
      <formula>NOT(ISERROR(SEARCH("zz",G803)))</formula>
    </cfRule>
  </conditionalFormatting>
  <conditionalFormatting sqref="J803">
    <cfRule type="cellIs" dxfId="839" priority="847" operator="equal">
      <formula>""</formula>
    </cfRule>
  </conditionalFormatting>
  <conditionalFormatting sqref="G804">
    <cfRule type="containsText" dxfId="838" priority="846" operator="containsText" text="zz">
      <formula>NOT(ISERROR(SEARCH("zz",G804)))</formula>
    </cfRule>
  </conditionalFormatting>
  <conditionalFormatting sqref="J804">
    <cfRule type="cellIs" dxfId="837" priority="845" operator="equal">
      <formula>""</formula>
    </cfRule>
  </conditionalFormatting>
  <conditionalFormatting sqref="G765">
    <cfRule type="containsText" dxfId="836" priority="844" operator="containsText" text="zz">
      <formula>NOT(ISERROR(SEARCH("zz",G765)))</formula>
    </cfRule>
  </conditionalFormatting>
  <conditionalFormatting sqref="J765">
    <cfRule type="cellIs" dxfId="835" priority="843" operator="equal">
      <formula>""</formula>
    </cfRule>
  </conditionalFormatting>
  <conditionalFormatting sqref="J819">
    <cfRule type="cellIs" dxfId="834" priority="842" operator="equal">
      <formula>""</formula>
    </cfRule>
  </conditionalFormatting>
  <conditionalFormatting sqref="G819">
    <cfRule type="containsText" dxfId="833" priority="841" operator="containsText" text="zz">
      <formula>NOT(ISERROR(SEARCH("zz",G819)))</formula>
    </cfRule>
  </conditionalFormatting>
  <conditionalFormatting sqref="G824">
    <cfRule type="containsText" dxfId="832" priority="840" operator="containsText" text="zz">
      <formula>NOT(ISERROR(SEARCH("zz",G824)))</formula>
    </cfRule>
  </conditionalFormatting>
  <conditionalFormatting sqref="G826">
    <cfRule type="containsText" dxfId="831" priority="839" operator="containsText" text="zz">
      <formula>NOT(ISERROR(SEARCH("zz",G826)))</formula>
    </cfRule>
  </conditionalFormatting>
  <conditionalFormatting sqref="G825">
    <cfRule type="containsText" dxfId="830" priority="838" operator="containsText" text="zz">
      <formula>NOT(ISERROR(SEARCH("zz",G825)))</formula>
    </cfRule>
  </conditionalFormatting>
  <conditionalFormatting sqref="J824:J826">
    <cfRule type="cellIs" dxfId="829" priority="837" operator="equal">
      <formula>""</formula>
    </cfRule>
  </conditionalFormatting>
  <conditionalFormatting sqref="G828:G829">
    <cfRule type="containsText" dxfId="828" priority="836" operator="containsText" text="zz">
      <formula>NOT(ISERROR(SEARCH("zz",G828)))</formula>
    </cfRule>
  </conditionalFormatting>
  <conditionalFormatting sqref="J828:J829">
    <cfRule type="cellIs" dxfId="827" priority="835" operator="equal">
      <formula>""</formula>
    </cfRule>
  </conditionalFormatting>
  <conditionalFormatting sqref="G827">
    <cfRule type="containsText" dxfId="826" priority="834" operator="containsText" text="zz">
      <formula>NOT(ISERROR(SEARCH("zz",G827)))</formula>
    </cfRule>
  </conditionalFormatting>
  <conditionalFormatting sqref="J827">
    <cfRule type="cellIs" dxfId="825" priority="833" operator="equal">
      <formula>""</formula>
    </cfRule>
  </conditionalFormatting>
  <conditionalFormatting sqref="G813">
    <cfRule type="containsText" dxfId="824" priority="832" operator="containsText" text="zz">
      <formula>NOT(ISERROR(SEARCH("zz",G813)))</formula>
    </cfRule>
  </conditionalFormatting>
  <conditionalFormatting sqref="J812">
    <cfRule type="cellIs" dxfId="823" priority="830" operator="equal">
      <formula>""</formula>
    </cfRule>
  </conditionalFormatting>
  <conditionalFormatting sqref="G812">
    <cfRule type="containsText" dxfId="822" priority="831" operator="containsText" text="zz">
      <formula>NOT(ISERROR(SEARCH("zz",G812)))</formula>
    </cfRule>
  </conditionalFormatting>
  <conditionalFormatting sqref="J767">
    <cfRule type="cellIs" dxfId="821" priority="828" operator="equal">
      <formula>""</formula>
    </cfRule>
  </conditionalFormatting>
  <conditionalFormatting sqref="G767">
    <cfRule type="containsText" dxfId="820" priority="829" operator="containsText" text="zz">
      <formula>NOT(ISERROR(SEARCH("zz",G767)))</formula>
    </cfRule>
  </conditionalFormatting>
  <conditionalFormatting sqref="J792">
    <cfRule type="cellIs" dxfId="819" priority="826" operator="equal">
      <formula>""</formula>
    </cfRule>
  </conditionalFormatting>
  <conditionalFormatting sqref="G792">
    <cfRule type="containsText" dxfId="818" priority="827" operator="containsText" text="zz">
      <formula>NOT(ISERROR(SEARCH("zz",G792)))</formula>
    </cfRule>
  </conditionalFormatting>
  <conditionalFormatting sqref="J794">
    <cfRule type="cellIs" dxfId="817" priority="799" operator="equal">
      <formula>""</formula>
    </cfRule>
  </conditionalFormatting>
  <conditionalFormatting sqref="G805">
    <cfRule type="containsText" dxfId="816" priority="825" operator="containsText" text="zz">
      <formula>NOT(ISERROR(SEARCH("zz",G805)))</formula>
    </cfRule>
  </conditionalFormatting>
  <conditionalFormatting sqref="J805">
    <cfRule type="cellIs" dxfId="815" priority="824" operator="equal">
      <formula>""</formula>
    </cfRule>
  </conditionalFormatting>
  <conditionalFormatting sqref="G814">
    <cfRule type="containsText" dxfId="814" priority="823" operator="containsText" text="zz">
      <formula>NOT(ISERROR(SEARCH("zz",G814)))</formula>
    </cfRule>
  </conditionalFormatting>
  <conditionalFormatting sqref="J814">
    <cfRule type="cellIs" dxfId="813" priority="822" operator="equal">
      <formula>""</formula>
    </cfRule>
  </conditionalFormatting>
  <conditionalFormatting sqref="J806">
    <cfRule type="cellIs" dxfId="812" priority="821" operator="equal">
      <formula>""</formula>
    </cfRule>
  </conditionalFormatting>
  <conditionalFormatting sqref="G806">
    <cfRule type="containsText" dxfId="811" priority="820" operator="containsText" text="zz">
      <formula>NOT(ISERROR(SEARCH("zz",G806)))</formula>
    </cfRule>
  </conditionalFormatting>
  <conditionalFormatting sqref="G755">
    <cfRule type="containsText" dxfId="810" priority="819" operator="containsText" text="zz">
      <formula>NOT(ISERROR(SEARCH("zz",G755)))</formula>
    </cfRule>
  </conditionalFormatting>
  <conditionalFormatting sqref="J755">
    <cfRule type="cellIs" dxfId="809" priority="818" operator="equal">
      <formula>""</formula>
    </cfRule>
  </conditionalFormatting>
  <conditionalFormatting sqref="G741">
    <cfRule type="containsText" dxfId="808" priority="817" operator="containsText" text="zz">
      <formula>NOT(ISERROR(SEARCH("zz",G741)))</formula>
    </cfRule>
  </conditionalFormatting>
  <conditionalFormatting sqref="J741">
    <cfRule type="cellIs" dxfId="807" priority="816" operator="equal">
      <formula>""</formula>
    </cfRule>
  </conditionalFormatting>
  <conditionalFormatting sqref="J745">
    <cfRule type="cellIs" dxfId="806" priority="815" operator="equal">
      <formula>""</formula>
    </cfRule>
  </conditionalFormatting>
  <conditionalFormatting sqref="G745">
    <cfRule type="containsText" dxfId="805" priority="814" operator="containsText" text="zz">
      <formula>NOT(ISERROR(SEARCH("zz",G745)))</formula>
    </cfRule>
  </conditionalFormatting>
  <conditionalFormatting sqref="J750">
    <cfRule type="cellIs" dxfId="804" priority="813" operator="equal">
      <formula>""</formula>
    </cfRule>
  </conditionalFormatting>
  <conditionalFormatting sqref="G750">
    <cfRule type="containsText" dxfId="803" priority="812" operator="containsText" text="zz">
      <formula>NOT(ISERROR(SEARCH("zz",G750)))</formula>
    </cfRule>
  </conditionalFormatting>
  <conditionalFormatting sqref="G746">
    <cfRule type="containsText" dxfId="802" priority="811" operator="containsText" text="zz">
      <formula>NOT(ISERROR(SEARCH("zz",G746)))</formula>
    </cfRule>
  </conditionalFormatting>
  <conditionalFormatting sqref="J746">
    <cfRule type="cellIs" dxfId="801" priority="810" operator="equal">
      <formula>""</formula>
    </cfRule>
  </conditionalFormatting>
  <conditionalFormatting sqref="J768">
    <cfRule type="cellIs" dxfId="800" priority="809" operator="equal">
      <formula>""</formula>
    </cfRule>
  </conditionalFormatting>
  <conditionalFormatting sqref="G768">
    <cfRule type="containsText" dxfId="799" priority="808" operator="containsText" text="zz">
      <formula>NOT(ISERROR(SEARCH("zz",G768)))</formula>
    </cfRule>
  </conditionalFormatting>
  <conditionalFormatting sqref="G756">
    <cfRule type="containsText" dxfId="798" priority="807" operator="containsText" text="zz">
      <formula>NOT(ISERROR(SEARCH("zz",G756)))</formula>
    </cfRule>
  </conditionalFormatting>
  <conditionalFormatting sqref="J756">
    <cfRule type="cellIs" dxfId="797" priority="806" operator="equal">
      <formula>""</formula>
    </cfRule>
  </conditionalFormatting>
  <conditionalFormatting sqref="J764">
    <cfRule type="cellIs" dxfId="796" priority="805" operator="equal">
      <formula>""</formula>
    </cfRule>
  </conditionalFormatting>
  <conditionalFormatting sqref="G764">
    <cfRule type="containsText" dxfId="795" priority="803" operator="containsText" text="zz">
      <formula>NOT(ISERROR(SEARCH("zz",G764)))</formula>
    </cfRule>
  </conditionalFormatting>
  <conditionalFormatting sqref="G763">
    <cfRule type="containsText" dxfId="794" priority="804" operator="containsText" text="zz">
      <formula>NOT(ISERROR(SEARCH("zz",G763)))</formula>
    </cfRule>
  </conditionalFormatting>
  <conditionalFormatting sqref="J763">
    <cfRule type="cellIs" dxfId="793" priority="802" operator="equal">
      <formula>""</formula>
    </cfRule>
  </conditionalFormatting>
  <conditionalFormatting sqref="G793">
    <cfRule type="containsText" dxfId="792" priority="801" operator="containsText" text="zz">
      <formula>NOT(ISERROR(SEARCH("zz",G793)))</formula>
    </cfRule>
  </conditionalFormatting>
  <conditionalFormatting sqref="J793">
    <cfRule type="cellIs" dxfId="791" priority="800" operator="equal">
      <formula>""</formula>
    </cfRule>
  </conditionalFormatting>
  <conditionalFormatting sqref="J810">
    <cfRule type="cellIs" dxfId="790" priority="767" operator="equal">
      <formula>""</formula>
    </cfRule>
  </conditionalFormatting>
  <conditionalFormatting sqref="G794">
    <cfRule type="containsText" dxfId="789" priority="798" operator="containsText" text="zz">
      <formula>NOT(ISERROR(SEARCH("zz",G794)))</formula>
    </cfRule>
  </conditionalFormatting>
  <conditionalFormatting sqref="G749">
    <cfRule type="containsText" dxfId="788" priority="797" operator="containsText" text="zz">
      <formula>NOT(ISERROR(SEARCH("zz",G749)))</formula>
    </cfRule>
  </conditionalFormatting>
  <conditionalFormatting sqref="J749">
    <cfRule type="cellIs" dxfId="787" priority="796" operator="equal">
      <formula>""</formula>
    </cfRule>
  </conditionalFormatting>
  <conditionalFormatting sqref="G795">
    <cfRule type="containsText" dxfId="786" priority="795" operator="containsText" text="zz">
      <formula>NOT(ISERROR(SEARCH("zz",G795)))</formula>
    </cfRule>
  </conditionalFormatting>
  <conditionalFormatting sqref="J795">
    <cfRule type="cellIs" dxfId="785" priority="794" operator="equal">
      <formula>""</formula>
    </cfRule>
  </conditionalFormatting>
  <conditionalFormatting sqref="G777">
    <cfRule type="containsText" dxfId="784" priority="793" operator="containsText" text="zz">
      <formula>NOT(ISERROR(SEARCH("zz",G777)))</formula>
    </cfRule>
  </conditionalFormatting>
  <conditionalFormatting sqref="J777">
    <cfRule type="cellIs" dxfId="783" priority="792" operator="equal">
      <formula>""</formula>
    </cfRule>
  </conditionalFormatting>
  <conditionalFormatting sqref="G774">
    <cfRule type="containsText" dxfId="782" priority="791" operator="containsText" text="zz">
      <formula>NOT(ISERROR(SEARCH("zz",G774)))</formula>
    </cfRule>
  </conditionalFormatting>
  <conditionalFormatting sqref="J774">
    <cfRule type="cellIs" dxfId="781" priority="790" operator="equal">
      <formula>""</formula>
    </cfRule>
  </conditionalFormatting>
  <conditionalFormatting sqref="G775">
    <cfRule type="containsText" dxfId="780" priority="789" operator="containsText" text="zz">
      <formula>NOT(ISERROR(SEARCH("zz",G775)))</formula>
    </cfRule>
  </conditionalFormatting>
  <conditionalFormatting sqref="J775">
    <cfRule type="cellIs" dxfId="779" priority="788" operator="equal">
      <formula>""</formula>
    </cfRule>
  </conditionalFormatting>
  <conditionalFormatting sqref="G808">
    <cfRule type="containsText" dxfId="778" priority="787" operator="containsText" text="zz">
      <formula>NOT(ISERROR(SEARCH("zz",G808)))</formula>
    </cfRule>
  </conditionalFormatting>
  <conditionalFormatting sqref="J808">
    <cfRule type="cellIs" dxfId="777" priority="786" operator="equal">
      <formula>""</formula>
    </cfRule>
  </conditionalFormatting>
  <conditionalFormatting sqref="G807">
    <cfRule type="containsText" dxfId="776" priority="785" operator="containsText" text="zz">
      <formula>NOT(ISERROR(SEARCH("zz",G807)))</formula>
    </cfRule>
  </conditionalFormatting>
  <conditionalFormatting sqref="J807">
    <cfRule type="cellIs" dxfId="775" priority="784" operator="equal">
      <formula>""</formula>
    </cfRule>
  </conditionalFormatting>
  <conditionalFormatting sqref="G551">
    <cfRule type="containsText" dxfId="774" priority="783" operator="containsText" text="zz">
      <formula>NOT(ISERROR(SEARCH("zz",G551)))</formula>
    </cfRule>
  </conditionalFormatting>
  <conditionalFormatting sqref="J551">
    <cfRule type="cellIs" dxfId="773" priority="782" operator="equal">
      <formula>""</formula>
    </cfRule>
  </conditionalFormatting>
  <conditionalFormatting sqref="G834">
    <cfRule type="containsText" dxfId="772" priority="781" operator="containsText" text="zz">
      <formula>NOT(ISERROR(SEARCH("zz",G834)))</formula>
    </cfRule>
  </conditionalFormatting>
  <conditionalFormatting sqref="J834">
    <cfRule type="cellIs" dxfId="771" priority="780" operator="equal">
      <formula>""</formula>
    </cfRule>
  </conditionalFormatting>
  <conditionalFormatting sqref="G815">
    <cfRule type="containsText" dxfId="770" priority="779" operator="containsText" text="zz">
      <formula>NOT(ISERROR(SEARCH("zz",G815)))</formula>
    </cfRule>
  </conditionalFormatting>
  <conditionalFormatting sqref="J815">
    <cfRule type="cellIs" dxfId="769" priority="778" operator="equal">
      <formula>""</formula>
    </cfRule>
  </conditionalFormatting>
  <conditionalFormatting sqref="G796">
    <cfRule type="containsText" dxfId="768" priority="777" operator="containsText" text="zz">
      <formula>NOT(ISERROR(SEARCH("zz",G796)))</formula>
    </cfRule>
  </conditionalFormatting>
  <conditionalFormatting sqref="J796">
    <cfRule type="cellIs" dxfId="767" priority="776" operator="equal">
      <formula>""</formula>
    </cfRule>
  </conditionalFormatting>
  <conditionalFormatting sqref="G776">
    <cfRule type="containsText" dxfId="766" priority="775" operator="containsText" text="zz">
      <formula>NOT(ISERROR(SEARCH("zz",G776)))</formula>
    </cfRule>
  </conditionalFormatting>
  <conditionalFormatting sqref="J776">
    <cfRule type="cellIs" dxfId="765" priority="774" operator="equal">
      <formula>""</formula>
    </cfRule>
  </conditionalFormatting>
  <conditionalFormatting sqref="G762">
    <cfRule type="containsText" dxfId="764" priority="773" operator="containsText" text="zz">
      <formula>NOT(ISERROR(SEARCH("zz",G762)))</formula>
    </cfRule>
  </conditionalFormatting>
  <conditionalFormatting sqref="J762">
    <cfRule type="cellIs" dxfId="763" priority="772" operator="equal">
      <formula>""</formula>
    </cfRule>
  </conditionalFormatting>
  <conditionalFormatting sqref="G757">
    <cfRule type="containsText" dxfId="762" priority="771" operator="containsText" text="zz">
      <formula>NOT(ISERROR(SEARCH("zz",G757)))</formula>
    </cfRule>
  </conditionalFormatting>
  <conditionalFormatting sqref="J809">
    <cfRule type="cellIs" dxfId="761" priority="769" operator="equal">
      <formula>""</formula>
    </cfRule>
  </conditionalFormatting>
  <conditionalFormatting sqref="G809">
    <cfRule type="containsText" dxfId="760" priority="770" operator="containsText" text="zz">
      <formula>NOT(ISERROR(SEARCH("zz",G809)))</formula>
    </cfRule>
  </conditionalFormatting>
  <conditionalFormatting sqref="J823">
    <cfRule type="cellIs" dxfId="759" priority="733" operator="equal">
      <formula>""</formula>
    </cfRule>
  </conditionalFormatting>
  <conditionalFormatting sqref="G810">
    <cfRule type="containsText" dxfId="758" priority="768" operator="containsText" text="zz">
      <formula>NOT(ISERROR(SEARCH("zz",G810)))</formula>
    </cfRule>
  </conditionalFormatting>
  <conditionalFormatting sqref="J778">
    <cfRule type="cellIs" dxfId="757" priority="757" operator="equal">
      <formula>""</formula>
    </cfRule>
  </conditionalFormatting>
  <conditionalFormatting sqref="J816">
    <cfRule type="cellIs" dxfId="756" priority="766" operator="equal">
      <formula>""</formula>
    </cfRule>
  </conditionalFormatting>
  <conditionalFormatting sqref="G816">
    <cfRule type="containsText" dxfId="755" priority="765" operator="containsText" text="zz">
      <formula>NOT(ISERROR(SEARCH("zz",G816)))</formula>
    </cfRule>
  </conditionalFormatting>
  <conditionalFormatting sqref="G820">
    <cfRule type="containsText" dxfId="754" priority="764" operator="containsText" text="zz">
      <formula>NOT(ISERROR(SEARCH("zz",G820)))</formula>
    </cfRule>
  </conditionalFormatting>
  <conditionalFormatting sqref="J820">
    <cfRule type="cellIs" dxfId="753" priority="763" operator="equal">
      <formula>""</formula>
    </cfRule>
  </conditionalFormatting>
  <conditionalFormatting sqref="G821">
    <cfRule type="containsText" dxfId="752" priority="762" operator="containsText" text="zz">
      <formula>NOT(ISERROR(SEARCH("zz",G821)))</formula>
    </cfRule>
  </conditionalFormatting>
  <conditionalFormatting sqref="J821">
    <cfRule type="cellIs" dxfId="751" priority="761" operator="equal">
      <formula>""</formula>
    </cfRule>
  </conditionalFormatting>
  <conditionalFormatting sqref="G836">
    <cfRule type="containsText" dxfId="750" priority="760" operator="containsText" text="zz">
      <formula>NOT(ISERROR(SEARCH("zz",G836)))</formula>
    </cfRule>
  </conditionalFormatting>
  <conditionalFormatting sqref="J839">
    <cfRule type="cellIs" dxfId="749" priority="758" operator="equal">
      <formula>""</formula>
    </cfRule>
  </conditionalFormatting>
  <conditionalFormatting sqref="G839">
    <cfRule type="containsText" dxfId="748" priority="759" operator="containsText" text="zz">
      <formula>NOT(ISERROR(SEARCH("zz",G839)))</formula>
    </cfRule>
  </conditionalFormatting>
  <conditionalFormatting sqref="J811">
    <cfRule type="cellIs" dxfId="747" priority="747" operator="equal">
      <formula>""</formula>
    </cfRule>
  </conditionalFormatting>
  <conditionalFormatting sqref="J844">
    <cfRule type="cellIs" dxfId="746" priority="739" operator="equal">
      <formula>""</formula>
    </cfRule>
  </conditionalFormatting>
  <conditionalFormatting sqref="G778">
    <cfRule type="containsText" dxfId="745" priority="756" operator="containsText" text="zz">
      <formula>NOT(ISERROR(SEARCH("zz",G778)))</formula>
    </cfRule>
  </conditionalFormatting>
  <conditionalFormatting sqref="J797">
    <cfRule type="cellIs" dxfId="744" priority="755" operator="equal">
      <formula>""</formula>
    </cfRule>
  </conditionalFormatting>
  <conditionalFormatting sqref="G797">
    <cfRule type="containsText" dxfId="743" priority="754" operator="containsText" text="zz">
      <formula>NOT(ISERROR(SEARCH("zz",G797)))</formula>
    </cfRule>
  </conditionalFormatting>
  <conditionalFormatting sqref="J769">
    <cfRule type="cellIs" dxfId="742" priority="753" operator="equal">
      <formula>""</formula>
    </cfRule>
  </conditionalFormatting>
  <conditionalFormatting sqref="G769">
    <cfRule type="containsText" dxfId="741" priority="752" operator="containsText" text="zz">
      <formula>NOT(ISERROR(SEARCH("zz",G769)))</formula>
    </cfRule>
  </conditionalFormatting>
  <conditionalFormatting sqref="G817">
    <cfRule type="containsText" dxfId="740" priority="750" operator="containsText" text="zz">
      <formula>NOT(ISERROR(SEARCH("zz",G817)))</formula>
    </cfRule>
  </conditionalFormatting>
  <conditionalFormatting sqref="G817">
    <cfRule type="containsText" dxfId="739" priority="751" operator="containsText" text="zz">
      <formula>NOT(ISERROR(SEARCH("zz",G817)))</formula>
    </cfRule>
  </conditionalFormatting>
  <conditionalFormatting sqref="J817">
    <cfRule type="cellIs" dxfId="738" priority="749" operator="equal">
      <formula>""</formula>
    </cfRule>
  </conditionalFormatting>
  <conditionalFormatting sqref="G811">
    <cfRule type="containsText" dxfId="737" priority="748" operator="containsText" text="zz">
      <formula>NOT(ISERROR(SEARCH("zz",G811)))</formula>
    </cfRule>
  </conditionalFormatting>
  <conditionalFormatting sqref="J840">
    <cfRule type="cellIs" dxfId="736" priority="745" operator="equal">
      <formula>""</formula>
    </cfRule>
  </conditionalFormatting>
  <conditionalFormatting sqref="G840">
    <cfRule type="containsText" dxfId="735" priority="746" operator="containsText" text="zz">
      <formula>NOT(ISERROR(SEARCH("zz",G840)))</formula>
    </cfRule>
  </conditionalFormatting>
  <conditionalFormatting sqref="J843">
    <cfRule type="cellIs" dxfId="734" priority="744" operator="equal">
      <formula>""</formula>
    </cfRule>
  </conditionalFormatting>
  <conditionalFormatting sqref="G843">
    <cfRule type="containsText" dxfId="733" priority="742" operator="containsText" text="zz">
      <formula>NOT(ISERROR(SEARCH("zz",G843)))</formula>
    </cfRule>
  </conditionalFormatting>
  <conditionalFormatting sqref="G842">
    <cfRule type="containsText" dxfId="732" priority="743" operator="containsText" text="zz">
      <formula>NOT(ISERROR(SEARCH("zz",G842)))</formula>
    </cfRule>
  </conditionalFormatting>
  <conditionalFormatting sqref="J842">
    <cfRule type="cellIs" dxfId="731" priority="741" operator="equal">
      <formula>""</formula>
    </cfRule>
  </conditionalFormatting>
  <conditionalFormatting sqref="G844">
    <cfRule type="containsText" dxfId="730" priority="740" operator="containsText" text="zz">
      <formula>NOT(ISERROR(SEARCH("zz",G844)))</formula>
    </cfRule>
  </conditionalFormatting>
  <conditionalFormatting sqref="J822">
    <cfRule type="cellIs" dxfId="729" priority="737" operator="equal">
      <formula>""</formula>
    </cfRule>
  </conditionalFormatting>
  <conditionalFormatting sqref="G822">
    <cfRule type="containsText" dxfId="728" priority="738" operator="containsText" text="zz">
      <formula>NOT(ISERROR(SEARCH("zz",G822)))</formula>
    </cfRule>
  </conditionalFormatting>
  <conditionalFormatting sqref="J818">
    <cfRule type="cellIs" dxfId="727" priority="736" operator="equal">
      <formula>""</formula>
    </cfRule>
  </conditionalFormatting>
  <conditionalFormatting sqref="G818">
    <cfRule type="containsText" dxfId="726" priority="735" operator="containsText" text="zz">
      <formula>NOT(ISERROR(SEARCH("zz",G818)))</formula>
    </cfRule>
  </conditionalFormatting>
  <conditionalFormatting sqref="G823">
    <cfRule type="containsText" dxfId="725" priority="734" operator="containsText" text="zz">
      <formula>NOT(ISERROR(SEARCH("zz",G823)))</formula>
    </cfRule>
  </conditionalFormatting>
  <conditionalFormatting sqref="J846:J854">
    <cfRule type="cellIs" dxfId="724" priority="732" operator="equal">
      <formula>""</formula>
    </cfRule>
  </conditionalFormatting>
  <conditionalFormatting sqref="G848:G852">
    <cfRule type="containsText" dxfId="723" priority="731" operator="containsText" text="zz">
      <formula>NOT(ISERROR(SEARCH("zz",G848)))</formula>
    </cfRule>
  </conditionalFormatting>
  <conditionalFormatting sqref="G854">
    <cfRule type="containsText" dxfId="722" priority="730" operator="containsText" text="zz">
      <formula>NOT(ISERROR(SEARCH("zz",G854)))</formula>
    </cfRule>
  </conditionalFormatting>
  <conditionalFormatting sqref="G846">
    <cfRule type="containsText" dxfId="721" priority="728" operator="containsText" text="zz">
      <formula>NOT(ISERROR(SEARCH("zz",G846)))</formula>
    </cfRule>
  </conditionalFormatting>
  <conditionalFormatting sqref="G846">
    <cfRule type="containsText" dxfId="720" priority="729" operator="containsText" text="zz">
      <formula>NOT(ISERROR(SEARCH("zz",G846)))</formula>
    </cfRule>
  </conditionalFormatting>
  <conditionalFormatting sqref="G847">
    <cfRule type="containsText" dxfId="719" priority="727" operator="containsText" text="zz">
      <formula>NOT(ISERROR(SEARCH("zz",G847)))</formula>
    </cfRule>
  </conditionalFormatting>
  <conditionalFormatting sqref="G853">
    <cfRule type="containsText" dxfId="718" priority="726" operator="containsText" text="zz">
      <formula>NOT(ISERROR(SEARCH("zz",G853)))</formula>
    </cfRule>
  </conditionalFormatting>
  <conditionalFormatting sqref="G855">
    <cfRule type="containsText" dxfId="717" priority="725" operator="containsText" text="zz">
      <formula>NOT(ISERROR(SEARCH("zz",G855)))</formula>
    </cfRule>
  </conditionalFormatting>
  <conditionalFormatting sqref="J855">
    <cfRule type="cellIs" dxfId="716" priority="724" operator="equal">
      <formula>""</formula>
    </cfRule>
  </conditionalFormatting>
  <conditionalFormatting sqref="G856:G858">
    <cfRule type="containsText" dxfId="715" priority="723" operator="containsText" text="zz">
      <formula>NOT(ISERROR(SEARCH("zz",G856)))</formula>
    </cfRule>
  </conditionalFormatting>
  <conditionalFormatting sqref="J856:J858">
    <cfRule type="cellIs" dxfId="714" priority="722" operator="equal">
      <formula>""</formula>
    </cfRule>
  </conditionalFormatting>
  <conditionalFormatting sqref="G830">
    <cfRule type="containsText" dxfId="713" priority="721" operator="containsText" text="zz">
      <formula>NOT(ISERROR(SEARCH("zz",G830)))</formula>
    </cfRule>
  </conditionalFormatting>
  <conditionalFormatting sqref="G832">
    <cfRule type="containsText" dxfId="712" priority="720" operator="containsText" text="zz">
      <formula>NOT(ISERROR(SEARCH("zz",G832)))</formula>
    </cfRule>
  </conditionalFormatting>
  <conditionalFormatting sqref="J830 J832">
    <cfRule type="cellIs" dxfId="711" priority="719" operator="equal">
      <formula>""</formula>
    </cfRule>
  </conditionalFormatting>
  <conditionalFormatting sqref="G831">
    <cfRule type="containsText" dxfId="710" priority="718" operator="containsText" text="zz">
      <formula>NOT(ISERROR(SEARCH("zz",G831)))</formula>
    </cfRule>
  </conditionalFormatting>
  <conditionalFormatting sqref="J831">
    <cfRule type="cellIs" dxfId="709" priority="717" operator="equal">
      <formula>""</formula>
    </cfRule>
  </conditionalFormatting>
  <conditionalFormatting sqref="G859">
    <cfRule type="containsText" dxfId="708" priority="716" operator="containsText" text="zz">
      <formula>NOT(ISERROR(SEARCH("zz",G859)))</formula>
    </cfRule>
  </conditionalFormatting>
  <conditionalFormatting sqref="J859">
    <cfRule type="cellIs" dxfId="707" priority="715" operator="equal">
      <formula>""</formula>
    </cfRule>
  </conditionalFormatting>
  <conditionalFormatting sqref="G51">
    <cfRule type="containsText" dxfId="706" priority="708" operator="containsText" text="zz">
      <formula>NOT(ISERROR(SEARCH("zz",G51)))</formula>
    </cfRule>
  </conditionalFormatting>
  <conditionalFormatting sqref="J51">
    <cfRule type="cellIs" dxfId="705" priority="707" operator="equal">
      <formula>""</formula>
    </cfRule>
  </conditionalFormatting>
  <conditionalFormatting sqref="G285">
    <cfRule type="containsText" dxfId="704" priority="706" operator="containsText" text="zz">
      <formula>NOT(ISERROR(SEARCH("zz",G285)))</formula>
    </cfRule>
  </conditionalFormatting>
  <conditionalFormatting sqref="J285">
    <cfRule type="cellIs" dxfId="703" priority="705" operator="equal">
      <formula>""</formula>
    </cfRule>
  </conditionalFormatting>
  <conditionalFormatting sqref="G559">
    <cfRule type="containsText" dxfId="702" priority="704" operator="containsText" text="zz">
      <formula>NOT(ISERROR(SEARCH("zz",G559)))</formula>
    </cfRule>
  </conditionalFormatting>
  <conditionalFormatting sqref="J559">
    <cfRule type="cellIs" dxfId="701" priority="703" operator="equal">
      <formula>""</formula>
    </cfRule>
  </conditionalFormatting>
  <conditionalFormatting sqref="G752">
    <cfRule type="containsText" dxfId="700" priority="702" operator="containsText" text="zz">
      <formula>NOT(ISERROR(SEARCH("zz",G752)))</formula>
    </cfRule>
  </conditionalFormatting>
  <conditionalFormatting sqref="J752">
    <cfRule type="cellIs" dxfId="699" priority="701" operator="equal">
      <formula>""</formula>
    </cfRule>
  </conditionalFormatting>
  <conditionalFormatting sqref="G913 G915">
    <cfRule type="containsText" dxfId="698" priority="700" operator="containsText" text="zz">
      <formula>NOT(ISERROR(SEARCH("zz",G913)))</formula>
    </cfRule>
  </conditionalFormatting>
  <conditionalFormatting sqref="J913 J915">
    <cfRule type="cellIs" dxfId="697" priority="699" operator="equal">
      <formula>""</formula>
    </cfRule>
  </conditionalFormatting>
  <conditionalFormatting sqref="J907:J908">
    <cfRule type="cellIs" dxfId="696" priority="698" operator="equal">
      <formula>""</formula>
    </cfRule>
  </conditionalFormatting>
  <conditionalFormatting sqref="G908">
    <cfRule type="containsText" dxfId="695" priority="697" operator="containsText" text="zz">
      <formula>NOT(ISERROR(SEARCH("zz",G908)))</formula>
    </cfRule>
  </conditionalFormatting>
  <conditionalFormatting sqref="G907">
    <cfRule type="containsText" dxfId="694" priority="696" operator="containsText" text="zz">
      <formula>NOT(ISERROR(SEARCH("zz",G907)))</formula>
    </cfRule>
  </conditionalFormatting>
  <conditionalFormatting sqref="G909">
    <cfRule type="containsText" dxfId="693" priority="695" operator="containsText" text="zz">
      <formula>NOT(ISERROR(SEARCH("zz",G909)))</formula>
    </cfRule>
  </conditionalFormatting>
  <conditionalFormatting sqref="J909">
    <cfRule type="cellIs" dxfId="692" priority="694" operator="equal">
      <formula>""</formula>
    </cfRule>
  </conditionalFormatting>
  <conditionalFormatting sqref="G910:G911">
    <cfRule type="containsText" dxfId="691" priority="693" operator="containsText" text="zz">
      <formula>NOT(ISERROR(SEARCH("zz",G910)))</formula>
    </cfRule>
  </conditionalFormatting>
  <conditionalFormatting sqref="J910:J911">
    <cfRule type="cellIs" dxfId="690" priority="692" operator="equal">
      <formula>""</formula>
    </cfRule>
  </conditionalFormatting>
  <conditionalFormatting sqref="G912">
    <cfRule type="containsText" dxfId="689" priority="691" operator="containsText" text="zz">
      <formula>NOT(ISERROR(SEARCH("zz",G912)))</formula>
    </cfRule>
  </conditionalFormatting>
  <conditionalFormatting sqref="J912">
    <cfRule type="cellIs" dxfId="688" priority="690" operator="equal">
      <formula>""</formula>
    </cfRule>
  </conditionalFormatting>
  <conditionalFormatting sqref="G916">
    <cfRule type="containsText" dxfId="687" priority="689" operator="containsText" text="zz">
      <formula>NOT(ISERROR(SEARCH("zz",G916)))</formula>
    </cfRule>
  </conditionalFormatting>
  <conditionalFormatting sqref="J916">
    <cfRule type="cellIs" dxfId="686" priority="688" operator="equal">
      <formula>""</formula>
    </cfRule>
  </conditionalFormatting>
  <conditionalFormatting sqref="G917">
    <cfRule type="containsText" dxfId="685" priority="687" operator="containsText" text="zz">
      <formula>NOT(ISERROR(SEARCH("zz",G917)))</formula>
    </cfRule>
  </conditionalFormatting>
  <conditionalFormatting sqref="J917">
    <cfRule type="cellIs" dxfId="684" priority="686" operator="equal">
      <formula>""</formula>
    </cfRule>
  </conditionalFormatting>
  <conditionalFormatting sqref="G905">
    <cfRule type="containsText" dxfId="683" priority="685" operator="containsText" text="zz">
      <formula>NOT(ISERROR(SEARCH("zz",G905)))</formula>
    </cfRule>
  </conditionalFormatting>
  <conditionalFormatting sqref="J905">
    <cfRule type="cellIs" dxfId="682" priority="684" operator="equal">
      <formula>""</formula>
    </cfRule>
  </conditionalFormatting>
  <conditionalFormatting sqref="G906">
    <cfRule type="containsText" dxfId="681" priority="683" operator="containsText" text="zz">
      <formula>NOT(ISERROR(SEARCH("zz",G906)))</formula>
    </cfRule>
  </conditionalFormatting>
  <conditionalFormatting sqref="J906">
    <cfRule type="cellIs" dxfId="680" priority="682" operator="equal">
      <formula>""</formula>
    </cfRule>
  </conditionalFormatting>
  <conditionalFormatting sqref="G800">
    <cfRule type="containsText" dxfId="679" priority="681" operator="containsText" text="zz">
      <formula>NOT(ISERROR(SEARCH("zz",G800)))</formula>
    </cfRule>
  </conditionalFormatting>
  <conditionalFormatting sqref="J800">
    <cfRule type="cellIs" dxfId="678" priority="680" operator="equal">
      <formula>""</formula>
    </cfRule>
  </conditionalFormatting>
  <conditionalFormatting sqref="G801">
    <cfRule type="containsText" dxfId="677" priority="679" operator="containsText" text="zz">
      <formula>NOT(ISERROR(SEARCH("zz",G801)))</formula>
    </cfRule>
  </conditionalFormatting>
  <conditionalFormatting sqref="J801">
    <cfRule type="cellIs" dxfId="676" priority="678" operator="equal">
      <formula>""</formula>
    </cfRule>
  </conditionalFormatting>
  <conditionalFormatting sqref="G833">
    <cfRule type="containsText" dxfId="675" priority="677" operator="containsText" text="zz">
      <formula>NOT(ISERROR(SEARCH("zz",G833)))</formula>
    </cfRule>
  </conditionalFormatting>
  <conditionalFormatting sqref="J833">
    <cfRule type="cellIs" dxfId="674" priority="676" operator="equal">
      <formula>""</formula>
    </cfRule>
  </conditionalFormatting>
  <conditionalFormatting sqref="G841">
    <cfRule type="containsText" dxfId="673" priority="675" operator="containsText" text="zz">
      <formula>NOT(ISERROR(SEARCH("zz",G841)))</formula>
    </cfRule>
  </conditionalFormatting>
  <conditionalFormatting sqref="J841">
    <cfRule type="cellIs" dxfId="672" priority="674" operator="equal">
      <formula>""</formula>
    </cfRule>
  </conditionalFormatting>
  <conditionalFormatting sqref="G835">
    <cfRule type="containsText" dxfId="671" priority="673" operator="containsText" text="zz">
      <formula>NOT(ISERROR(SEARCH("zz",G835)))</formula>
    </cfRule>
  </conditionalFormatting>
  <conditionalFormatting sqref="J835">
    <cfRule type="cellIs" dxfId="670" priority="672" operator="equal">
      <formula>""</formula>
    </cfRule>
  </conditionalFormatting>
  <conditionalFormatting sqref="G919">
    <cfRule type="containsText" dxfId="669" priority="671" operator="containsText" text="zz">
      <formula>NOT(ISERROR(SEARCH("zz",G919)))</formula>
    </cfRule>
  </conditionalFormatting>
  <conditionalFormatting sqref="J919">
    <cfRule type="cellIs" dxfId="668" priority="670" operator="equal">
      <formula>""</formula>
    </cfRule>
  </conditionalFormatting>
  <conditionalFormatting sqref="G899">
    <cfRule type="containsText" dxfId="667" priority="669" operator="containsText" text="zz">
      <formula>NOT(ISERROR(SEARCH("zz",G899)))</formula>
    </cfRule>
  </conditionalFormatting>
  <conditionalFormatting sqref="J899">
    <cfRule type="cellIs" dxfId="666" priority="668" operator="equal">
      <formula>""</formula>
    </cfRule>
  </conditionalFormatting>
  <conditionalFormatting sqref="G920">
    <cfRule type="containsText" dxfId="665" priority="667" operator="containsText" text="zz">
      <formula>NOT(ISERROR(SEARCH("zz",G920)))</formula>
    </cfRule>
  </conditionalFormatting>
  <conditionalFormatting sqref="J920">
    <cfRule type="cellIs" dxfId="664" priority="666" operator="equal">
      <formula>""</formula>
    </cfRule>
  </conditionalFormatting>
  <conditionalFormatting sqref="G896">
    <cfRule type="containsText" dxfId="663" priority="665" operator="containsText" text="zz">
      <formula>NOT(ISERROR(SEARCH("zz",G896)))</formula>
    </cfRule>
  </conditionalFormatting>
  <conditionalFormatting sqref="J896">
    <cfRule type="cellIs" dxfId="662" priority="664" operator="equal">
      <formula>""</formula>
    </cfRule>
  </conditionalFormatting>
  <conditionalFormatting sqref="G918">
    <cfRule type="containsText" dxfId="661" priority="663" operator="containsText" text="zz">
      <formula>NOT(ISERROR(SEARCH("zz",G918)))</formula>
    </cfRule>
  </conditionalFormatting>
  <conditionalFormatting sqref="J918">
    <cfRule type="cellIs" dxfId="660" priority="662" operator="equal">
      <formula>""</formula>
    </cfRule>
  </conditionalFormatting>
  <conditionalFormatting sqref="G881">
    <cfRule type="containsText" dxfId="659" priority="661" operator="containsText" text="zz">
      <formula>NOT(ISERROR(SEARCH("zz",G881)))</formula>
    </cfRule>
  </conditionalFormatting>
  <conditionalFormatting sqref="J881">
    <cfRule type="cellIs" dxfId="658" priority="660" operator="equal">
      <formula>""</formula>
    </cfRule>
  </conditionalFormatting>
  <conditionalFormatting sqref="G891">
    <cfRule type="containsText" dxfId="657" priority="659" operator="containsText" text="zz">
      <formula>NOT(ISERROR(SEARCH("zz",G891)))</formula>
    </cfRule>
  </conditionalFormatting>
  <conditionalFormatting sqref="J891">
    <cfRule type="cellIs" dxfId="656" priority="658" operator="equal">
      <formula>""</formula>
    </cfRule>
  </conditionalFormatting>
  <conditionalFormatting sqref="G885">
    <cfRule type="containsText" dxfId="655" priority="657" operator="containsText" text="zz">
      <formula>NOT(ISERROR(SEARCH("zz",G885)))</formula>
    </cfRule>
  </conditionalFormatting>
  <conditionalFormatting sqref="J885">
    <cfRule type="cellIs" dxfId="654" priority="656" operator="equal">
      <formula>""</formula>
    </cfRule>
  </conditionalFormatting>
  <conditionalFormatting sqref="G902">
    <cfRule type="containsText" dxfId="653" priority="655" operator="containsText" text="zz">
      <formula>NOT(ISERROR(SEARCH("zz",G902)))</formula>
    </cfRule>
  </conditionalFormatting>
  <conditionalFormatting sqref="J893">
    <cfRule type="cellIs" dxfId="652" priority="653" operator="equal">
      <formula>""</formula>
    </cfRule>
  </conditionalFormatting>
  <conditionalFormatting sqref="G893">
    <cfRule type="containsText" dxfId="651" priority="654" operator="containsText" text="zz">
      <formula>NOT(ISERROR(SEARCH("zz",G893)))</formula>
    </cfRule>
  </conditionalFormatting>
  <conditionalFormatting sqref="J886">
    <cfRule type="cellIs" dxfId="650" priority="651" operator="equal">
      <formula>""</formula>
    </cfRule>
  </conditionalFormatting>
  <conditionalFormatting sqref="G886">
    <cfRule type="containsText" dxfId="649" priority="652" operator="containsText" text="zz">
      <formula>NOT(ISERROR(SEARCH("zz",G886)))</formula>
    </cfRule>
  </conditionalFormatting>
  <conditionalFormatting sqref="J887">
    <cfRule type="cellIs" dxfId="648" priority="649" operator="equal">
      <formula>""</formula>
    </cfRule>
  </conditionalFormatting>
  <conditionalFormatting sqref="G887">
    <cfRule type="containsText" dxfId="647" priority="650" operator="containsText" text="zz">
      <formula>NOT(ISERROR(SEARCH("zz",G887)))</formula>
    </cfRule>
  </conditionalFormatting>
  <conditionalFormatting sqref="G888">
    <cfRule type="containsText" dxfId="646" priority="648" operator="containsText" text="zz">
      <formula>NOT(ISERROR(SEARCH("zz",G888)))</formula>
    </cfRule>
  </conditionalFormatting>
  <conditionalFormatting sqref="J888">
    <cfRule type="cellIs" dxfId="645" priority="647" operator="equal">
      <formula>""</formula>
    </cfRule>
  </conditionalFormatting>
  <conditionalFormatting sqref="G889">
    <cfRule type="containsText" dxfId="644" priority="646" operator="containsText" text="zz">
      <formula>NOT(ISERROR(SEARCH("zz",G889)))</formula>
    </cfRule>
  </conditionalFormatting>
  <conditionalFormatting sqref="J889">
    <cfRule type="cellIs" dxfId="643" priority="645" operator="equal">
      <formula>""</formula>
    </cfRule>
  </conditionalFormatting>
  <conditionalFormatting sqref="G890">
    <cfRule type="containsText" dxfId="642" priority="644" operator="containsText" text="zz">
      <formula>NOT(ISERROR(SEARCH("zz",G890)))</formula>
    </cfRule>
  </conditionalFormatting>
  <conditionalFormatting sqref="J890">
    <cfRule type="cellIs" dxfId="641" priority="643" operator="equal">
      <formula>""</formula>
    </cfRule>
  </conditionalFormatting>
  <conditionalFormatting sqref="G882">
    <cfRule type="containsText" dxfId="640" priority="642" operator="containsText" text="zz">
      <formula>NOT(ISERROR(SEARCH("zz",G882)))</formula>
    </cfRule>
  </conditionalFormatting>
  <conditionalFormatting sqref="J882">
    <cfRule type="cellIs" dxfId="639" priority="641" operator="equal">
      <formula>""</formula>
    </cfRule>
  </conditionalFormatting>
  <conditionalFormatting sqref="G883">
    <cfRule type="containsText" dxfId="638" priority="640" operator="containsText" text="zz">
      <formula>NOT(ISERROR(SEARCH("zz",G883)))</formula>
    </cfRule>
  </conditionalFormatting>
  <conditionalFormatting sqref="J883">
    <cfRule type="cellIs" dxfId="637" priority="639" operator="equal">
      <formula>""</formula>
    </cfRule>
  </conditionalFormatting>
  <conditionalFormatting sqref="G884">
    <cfRule type="containsText" dxfId="636" priority="638" operator="containsText" text="zz">
      <formula>NOT(ISERROR(SEARCH("zz",G884)))</formula>
    </cfRule>
  </conditionalFormatting>
  <conditionalFormatting sqref="J884">
    <cfRule type="cellIs" dxfId="635" priority="637" operator="equal">
      <formula>""</formula>
    </cfRule>
  </conditionalFormatting>
  <conditionalFormatting sqref="G892">
    <cfRule type="containsText" dxfId="634" priority="636" operator="containsText" text="zz">
      <formula>NOT(ISERROR(SEARCH("zz",G892)))</formula>
    </cfRule>
  </conditionalFormatting>
  <conditionalFormatting sqref="J892">
    <cfRule type="cellIs" dxfId="633" priority="635" operator="equal">
      <formula>""</formula>
    </cfRule>
  </conditionalFormatting>
  <conditionalFormatting sqref="G895">
    <cfRule type="containsText" dxfId="632" priority="634" operator="containsText" text="zz">
      <formula>NOT(ISERROR(SEARCH("zz",G895)))</formula>
    </cfRule>
  </conditionalFormatting>
  <conditionalFormatting sqref="J895">
    <cfRule type="cellIs" dxfId="631" priority="633" operator="equal">
      <formula>""</formula>
    </cfRule>
  </conditionalFormatting>
  <conditionalFormatting sqref="G900">
    <cfRule type="containsText" dxfId="630" priority="632" operator="containsText" text="zz">
      <formula>NOT(ISERROR(SEARCH("zz",G900)))</formula>
    </cfRule>
  </conditionalFormatting>
  <conditionalFormatting sqref="J900">
    <cfRule type="cellIs" dxfId="629" priority="631" operator="equal">
      <formula>""</formula>
    </cfRule>
  </conditionalFormatting>
  <conditionalFormatting sqref="G901">
    <cfRule type="containsText" dxfId="628" priority="630" operator="containsText" text="zz">
      <formula>NOT(ISERROR(SEARCH("zz",G901)))</formula>
    </cfRule>
  </conditionalFormatting>
  <conditionalFormatting sqref="J880">
    <cfRule type="cellIs" dxfId="627" priority="628" operator="equal">
      <formula>""</formula>
    </cfRule>
  </conditionalFormatting>
  <conditionalFormatting sqref="G880">
    <cfRule type="containsText" dxfId="626" priority="629" operator="containsText" text="zz">
      <formula>NOT(ISERROR(SEARCH("zz",G880)))</formula>
    </cfRule>
  </conditionalFormatting>
  <conditionalFormatting sqref="J879">
    <cfRule type="cellIs" dxfId="625" priority="626" operator="equal">
      <formula>""</formula>
    </cfRule>
  </conditionalFormatting>
  <conditionalFormatting sqref="G879">
    <cfRule type="containsText" dxfId="624" priority="627" operator="containsText" text="zz">
      <formula>NOT(ISERROR(SEARCH("zz",G879)))</formula>
    </cfRule>
  </conditionalFormatting>
  <conditionalFormatting sqref="J921">
    <cfRule type="cellIs" dxfId="623" priority="624" operator="equal">
      <formula>""</formula>
    </cfRule>
  </conditionalFormatting>
  <conditionalFormatting sqref="G921">
    <cfRule type="containsText" dxfId="622" priority="625" operator="containsText" text="zz">
      <formula>NOT(ISERROR(SEARCH("zz",G921)))</formula>
    </cfRule>
  </conditionalFormatting>
  <conditionalFormatting sqref="J345 J172">
    <cfRule type="cellIs" dxfId="621" priority="604" operator="equal">
      <formula>""</formula>
    </cfRule>
  </conditionalFormatting>
  <conditionalFormatting sqref="G922">
    <cfRule type="containsText" dxfId="620" priority="623" operator="containsText" text="zz">
      <formula>NOT(ISERROR(SEARCH("zz",G922)))</formula>
    </cfRule>
  </conditionalFormatting>
  <conditionalFormatting sqref="J922">
    <cfRule type="cellIs" dxfId="619" priority="622" operator="equal">
      <formula>""</formula>
    </cfRule>
  </conditionalFormatting>
  <conditionalFormatting sqref="G903">
    <cfRule type="containsText" dxfId="618" priority="621" operator="containsText" text="zz">
      <formula>NOT(ISERROR(SEARCH("zz",G903)))</formula>
    </cfRule>
  </conditionalFormatting>
  <conditionalFormatting sqref="J903">
    <cfRule type="cellIs" dxfId="617" priority="620" operator="equal">
      <formula>""</formula>
    </cfRule>
  </conditionalFormatting>
  <conditionalFormatting sqref="G904">
    <cfRule type="containsText" dxfId="616" priority="619" operator="containsText" text="zz">
      <formula>NOT(ISERROR(SEARCH("zz",G904)))</formula>
    </cfRule>
  </conditionalFormatting>
  <conditionalFormatting sqref="J904">
    <cfRule type="cellIs" dxfId="615" priority="618" operator="equal">
      <formula>""</formula>
    </cfRule>
  </conditionalFormatting>
  <conditionalFormatting sqref="G878">
    <cfRule type="containsText" dxfId="614" priority="617" operator="containsText" text="zz">
      <formula>NOT(ISERROR(SEARCH("zz",G878)))</formula>
    </cfRule>
  </conditionalFormatting>
  <conditionalFormatting sqref="J878">
    <cfRule type="cellIs" dxfId="613" priority="616" operator="equal">
      <formula>""</formula>
    </cfRule>
  </conditionalFormatting>
  <conditionalFormatting sqref="G923">
    <cfRule type="containsText" dxfId="612" priority="615" operator="containsText" text="zz">
      <formula>NOT(ISERROR(SEARCH("zz",G923)))</formula>
    </cfRule>
  </conditionalFormatting>
  <conditionalFormatting sqref="J923">
    <cfRule type="cellIs" dxfId="611" priority="614" operator="equal">
      <formula>""</formula>
    </cfRule>
  </conditionalFormatting>
  <conditionalFormatting sqref="J294">
    <cfRule type="cellIs" dxfId="610" priority="613" operator="equal">
      <formula>""</formula>
    </cfRule>
  </conditionalFormatting>
  <conditionalFormatting sqref="J838">
    <cfRule type="cellIs" dxfId="609" priority="611" operator="equal">
      <formula>""</formula>
    </cfRule>
  </conditionalFormatting>
  <conditionalFormatting sqref="J945">
    <cfRule type="cellIs" dxfId="608" priority="608" operator="equal">
      <formula>""</formula>
    </cfRule>
  </conditionalFormatting>
  <conditionalFormatting sqref="G838">
    <cfRule type="containsText" dxfId="607" priority="612" operator="containsText" text="zz">
      <formula>NOT(ISERROR(SEARCH("zz",G838)))</formula>
    </cfRule>
  </conditionalFormatting>
  <conditionalFormatting sqref="J946">
    <cfRule type="cellIs" dxfId="606" priority="606" operator="equal">
      <formula>""</formula>
    </cfRule>
  </conditionalFormatting>
  <conditionalFormatting sqref="G941">
    <cfRule type="containsText" dxfId="605" priority="610" operator="containsText" text="zz">
      <formula>NOT(ISERROR(SEARCH("zz",G941)))</formula>
    </cfRule>
  </conditionalFormatting>
  <conditionalFormatting sqref="G945">
    <cfRule type="containsText" dxfId="604" priority="609" operator="containsText" text="zz">
      <formula>NOT(ISERROR(SEARCH("zz",G945)))</formula>
    </cfRule>
  </conditionalFormatting>
  <conditionalFormatting sqref="G946">
    <cfRule type="containsText" dxfId="603" priority="607" operator="containsText" text="zz">
      <formula>NOT(ISERROR(SEARCH("zz",G946)))</formula>
    </cfRule>
  </conditionalFormatting>
  <conditionalFormatting sqref="J979">
    <cfRule type="cellIs" dxfId="602" priority="527" operator="equal">
      <formula>""</formula>
    </cfRule>
  </conditionalFormatting>
  <conditionalFormatting sqref="J349">
    <cfRule type="cellIs" dxfId="601" priority="605" operator="equal">
      <formula>""</formula>
    </cfRule>
  </conditionalFormatting>
  <conditionalFormatting sqref="J952">
    <cfRule type="cellIs" dxfId="600" priority="577" operator="equal">
      <formula>""</formula>
    </cfRule>
  </conditionalFormatting>
  <conditionalFormatting sqref="G606">
    <cfRule type="containsText" dxfId="599" priority="602" operator="containsText" text="zz">
      <formula>NOT(ISERROR(SEARCH("zz",G606)))</formula>
    </cfRule>
  </conditionalFormatting>
  <conditionalFormatting sqref="J606">
    <cfRule type="cellIs" dxfId="598" priority="601" operator="equal">
      <formula>""</formula>
    </cfRule>
  </conditionalFormatting>
  <conditionalFormatting sqref="J953">
    <cfRule type="cellIs" dxfId="597" priority="550" operator="equal">
      <formula>""</formula>
    </cfRule>
  </conditionalFormatting>
  <conditionalFormatting sqref="G196">
    <cfRule type="containsText" dxfId="596" priority="600" operator="containsText" text="zz">
      <formula>NOT(ISERROR(SEARCH("zz",G196)))</formula>
    </cfRule>
  </conditionalFormatting>
  <conditionalFormatting sqref="J196">
    <cfRule type="cellIs" dxfId="595" priority="599" operator="equal">
      <formula>""</formula>
    </cfRule>
  </conditionalFormatting>
  <conditionalFormatting sqref="G247">
    <cfRule type="containsText" dxfId="594" priority="598" operator="containsText" text="zz">
      <formula>NOT(ISERROR(SEARCH("zz",G247)))</formula>
    </cfRule>
  </conditionalFormatting>
  <conditionalFormatting sqref="J247">
    <cfRule type="cellIs" dxfId="593" priority="597" operator="equal">
      <formula>""</formula>
    </cfRule>
  </conditionalFormatting>
  <conditionalFormatting sqref="G449">
    <cfRule type="containsText" dxfId="592" priority="596" operator="containsText" text="zz">
      <formula>NOT(ISERROR(SEARCH("zz",G449)))</formula>
    </cfRule>
  </conditionalFormatting>
  <conditionalFormatting sqref="J449">
    <cfRule type="cellIs" dxfId="591" priority="595" operator="equal">
      <formula>""</formula>
    </cfRule>
  </conditionalFormatting>
  <conditionalFormatting sqref="J914">
    <cfRule type="cellIs" dxfId="590" priority="594" operator="equal">
      <formula>""</formula>
    </cfRule>
  </conditionalFormatting>
  <conditionalFormatting sqref="G914">
    <cfRule type="containsText" dxfId="589" priority="593" operator="containsText" text="zz">
      <formula>NOT(ISERROR(SEARCH("zz",G914)))</formula>
    </cfRule>
  </conditionalFormatting>
  <conditionalFormatting sqref="J935">
    <cfRule type="cellIs" dxfId="588" priority="592" operator="equal">
      <formula>""</formula>
    </cfRule>
  </conditionalFormatting>
  <conditionalFormatting sqref="G935">
    <cfRule type="containsText" dxfId="587" priority="591" operator="containsText" text="zz">
      <formula>NOT(ISERROR(SEARCH("zz",G935)))</formula>
    </cfRule>
  </conditionalFormatting>
  <conditionalFormatting sqref="J960">
    <cfRule type="cellIs" dxfId="586" priority="590" operator="equal">
      <formula>""</formula>
    </cfRule>
  </conditionalFormatting>
  <conditionalFormatting sqref="G947 G960">
    <cfRule type="containsText" dxfId="585" priority="589" operator="containsText" text="zz">
      <formula>NOT(ISERROR(SEARCH("zz",G947)))</formula>
    </cfRule>
  </conditionalFormatting>
  <conditionalFormatting sqref="G972">
    <cfRule type="containsText" dxfId="584" priority="588" operator="containsText" text="zz">
      <formula>NOT(ISERROR(SEARCH("zz",G972)))</formula>
    </cfRule>
  </conditionalFormatting>
  <conditionalFormatting sqref="J972">
    <cfRule type="cellIs" dxfId="583" priority="587" operator="equal">
      <formula>""</formula>
    </cfRule>
  </conditionalFormatting>
  <conditionalFormatting sqref="G948">
    <cfRule type="containsText" dxfId="582" priority="586" operator="containsText" text="zz">
      <formula>NOT(ISERROR(SEARCH("zz",G948)))</formula>
    </cfRule>
  </conditionalFormatting>
  <conditionalFormatting sqref="J948">
    <cfRule type="cellIs" dxfId="581" priority="585" operator="equal">
      <formula>""</formula>
    </cfRule>
  </conditionalFormatting>
  <conditionalFormatting sqref="G970:G971">
    <cfRule type="containsText" dxfId="580" priority="584" operator="containsText" text="zz">
      <formula>NOT(ISERROR(SEARCH("zz",G970)))</formula>
    </cfRule>
  </conditionalFormatting>
  <conditionalFormatting sqref="J970:J971">
    <cfRule type="cellIs" dxfId="579" priority="583" operator="equal">
      <formula>""</formula>
    </cfRule>
  </conditionalFormatting>
  <conditionalFormatting sqref="G961">
    <cfRule type="containsText" dxfId="578" priority="582" operator="containsText" text="zz">
      <formula>NOT(ISERROR(SEARCH("zz",G961)))</formula>
    </cfRule>
  </conditionalFormatting>
  <conditionalFormatting sqref="J961">
    <cfRule type="cellIs" dxfId="577" priority="581" operator="equal">
      <formula>""</formula>
    </cfRule>
  </conditionalFormatting>
  <conditionalFormatting sqref="G949">
    <cfRule type="containsText" dxfId="576" priority="580" operator="containsText" text="zz">
      <formula>NOT(ISERROR(SEARCH("zz",G949)))</formula>
    </cfRule>
  </conditionalFormatting>
  <conditionalFormatting sqref="J949">
    <cfRule type="cellIs" dxfId="575" priority="579" operator="equal">
      <formula>""</formula>
    </cfRule>
  </conditionalFormatting>
  <conditionalFormatting sqref="G952">
    <cfRule type="containsText" dxfId="574" priority="578" operator="containsText" text="zz">
      <formula>NOT(ISERROR(SEARCH("zz",G952)))</formula>
    </cfRule>
  </conditionalFormatting>
  <conditionalFormatting sqref="G894">
    <cfRule type="containsText" dxfId="573" priority="576" operator="containsText" text="zz">
      <formula>NOT(ISERROR(SEARCH("zz",G894)))</formula>
    </cfRule>
  </conditionalFormatting>
  <conditionalFormatting sqref="J894">
    <cfRule type="cellIs" dxfId="572" priority="575" operator="equal">
      <formula>""</formula>
    </cfRule>
  </conditionalFormatting>
  <conditionalFormatting sqref="G936">
    <cfRule type="containsText" dxfId="571" priority="574" operator="containsText" text="zz">
      <formula>NOT(ISERROR(SEARCH("zz",G936)))</formula>
    </cfRule>
  </conditionalFormatting>
  <conditionalFormatting sqref="J936">
    <cfRule type="cellIs" dxfId="570" priority="573" operator="equal">
      <formula>""</formula>
    </cfRule>
  </conditionalFormatting>
  <conditionalFormatting sqref="G938">
    <cfRule type="containsText" dxfId="569" priority="572" operator="containsText" text="zz">
      <formula>NOT(ISERROR(SEARCH("zz",G938)))</formula>
    </cfRule>
  </conditionalFormatting>
  <conditionalFormatting sqref="J938">
    <cfRule type="cellIs" dxfId="568" priority="571" operator="equal">
      <formula>""</formula>
    </cfRule>
  </conditionalFormatting>
  <conditionalFormatting sqref="G937">
    <cfRule type="containsText" dxfId="567" priority="570" operator="containsText" text="zz">
      <formula>NOT(ISERROR(SEARCH("zz",G937)))</formula>
    </cfRule>
  </conditionalFormatting>
  <conditionalFormatting sqref="J937">
    <cfRule type="cellIs" dxfId="566" priority="569" operator="equal">
      <formula>""</formula>
    </cfRule>
  </conditionalFormatting>
  <conditionalFormatting sqref="G968">
    <cfRule type="containsText" dxfId="565" priority="568" operator="containsText" text="zz">
      <formula>NOT(ISERROR(SEARCH("zz",G968)))</formula>
    </cfRule>
  </conditionalFormatting>
  <conditionalFormatting sqref="J968">
    <cfRule type="cellIs" dxfId="564" priority="567" operator="equal">
      <formula>""</formula>
    </cfRule>
  </conditionalFormatting>
  <conditionalFormatting sqref="G942">
    <cfRule type="containsText" dxfId="563" priority="566" operator="containsText" text="zz">
      <formula>NOT(ISERROR(SEARCH("zz",G942)))</formula>
    </cfRule>
  </conditionalFormatting>
  <conditionalFormatting sqref="J942">
    <cfRule type="cellIs" dxfId="562" priority="565" operator="equal">
      <formula>""</formula>
    </cfRule>
  </conditionalFormatting>
  <conditionalFormatting sqref="G969">
    <cfRule type="containsText" dxfId="561" priority="564" operator="containsText" text="zz">
      <formula>NOT(ISERROR(SEARCH("zz",G969)))</formula>
    </cfRule>
  </conditionalFormatting>
  <conditionalFormatting sqref="J969">
    <cfRule type="cellIs" dxfId="560" priority="563" operator="equal">
      <formula>""</formula>
    </cfRule>
  </conditionalFormatting>
  <conditionalFormatting sqref="J962">
    <cfRule type="cellIs" dxfId="559" priority="561" operator="equal">
      <formula>""</formula>
    </cfRule>
  </conditionalFormatting>
  <conditionalFormatting sqref="G962">
    <cfRule type="containsText" dxfId="558" priority="562" operator="containsText" text="zz">
      <formula>NOT(ISERROR(SEARCH("zz",G962)))</formula>
    </cfRule>
  </conditionalFormatting>
  <conditionalFormatting sqref="G944">
    <cfRule type="containsText" dxfId="557" priority="560" operator="containsText" text="zz">
      <formula>NOT(ISERROR(SEARCH("zz",G944)))</formula>
    </cfRule>
  </conditionalFormatting>
  <conditionalFormatting sqref="J944">
    <cfRule type="cellIs" dxfId="556" priority="559" operator="equal">
      <formula>""</formula>
    </cfRule>
  </conditionalFormatting>
  <conditionalFormatting sqref="G939">
    <cfRule type="containsText" dxfId="555" priority="558" operator="containsText" text="zz">
      <formula>NOT(ISERROR(SEARCH("zz",G939)))</formula>
    </cfRule>
  </conditionalFormatting>
  <conditionalFormatting sqref="J939">
    <cfRule type="cellIs" dxfId="554" priority="557" operator="equal">
      <formula>""</formula>
    </cfRule>
  </conditionalFormatting>
  <conditionalFormatting sqref="G955">
    <cfRule type="containsText" dxfId="553" priority="556" operator="containsText" text="zz">
      <formula>NOT(ISERROR(SEARCH("zz",G955)))</formula>
    </cfRule>
  </conditionalFormatting>
  <conditionalFormatting sqref="G956:G957">
    <cfRule type="containsText" dxfId="552" priority="555" operator="containsText" text="zz">
      <formula>NOT(ISERROR(SEARCH("zz",G956)))</formula>
    </cfRule>
  </conditionalFormatting>
  <conditionalFormatting sqref="J956:J957">
    <cfRule type="cellIs" dxfId="551" priority="554" operator="equal">
      <formula>""</formula>
    </cfRule>
  </conditionalFormatting>
  <conditionalFormatting sqref="G954">
    <cfRule type="containsText" dxfId="550" priority="553" operator="containsText" text="zz">
      <formula>NOT(ISERROR(SEARCH("zz",G954)))</formula>
    </cfRule>
  </conditionalFormatting>
  <conditionalFormatting sqref="J954">
    <cfRule type="cellIs" dxfId="549" priority="552" operator="equal">
      <formula>""</formula>
    </cfRule>
  </conditionalFormatting>
  <conditionalFormatting sqref="G953">
    <cfRule type="containsText" dxfId="548" priority="551" operator="containsText" text="zz">
      <formula>NOT(ISERROR(SEARCH("zz",G953)))</formula>
    </cfRule>
  </conditionalFormatting>
  <conditionalFormatting sqref="J958">
    <cfRule type="cellIs" dxfId="547" priority="548" operator="equal">
      <formula>""</formula>
    </cfRule>
  </conditionalFormatting>
  <conditionalFormatting sqref="G958">
    <cfRule type="containsText" dxfId="546" priority="549" operator="containsText" text="zz">
      <formula>NOT(ISERROR(SEARCH("zz",G958)))</formula>
    </cfRule>
  </conditionalFormatting>
  <conditionalFormatting sqref="J959">
    <cfRule type="cellIs" dxfId="545" priority="546" operator="equal">
      <formula>""</formula>
    </cfRule>
  </conditionalFormatting>
  <conditionalFormatting sqref="G959">
    <cfRule type="containsText" dxfId="544" priority="547" operator="containsText" text="zz">
      <formula>NOT(ISERROR(SEARCH("zz",G959)))</formula>
    </cfRule>
  </conditionalFormatting>
  <conditionalFormatting sqref="J976:J977 J982:J985">
    <cfRule type="cellIs" dxfId="543" priority="545" operator="equal">
      <formula>""</formula>
    </cfRule>
  </conditionalFormatting>
  <conditionalFormatting sqref="G986:G987">
    <cfRule type="containsText" dxfId="542" priority="544" operator="containsText" text="zz">
      <formula>NOT(ISERROR(SEARCH("zz",G986)))</formula>
    </cfRule>
  </conditionalFormatting>
  <conditionalFormatting sqref="J986:J987">
    <cfRule type="cellIs" dxfId="541" priority="543" operator="equal">
      <formula>""</formula>
    </cfRule>
  </conditionalFormatting>
  <conditionalFormatting sqref="G988">
    <cfRule type="containsText" dxfId="540" priority="542" operator="containsText" text="zz">
      <formula>NOT(ISERROR(SEARCH("zz",G988)))</formula>
    </cfRule>
  </conditionalFormatting>
  <conditionalFormatting sqref="J988">
    <cfRule type="cellIs" dxfId="539" priority="541" operator="equal">
      <formula>""</formula>
    </cfRule>
  </conditionalFormatting>
  <conditionalFormatting sqref="G963">
    <cfRule type="containsText" dxfId="538" priority="540" operator="containsText" text="zz">
      <formula>NOT(ISERROR(SEARCH("zz",G963)))</formula>
    </cfRule>
  </conditionalFormatting>
  <conditionalFormatting sqref="J963">
    <cfRule type="cellIs" dxfId="537" priority="539" operator="equal">
      <formula>""</formula>
    </cfRule>
  </conditionalFormatting>
  <conditionalFormatting sqref="J308">
    <cfRule type="cellIs" dxfId="536" priority="538" operator="equal">
      <formula>""</formula>
    </cfRule>
  </conditionalFormatting>
  <conditionalFormatting sqref="G964">
    <cfRule type="containsText" dxfId="535" priority="537" operator="containsText" text="zz">
      <formula>NOT(ISERROR(SEARCH("zz",G964)))</formula>
    </cfRule>
  </conditionalFormatting>
  <conditionalFormatting sqref="J964">
    <cfRule type="cellIs" dxfId="534" priority="536" operator="equal">
      <formula>""</formula>
    </cfRule>
  </conditionalFormatting>
  <conditionalFormatting sqref="G950">
    <cfRule type="containsText" dxfId="533" priority="535" operator="containsText" text="zz">
      <formula>NOT(ISERROR(SEARCH("zz",G950)))</formula>
    </cfRule>
  </conditionalFormatting>
  <conditionalFormatting sqref="J950">
    <cfRule type="cellIs" dxfId="532" priority="534" operator="equal">
      <formula>""</formula>
    </cfRule>
  </conditionalFormatting>
  <conditionalFormatting sqref="G943">
    <cfRule type="containsText" dxfId="531" priority="533" operator="containsText" text="zz">
      <formula>NOT(ISERROR(SEARCH("zz",G943)))</formula>
    </cfRule>
  </conditionalFormatting>
  <conditionalFormatting sqref="J943">
    <cfRule type="cellIs" dxfId="530" priority="532" operator="equal">
      <formula>""</formula>
    </cfRule>
  </conditionalFormatting>
  <conditionalFormatting sqref="G951">
    <cfRule type="containsText" dxfId="529" priority="531" operator="containsText" text="zz">
      <formula>NOT(ISERROR(SEARCH("zz",G951)))</formula>
    </cfRule>
  </conditionalFormatting>
  <conditionalFormatting sqref="J951">
    <cfRule type="cellIs" dxfId="528" priority="530" operator="equal">
      <formula>""</formula>
    </cfRule>
  </conditionalFormatting>
  <conditionalFormatting sqref="G965">
    <cfRule type="containsText" dxfId="527" priority="529" operator="containsText" text="zz">
      <formula>NOT(ISERROR(SEARCH("zz",G965)))</formula>
    </cfRule>
  </conditionalFormatting>
  <conditionalFormatting sqref="J965">
    <cfRule type="cellIs" dxfId="526" priority="528" operator="equal">
      <formula>""</formula>
    </cfRule>
  </conditionalFormatting>
  <conditionalFormatting sqref="G979">
    <cfRule type="containsText" dxfId="525" priority="526" operator="containsText" text="zz">
      <formula>NOT(ISERROR(SEARCH("zz",G979)))</formula>
    </cfRule>
  </conditionalFormatting>
  <conditionalFormatting sqref="J993">
    <cfRule type="cellIs" dxfId="524" priority="524" operator="equal">
      <formula>""</formula>
    </cfRule>
  </conditionalFormatting>
  <conditionalFormatting sqref="G993">
    <cfRule type="containsText" dxfId="523" priority="525" operator="containsText" text="zz">
      <formula>NOT(ISERROR(SEARCH("zz",G993)))</formula>
    </cfRule>
  </conditionalFormatting>
  <conditionalFormatting sqref="J994">
    <cfRule type="cellIs" dxfId="522" priority="522" operator="equal">
      <formula>""</formula>
    </cfRule>
  </conditionalFormatting>
  <conditionalFormatting sqref="G994">
    <cfRule type="containsText" dxfId="521" priority="523" operator="containsText" text="zz">
      <formula>NOT(ISERROR(SEARCH("zz",G994)))</formula>
    </cfRule>
  </conditionalFormatting>
  <conditionalFormatting sqref="G897:G898">
    <cfRule type="containsText" dxfId="520" priority="521" operator="containsText" text="zz">
      <formula>NOT(ISERROR(SEARCH("zz",G897)))</formula>
    </cfRule>
  </conditionalFormatting>
  <conditionalFormatting sqref="J897:J898">
    <cfRule type="cellIs" dxfId="519" priority="520" operator="equal">
      <formula>""</formula>
    </cfRule>
  </conditionalFormatting>
  <conditionalFormatting sqref="G966:G967">
    <cfRule type="containsText" dxfId="518" priority="519" operator="containsText" text="zz">
      <formula>NOT(ISERROR(SEARCH("zz",G966)))</formula>
    </cfRule>
  </conditionalFormatting>
  <conditionalFormatting sqref="J966:J967">
    <cfRule type="cellIs" dxfId="517" priority="518" operator="equal">
      <formula>""</formula>
    </cfRule>
  </conditionalFormatting>
  <conditionalFormatting sqref="G1013:G1014">
    <cfRule type="containsText" dxfId="516" priority="517" operator="containsText" text="zz">
      <formula>NOT(ISERROR(SEARCH("zz",G1013)))</formula>
    </cfRule>
  </conditionalFormatting>
  <conditionalFormatting sqref="J1013:J1014">
    <cfRule type="cellIs" dxfId="515" priority="516" operator="equal">
      <formula>""</formula>
    </cfRule>
  </conditionalFormatting>
  <conditionalFormatting sqref="G1005">
    <cfRule type="containsText" dxfId="514" priority="515" operator="containsText" text="zz">
      <formula>NOT(ISERROR(SEARCH("zz",G1005)))</formula>
    </cfRule>
  </conditionalFormatting>
  <conditionalFormatting sqref="J1005">
    <cfRule type="cellIs" dxfId="513" priority="514" operator="equal">
      <formula>""</formula>
    </cfRule>
  </conditionalFormatting>
  <conditionalFormatting sqref="G1006">
    <cfRule type="containsText" dxfId="512" priority="513" operator="containsText" text="zz">
      <formula>NOT(ISERROR(SEARCH("zz",G1006)))</formula>
    </cfRule>
  </conditionalFormatting>
  <conditionalFormatting sqref="J1006">
    <cfRule type="cellIs" dxfId="511" priority="512" operator="equal">
      <formula>""</formula>
    </cfRule>
  </conditionalFormatting>
  <conditionalFormatting sqref="J1040">
    <cfRule type="cellIs" dxfId="510" priority="499" operator="equal">
      <formula>""</formula>
    </cfRule>
  </conditionalFormatting>
  <conditionalFormatting sqref="G1007">
    <cfRule type="containsText" dxfId="509" priority="511" operator="containsText" text="zz">
      <formula>NOT(ISERROR(SEARCH("zz",G1007)))</formula>
    </cfRule>
  </conditionalFormatting>
  <conditionalFormatting sqref="G980">
    <cfRule type="containsText" dxfId="508" priority="510" operator="containsText" text="zz">
      <formula>NOT(ISERROR(SEARCH("zz",G980)))</formula>
    </cfRule>
  </conditionalFormatting>
  <conditionalFormatting sqref="J980">
    <cfRule type="cellIs" dxfId="507" priority="509" operator="equal">
      <formula>""</formula>
    </cfRule>
  </conditionalFormatting>
  <conditionalFormatting sqref="G997">
    <cfRule type="containsText" dxfId="506" priority="508" operator="containsText" text="zz">
      <formula>NOT(ISERROR(SEARCH("zz",G997)))</formula>
    </cfRule>
  </conditionalFormatting>
  <conditionalFormatting sqref="J997">
    <cfRule type="cellIs" dxfId="505" priority="507" operator="equal">
      <formula>""</formula>
    </cfRule>
  </conditionalFormatting>
  <conditionalFormatting sqref="G1001">
    <cfRule type="containsText" dxfId="504" priority="506" operator="containsText" text="zz">
      <formula>NOT(ISERROR(SEARCH("zz",G1001)))</formula>
    </cfRule>
  </conditionalFormatting>
  <conditionalFormatting sqref="J1001">
    <cfRule type="cellIs" dxfId="503" priority="505" operator="equal">
      <formula>""</formula>
    </cfRule>
  </conditionalFormatting>
  <conditionalFormatting sqref="G1021">
    <cfRule type="containsText" dxfId="502" priority="504" operator="containsText" text="zz">
      <formula>NOT(ISERROR(SEARCH("zz",G1021)))</formula>
    </cfRule>
  </conditionalFormatting>
  <conditionalFormatting sqref="J1021">
    <cfRule type="cellIs" dxfId="501" priority="503" operator="equal">
      <formula>""</formula>
    </cfRule>
  </conditionalFormatting>
  <conditionalFormatting sqref="G1039">
    <cfRule type="containsText" dxfId="500" priority="502" operator="containsText" text="zz">
      <formula>NOT(ISERROR(SEARCH("zz",G1039)))</formula>
    </cfRule>
  </conditionalFormatting>
  <conditionalFormatting sqref="J1039">
    <cfRule type="cellIs" dxfId="499" priority="501" operator="equal">
      <formula>""</formula>
    </cfRule>
  </conditionalFormatting>
  <conditionalFormatting sqref="G1040">
    <cfRule type="containsText" dxfId="498" priority="500" operator="containsText" text="zz">
      <formula>NOT(ISERROR(SEARCH("zz",G1040)))</formula>
    </cfRule>
  </conditionalFormatting>
  <conditionalFormatting sqref="J996">
    <cfRule type="cellIs" dxfId="497" priority="481" operator="equal">
      <formula>""</formula>
    </cfRule>
  </conditionalFormatting>
  <conditionalFormatting sqref="J995">
    <cfRule type="cellIs" dxfId="496" priority="497" operator="equal">
      <formula>""</formula>
    </cfRule>
  </conditionalFormatting>
  <conditionalFormatting sqref="G995">
    <cfRule type="containsText" dxfId="495" priority="498" operator="containsText" text="zz">
      <formula>NOT(ISERROR(SEARCH("zz",G995)))</formula>
    </cfRule>
  </conditionalFormatting>
  <conditionalFormatting sqref="G1020">
    <cfRule type="containsText" dxfId="494" priority="496" operator="containsText" text="zz">
      <formula>NOT(ISERROR(SEARCH("zz",G1020)))</formula>
    </cfRule>
  </conditionalFormatting>
  <conditionalFormatting sqref="J1020">
    <cfRule type="cellIs" dxfId="493" priority="495" operator="equal">
      <formula>""</formula>
    </cfRule>
  </conditionalFormatting>
  <conditionalFormatting sqref="G1023">
    <cfRule type="containsText" dxfId="492" priority="492" operator="containsText" text="zz">
      <formula>NOT(ISERROR(SEARCH("zz",G1023)))</formula>
    </cfRule>
  </conditionalFormatting>
  <conditionalFormatting sqref="J1023">
    <cfRule type="cellIs" dxfId="491" priority="491" operator="equal">
      <formula>""</formula>
    </cfRule>
  </conditionalFormatting>
  <conditionalFormatting sqref="J1022">
    <cfRule type="cellIs" dxfId="490" priority="494" operator="equal">
      <formula>""</formula>
    </cfRule>
  </conditionalFormatting>
  <conditionalFormatting sqref="G1022">
    <cfRule type="containsText" dxfId="489" priority="493" operator="containsText" text="zz">
      <formula>NOT(ISERROR(SEARCH("zz",G1022)))</formula>
    </cfRule>
  </conditionalFormatting>
  <conditionalFormatting sqref="G1024">
    <cfRule type="containsText" dxfId="488" priority="490" operator="containsText" text="zz">
      <formula>NOT(ISERROR(SEARCH("zz",G1024)))</formula>
    </cfRule>
  </conditionalFormatting>
  <conditionalFormatting sqref="J1024">
    <cfRule type="cellIs" dxfId="487" priority="489" operator="equal">
      <formula>""</formula>
    </cfRule>
  </conditionalFormatting>
  <conditionalFormatting sqref="G1025">
    <cfRule type="containsText" dxfId="486" priority="488" operator="containsText" text="zz">
      <formula>NOT(ISERROR(SEARCH("zz",G1025)))</formula>
    </cfRule>
  </conditionalFormatting>
  <conditionalFormatting sqref="J1025">
    <cfRule type="cellIs" dxfId="485" priority="487" operator="equal">
      <formula>""</formula>
    </cfRule>
  </conditionalFormatting>
  <conditionalFormatting sqref="G1026">
    <cfRule type="containsText" dxfId="484" priority="486" operator="containsText" text="zz">
      <formula>NOT(ISERROR(SEARCH("zz",G1026)))</formula>
    </cfRule>
  </conditionalFormatting>
  <conditionalFormatting sqref="J1026">
    <cfRule type="cellIs" dxfId="483" priority="485" operator="equal">
      <formula>""</formula>
    </cfRule>
  </conditionalFormatting>
  <conditionalFormatting sqref="G1009">
    <cfRule type="containsText" dxfId="482" priority="484" operator="containsText" text="zz">
      <formula>NOT(ISERROR(SEARCH("zz",G1009)))</formula>
    </cfRule>
  </conditionalFormatting>
  <conditionalFormatting sqref="J1009">
    <cfRule type="cellIs" dxfId="481" priority="483" operator="equal">
      <formula>""</formula>
    </cfRule>
  </conditionalFormatting>
  <conditionalFormatting sqref="G996">
    <cfRule type="containsText" dxfId="480" priority="482" operator="containsText" text="zz">
      <formula>NOT(ISERROR(SEARCH("zz",G996)))</formula>
    </cfRule>
  </conditionalFormatting>
  <conditionalFormatting sqref="J981">
    <cfRule type="cellIs" dxfId="479" priority="479" operator="equal">
      <formula>""</formula>
    </cfRule>
  </conditionalFormatting>
  <conditionalFormatting sqref="G981">
    <cfRule type="containsText" dxfId="478" priority="480" operator="containsText" text="zz">
      <formula>NOT(ISERROR(SEARCH("zz",G981)))</formula>
    </cfRule>
  </conditionalFormatting>
  <conditionalFormatting sqref="J1002">
    <cfRule type="cellIs" dxfId="477" priority="477" operator="equal">
      <formula>""</formula>
    </cfRule>
  </conditionalFormatting>
  <conditionalFormatting sqref="G1041">
    <cfRule type="containsText" dxfId="476" priority="476" operator="containsText" text="zz">
      <formula>NOT(ISERROR(SEARCH("zz",G1041)))</formula>
    </cfRule>
  </conditionalFormatting>
  <conditionalFormatting sqref="J1041">
    <cfRule type="cellIs" dxfId="475" priority="475" operator="equal">
      <formula>""</formula>
    </cfRule>
  </conditionalFormatting>
  <conditionalFormatting sqref="G1002">
    <cfRule type="containsText" dxfId="474" priority="478" operator="containsText" text="zz">
      <formula>NOT(ISERROR(SEARCH("zz",G1002)))</formula>
    </cfRule>
  </conditionalFormatting>
  <conditionalFormatting sqref="J1067">
    <cfRule type="cellIs" dxfId="473" priority="415" operator="equal">
      <formula>""</formula>
    </cfRule>
  </conditionalFormatting>
  <conditionalFormatting sqref="J1017">
    <cfRule type="cellIs" dxfId="472" priority="473" operator="equal">
      <formula>""</formula>
    </cfRule>
  </conditionalFormatting>
  <conditionalFormatting sqref="G1008">
    <cfRule type="containsText" dxfId="471" priority="474" operator="containsText" text="zz">
      <formula>NOT(ISERROR(SEARCH("zz",G1008)))</formula>
    </cfRule>
  </conditionalFormatting>
  <conditionalFormatting sqref="J1048">
    <cfRule type="cellIs" dxfId="470" priority="462" operator="equal">
      <formula>""</formula>
    </cfRule>
  </conditionalFormatting>
  <conditionalFormatting sqref="G1017">
    <cfRule type="containsText" dxfId="469" priority="472" operator="containsText" text="zz">
      <formula>NOT(ISERROR(SEARCH("zz",G1017)))</formula>
    </cfRule>
  </conditionalFormatting>
  <conditionalFormatting sqref="G1018">
    <cfRule type="containsText" dxfId="468" priority="471" operator="containsText" text="zz">
      <formula>NOT(ISERROR(SEARCH("zz",G1018)))</formula>
    </cfRule>
  </conditionalFormatting>
  <conditionalFormatting sqref="J1018">
    <cfRule type="cellIs" dxfId="467" priority="470" operator="equal">
      <formula>""</formula>
    </cfRule>
  </conditionalFormatting>
  <conditionalFormatting sqref="J1019">
    <cfRule type="cellIs" dxfId="466" priority="468" operator="equal">
      <formula>""</formula>
    </cfRule>
  </conditionalFormatting>
  <conditionalFormatting sqref="G1019">
    <cfRule type="containsText" dxfId="465" priority="469" operator="containsText" text="zz">
      <formula>NOT(ISERROR(SEARCH("zz",G1019)))</formula>
    </cfRule>
  </conditionalFormatting>
  <conditionalFormatting sqref="G1015">
    <cfRule type="containsText" dxfId="464" priority="467" operator="containsText" text="zz">
      <formula>NOT(ISERROR(SEARCH("zz",G1015)))</formula>
    </cfRule>
  </conditionalFormatting>
  <conditionalFormatting sqref="J1015">
    <cfRule type="cellIs" dxfId="463" priority="466" operator="equal">
      <formula>""</formula>
    </cfRule>
  </conditionalFormatting>
  <conditionalFormatting sqref="G1016">
    <cfRule type="containsText" dxfId="462" priority="465" operator="containsText" text="zz">
      <formula>NOT(ISERROR(SEARCH("zz",G1016)))</formula>
    </cfRule>
  </conditionalFormatting>
  <conditionalFormatting sqref="J1016">
    <cfRule type="cellIs" dxfId="461" priority="464" operator="equal">
      <formula>""</formula>
    </cfRule>
  </conditionalFormatting>
  <conditionalFormatting sqref="G1048">
    <cfRule type="containsText" dxfId="460" priority="463" operator="containsText" text="zz">
      <formula>NOT(ISERROR(SEARCH("zz",G1048)))</formula>
    </cfRule>
  </conditionalFormatting>
  <conditionalFormatting sqref="J1027">
    <cfRule type="cellIs" dxfId="459" priority="460" operator="equal">
      <formula>""</formula>
    </cfRule>
  </conditionalFormatting>
  <conditionalFormatting sqref="G1027">
    <cfRule type="containsText" dxfId="458" priority="461" operator="containsText" text="zz">
      <formula>NOT(ISERROR(SEARCH("zz",G1027)))</formula>
    </cfRule>
  </conditionalFormatting>
  <conditionalFormatting sqref="J1051">
    <cfRule type="cellIs" dxfId="457" priority="442" operator="equal">
      <formula>""</formula>
    </cfRule>
  </conditionalFormatting>
  <conditionalFormatting sqref="G1044">
    <cfRule type="containsText" dxfId="456" priority="459" operator="containsText" text="zz">
      <formula>NOT(ISERROR(SEARCH("zz",G1044)))</formula>
    </cfRule>
  </conditionalFormatting>
  <conditionalFormatting sqref="J1044">
    <cfRule type="cellIs" dxfId="455" priority="458" operator="equal">
      <formula>""</formula>
    </cfRule>
  </conditionalFormatting>
  <conditionalFormatting sqref="G1043">
    <cfRule type="containsText" dxfId="454" priority="457" operator="containsText" text="zz">
      <formula>NOT(ISERROR(SEARCH("zz",G1043)))</formula>
    </cfRule>
  </conditionalFormatting>
  <conditionalFormatting sqref="J1043">
    <cfRule type="cellIs" dxfId="453" priority="456" operator="equal">
      <formula>""</formula>
    </cfRule>
  </conditionalFormatting>
  <conditionalFormatting sqref="G1028">
    <cfRule type="containsText" dxfId="452" priority="455" operator="containsText" text="zz">
      <formula>NOT(ISERROR(SEARCH("zz",G1028)))</formula>
    </cfRule>
  </conditionalFormatting>
  <conditionalFormatting sqref="J1028">
    <cfRule type="cellIs" dxfId="451" priority="454" operator="equal">
      <formula>""</formula>
    </cfRule>
  </conditionalFormatting>
  <conditionalFormatting sqref="G1042">
    <cfRule type="containsText" dxfId="450" priority="453" operator="containsText" text="zz">
      <formula>NOT(ISERROR(SEARCH("zz",G1042)))</formula>
    </cfRule>
  </conditionalFormatting>
  <conditionalFormatting sqref="J1042">
    <cfRule type="cellIs" dxfId="449" priority="452" operator="equal">
      <formula>""</formula>
    </cfRule>
  </conditionalFormatting>
  <conditionalFormatting sqref="G1045">
    <cfRule type="containsText" dxfId="448" priority="451" operator="containsText" text="zz">
      <formula>NOT(ISERROR(SEARCH("zz",G1045)))</formula>
    </cfRule>
  </conditionalFormatting>
  <conditionalFormatting sqref="J1045">
    <cfRule type="cellIs" dxfId="447" priority="450" operator="equal">
      <formula>""</formula>
    </cfRule>
  </conditionalFormatting>
  <conditionalFormatting sqref="G1046">
    <cfRule type="containsText" dxfId="446" priority="449" operator="containsText" text="zz">
      <formula>NOT(ISERROR(SEARCH("zz",G1046)))</formula>
    </cfRule>
  </conditionalFormatting>
  <conditionalFormatting sqref="J1046">
    <cfRule type="cellIs" dxfId="445" priority="448" operator="equal">
      <formula>""</formula>
    </cfRule>
  </conditionalFormatting>
  <conditionalFormatting sqref="G1049">
    <cfRule type="containsText" dxfId="444" priority="447" operator="containsText" text="zz">
      <formula>NOT(ISERROR(SEARCH("zz",G1049)))</formula>
    </cfRule>
  </conditionalFormatting>
  <conditionalFormatting sqref="J1049">
    <cfRule type="cellIs" dxfId="443" priority="446" operator="equal">
      <formula>""</formula>
    </cfRule>
  </conditionalFormatting>
  <conditionalFormatting sqref="J1050">
    <cfRule type="cellIs" dxfId="442" priority="444" operator="equal">
      <formula>""</formula>
    </cfRule>
  </conditionalFormatting>
  <conditionalFormatting sqref="G1050">
    <cfRule type="containsText" dxfId="441" priority="445" operator="containsText" text="zz">
      <formula>NOT(ISERROR(SEARCH("zz",G1050)))</formula>
    </cfRule>
  </conditionalFormatting>
  <conditionalFormatting sqref="G1051">
    <cfRule type="containsText" dxfId="440" priority="443" operator="containsText" text="zz">
      <formula>NOT(ISERROR(SEARCH("zz",G1051)))</formula>
    </cfRule>
  </conditionalFormatting>
  <conditionalFormatting sqref="J1052">
    <cfRule type="cellIs" dxfId="439" priority="440" operator="equal">
      <formula>""</formula>
    </cfRule>
  </conditionalFormatting>
  <conditionalFormatting sqref="G1052">
    <cfRule type="containsText" dxfId="438" priority="441" operator="containsText" text="zz">
      <formula>NOT(ISERROR(SEARCH("zz",G1052)))</formula>
    </cfRule>
  </conditionalFormatting>
  <conditionalFormatting sqref="J1058:J1059">
    <cfRule type="cellIs" dxfId="437" priority="438" operator="equal">
      <formula>""</formula>
    </cfRule>
  </conditionalFormatting>
  <conditionalFormatting sqref="G1058:G1059">
    <cfRule type="containsText" dxfId="436" priority="439" operator="containsText" text="zz">
      <formula>NOT(ISERROR(SEARCH("zz",G1058)))</formula>
    </cfRule>
  </conditionalFormatting>
  <conditionalFormatting sqref="J1047">
    <cfRule type="cellIs" dxfId="435" priority="436" operator="equal">
      <formula>""</formula>
    </cfRule>
  </conditionalFormatting>
  <conditionalFormatting sqref="J1099">
    <cfRule type="cellIs" dxfId="434" priority="375" operator="equal">
      <formula>""</formula>
    </cfRule>
  </conditionalFormatting>
  <conditionalFormatting sqref="G1047">
    <cfRule type="containsText" dxfId="433" priority="437" operator="containsText" text="zz">
      <formula>NOT(ISERROR(SEARCH("zz",G1047)))</formula>
    </cfRule>
  </conditionalFormatting>
  <conditionalFormatting sqref="G1053">
    <cfRule type="containsText" dxfId="432" priority="435" operator="containsText" text="zz">
      <formula>NOT(ISERROR(SEARCH("zz",G1053)))</formula>
    </cfRule>
  </conditionalFormatting>
  <conditionalFormatting sqref="J1053">
    <cfRule type="cellIs" dxfId="431" priority="434" operator="equal">
      <formula>""</formula>
    </cfRule>
  </conditionalFormatting>
  <conditionalFormatting sqref="J1054">
    <cfRule type="cellIs" dxfId="430" priority="433" operator="equal">
      <formula>""</formula>
    </cfRule>
  </conditionalFormatting>
  <conditionalFormatting sqref="G1054">
    <cfRule type="containsText" dxfId="429" priority="432" operator="containsText" text="zz">
      <formula>NOT(ISERROR(SEARCH("zz",G1054)))</formula>
    </cfRule>
  </conditionalFormatting>
  <conditionalFormatting sqref="G1055">
    <cfRule type="containsText" dxfId="428" priority="431" operator="containsText" text="zz">
      <formula>NOT(ISERROR(SEARCH("zz",G1055)))</formula>
    </cfRule>
  </conditionalFormatting>
  <conditionalFormatting sqref="J1055">
    <cfRule type="cellIs" dxfId="427" priority="430" operator="equal">
      <formula>""</formula>
    </cfRule>
  </conditionalFormatting>
  <conditionalFormatting sqref="G1056">
    <cfRule type="containsText" dxfId="426" priority="429" operator="containsText" text="zz">
      <formula>NOT(ISERROR(SEARCH("zz",G1056)))</formula>
    </cfRule>
  </conditionalFormatting>
  <conditionalFormatting sqref="J1056">
    <cfRule type="cellIs" dxfId="425" priority="428" operator="equal">
      <formula>""</formula>
    </cfRule>
  </conditionalFormatting>
  <conditionalFormatting sqref="J1057">
    <cfRule type="cellIs" dxfId="424" priority="427" operator="equal">
      <formula>""</formula>
    </cfRule>
  </conditionalFormatting>
  <conditionalFormatting sqref="G1057">
    <cfRule type="containsText" dxfId="423" priority="426" operator="containsText" text="zz">
      <formula>NOT(ISERROR(SEARCH("zz",G1057)))</formula>
    </cfRule>
  </conditionalFormatting>
  <conditionalFormatting sqref="G1060">
    <cfRule type="containsText" dxfId="422" priority="425" operator="containsText" text="zz">
      <formula>NOT(ISERROR(SEARCH("zz",G1060)))</formula>
    </cfRule>
  </conditionalFormatting>
  <conditionalFormatting sqref="J1061:J1062">
    <cfRule type="cellIs" dxfId="421" priority="423" operator="equal">
      <formula>""</formula>
    </cfRule>
  </conditionalFormatting>
  <conditionalFormatting sqref="G1061:G1062">
    <cfRule type="containsText" dxfId="420" priority="424" operator="containsText" text="zz">
      <formula>NOT(ISERROR(SEARCH("zz",G1061)))</formula>
    </cfRule>
  </conditionalFormatting>
  <conditionalFormatting sqref="J1063">
    <cfRule type="cellIs" dxfId="419" priority="421" operator="equal">
      <formula>""</formula>
    </cfRule>
  </conditionalFormatting>
  <conditionalFormatting sqref="G1063">
    <cfRule type="containsText" dxfId="418" priority="422" operator="containsText" text="zz">
      <formula>NOT(ISERROR(SEARCH("zz",G1063)))</formula>
    </cfRule>
  </conditionalFormatting>
  <conditionalFormatting sqref="J1064:J1065">
    <cfRule type="cellIs" dxfId="417" priority="419" operator="equal">
      <formula>""</formula>
    </cfRule>
  </conditionalFormatting>
  <conditionalFormatting sqref="G1064:G1065">
    <cfRule type="containsText" dxfId="416" priority="420" operator="containsText" text="zz">
      <formula>NOT(ISERROR(SEARCH("zz",G1064)))</formula>
    </cfRule>
  </conditionalFormatting>
  <conditionalFormatting sqref="J1089">
    <cfRule type="cellIs" dxfId="415" priority="392" operator="equal">
      <formula>""</formula>
    </cfRule>
  </conditionalFormatting>
  <conditionalFormatting sqref="G1066">
    <cfRule type="containsText" dxfId="414" priority="418" operator="containsText" text="zz">
      <formula>NOT(ISERROR(SEARCH("zz",G1066)))</formula>
    </cfRule>
  </conditionalFormatting>
  <conditionalFormatting sqref="J1066">
    <cfRule type="cellIs" dxfId="413" priority="417" operator="equal">
      <formula>""</formula>
    </cfRule>
  </conditionalFormatting>
  <conditionalFormatting sqref="G1067">
    <cfRule type="containsText" dxfId="412" priority="416" operator="containsText" text="zz">
      <formula>NOT(ISERROR(SEARCH("zz",G1067)))</formula>
    </cfRule>
  </conditionalFormatting>
  <conditionalFormatting sqref="J1070">
    <cfRule type="cellIs" dxfId="411" priority="411" operator="equal">
      <formula>""</formula>
    </cfRule>
  </conditionalFormatting>
  <conditionalFormatting sqref="J1069">
    <cfRule type="cellIs" dxfId="410" priority="414" operator="equal">
      <formula>""</formula>
    </cfRule>
  </conditionalFormatting>
  <conditionalFormatting sqref="G1069">
    <cfRule type="containsText" dxfId="409" priority="413" operator="containsText" text="zz">
      <formula>NOT(ISERROR(SEARCH("zz",G1069)))</formula>
    </cfRule>
  </conditionalFormatting>
  <conditionalFormatting sqref="G1070">
    <cfRule type="containsText" dxfId="408" priority="412" operator="containsText" text="zz">
      <formula>NOT(ISERROR(SEARCH("zz",G1070)))</formula>
    </cfRule>
  </conditionalFormatting>
  <conditionalFormatting sqref="J1068">
    <cfRule type="cellIs" dxfId="407" priority="409" operator="equal">
      <formula>""</formula>
    </cfRule>
  </conditionalFormatting>
  <conditionalFormatting sqref="G1068">
    <cfRule type="containsText" dxfId="406" priority="410" operator="containsText" text="zz">
      <formula>NOT(ISERROR(SEARCH("zz",G1068)))</formula>
    </cfRule>
  </conditionalFormatting>
  <conditionalFormatting sqref="J1071">
    <cfRule type="cellIs" dxfId="405" priority="407" operator="equal">
      <formula>""</formula>
    </cfRule>
  </conditionalFormatting>
  <conditionalFormatting sqref="G1071">
    <cfRule type="containsText" dxfId="404" priority="408" operator="containsText" text="zz">
      <formula>NOT(ISERROR(SEARCH("zz",G1071)))</formula>
    </cfRule>
  </conditionalFormatting>
  <conditionalFormatting sqref="G1072">
    <cfRule type="containsText" dxfId="403" priority="406" operator="containsText" text="zz">
      <formula>NOT(ISERROR(SEARCH("zz",G1072)))</formula>
    </cfRule>
  </conditionalFormatting>
  <conditionalFormatting sqref="J1072">
    <cfRule type="cellIs" dxfId="402" priority="405" operator="equal">
      <formula>""</formula>
    </cfRule>
  </conditionalFormatting>
  <conditionalFormatting sqref="G1075">
    <cfRule type="containsText" dxfId="401" priority="404" operator="containsText" text="zz">
      <formula>NOT(ISERROR(SEARCH("zz",G1075)))</formula>
    </cfRule>
  </conditionalFormatting>
  <conditionalFormatting sqref="J1075">
    <cfRule type="cellIs" dxfId="400" priority="403" operator="equal">
      <formula>""</formula>
    </cfRule>
  </conditionalFormatting>
  <conditionalFormatting sqref="G1076">
    <cfRule type="containsText" dxfId="399" priority="402" operator="containsText" text="zz">
      <formula>NOT(ISERROR(SEARCH("zz",G1076)))</formula>
    </cfRule>
  </conditionalFormatting>
  <conditionalFormatting sqref="J1076">
    <cfRule type="cellIs" dxfId="398" priority="401" operator="equal">
      <formula>""</formula>
    </cfRule>
  </conditionalFormatting>
  <conditionalFormatting sqref="G1073">
    <cfRule type="containsText" dxfId="397" priority="400" operator="containsText" text="zz">
      <formula>NOT(ISERROR(SEARCH("zz",G1073)))</formula>
    </cfRule>
  </conditionalFormatting>
  <conditionalFormatting sqref="J1073">
    <cfRule type="cellIs" dxfId="396" priority="399" operator="equal">
      <formula>""</formula>
    </cfRule>
  </conditionalFormatting>
  <conditionalFormatting sqref="G1074">
    <cfRule type="containsText" dxfId="395" priority="398" operator="containsText" text="zz">
      <formula>NOT(ISERROR(SEARCH("zz",G1074)))</formula>
    </cfRule>
  </conditionalFormatting>
  <conditionalFormatting sqref="J1074">
    <cfRule type="cellIs" dxfId="394" priority="397" operator="equal">
      <formula>""</formula>
    </cfRule>
  </conditionalFormatting>
  <conditionalFormatting sqref="G1078">
    <cfRule type="containsText" dxfId="393" priority="396" operator="containsText" text="zz">
      <formula>NOT(ISERROR(SEARCH("zz",G1078)))</formula>
    </cfRule>
  </conditionalFormatting>
  <conditionalFormatting sqref="J1078">
    <cfRule type="cellIs" dxfId="392" priority="395" operator="equal">
      <formula>""</formula>
    </cfRule>
  </conditionalFormatting>
  <conditionalFormatting sqref="G1079">
    <cfRule type="containsText" dxfId="391" priority="394" operator="containsText" text="zz">
      <formula>NOT(ISERROR(SEARCH("zz",G1079)))</formula>
    </cfRule>
  </conditionalFormatting>
  <conditionalFormatting sqref="J1079">
    <cfRule type="cellIs" dxfId="390" priority="393" operator="equal">
      <formula>""</formula>
    </cfRule>
  </conditionalFormatting>
  <conditionalFormatting sqref="J1090">
    <cfRule type="cellIs" dxfId="389" priority="390" operator="equal">
      <formula>""</formula>
    </cfRule>
  </conditionalFormatting>
  <conditionalFormatting sqref="G1089">
    <cfRule type="containsText" dxfId="388" priority="391" operator="containsText" text="zz">
      <formula>NOT(ISERROR(SEARCH("zz",G1089)))</formula>
    </cfRule>
  </conditionalFormatting>
  <conditionalFormatting sqref="J1084">
    <cfRule type="cellIs" dxfId="387" priority="360" operator="equal">
      <formula>""</formula>
    </cfRule>
  </conditionalFormatting>
  <conditionalFormatting sqref="G1090">
    <cfRule type="containsText" dxfId="386" priority="389" operator="containsText" text="zz">
      <formula>NOT(ISERROR(SEARCH("zz",G1090)))</formula>
    </cfRule>
  </conditionalFormatting>
  <conditionalFormatting sqref="G1091">
    <cfRule type="containsText" dxfId="385" priority="388" operator="containsText" text="zz">
      <formula>NOT(ISERROR(SEARCH("zz",G1091)))</formula>
    </cfRule>
  </conditionalFormatting>
  <conditionalFormatting sqref="J1091">
    <cfRule type="cellIs" dxfId="384" priority="387" operator="equal">
      <formula>""</formula>
    </cfRule>
  </conditionalFormatting>
  <conditionalFormatting sqref="G1092">
    <cfRule type="containsText" dxfId="383" priority="386" operator="containsText" text="zz">
      <formula>NOT(ISERROR(SEARCH("zz",G1092)))</formula>
    </cfRule>
  </conditionalFormatting>
  <conditionalFormatting sqref="J1092">
    <cfRule type="cellIs" dxfId="382" priority="385" operator="equal">
      <formula>""</formula>
    </cfRule>
  </conditionalFormatting>
  <conditionalFormatting sqref="G1093">
    <cfRule type="containsText" dxfId="381" priority="384" operator="containsText" text="zz">
      <formula>NOT(ISERROR(SEARCH("zz",G1093)))</formula>
    </cfRule>
  </conditionalFormatting>
  <conditionalFormatting sqref="J1093">
    <cfRule type="cellIs" dxfId="380" priority="383" operator="equal">
      <formula>""</formula>
    </cfRule>
  </conditionalFormatting>
  <conditionalFormatting sqref="G1095">
    <cfRule type="containsText" dxfId="379" priority="382" operator="containsText" text="zz">
      <formula>NOT(ISERROR(SEARCH("zz",G1095)))</formula>
    </cfRule>
  </conditionalFormatting>
  <conditionalFormatting sqref="J1095">
    <cfRule type="cellIs" dxfId="378" priority="381" operator="equal">
      <formula>""</formula>
    </cfRule>
  </conditionalFormatting>
  <conditionalFormatting sqref="G1097">
    <cfRule type="containsText" dxfId="377" priority="380" operator="containsText" text="zz">
      <formula>NOT(ISERROR(SEARCH("zz",G1097)))</formula>
    </cfRule>
  </conditionalFormatting>
  <conditionalFormatting sqref="J1097">
    <cfRule type="cellIs" dxfId="376" priority="379" operator="equal">
      <formula>""</formula>
    </cfRule>
  </conditionalFormatting>
  <conditionalFormatting sqref="G1098">
    <cfRule type="containsText" dxfId="375" priority="378" operator="containsText" text="zz">
      <formula>NOT(ISERROR(SEARCH("zz",G1098)))</formula>
    </cfRule>
  </conditionalFormatting>
  <conditionalFormatting sqref="J1098">
    <cfRule type="cellIs" dxfId="374" priority="377" operator="equal">
      <formula>""</formula>
    </cfRule>
  </conditionalFormatting>
  <conditionalFormatting sqref="J1100">
    <cfRule type="cellIs" dxfId="373" priority="373" operator="equal">
      <formula>""</formula>
    </cfRule>
  </conditionalFormatting>
  <conditionalFormatting sqref="G1099">
    <cfRule type="containsText" dxfId="372" priority="376" operator="containsText" text="zz">
      <formula>NOT(ISERROR(SEARCH("zz",G1099)))</formula>
    </cfRule>
  </conditionalFormatting>
  <conditionalFormatting sqref="J1101">
    <cfRule type="cellIs" dxfId="371" priority="371" operator="equal">
      <formula>""</formula>
    </cfRule>
  </conditionalFormatting>
  <conditionalFormatting sqref="G1100">
    <cfRule type="containsText" dxfId="370" priority="374" operator="containsText" text="zz">
      <formula>NOT(ISERROR(SEARCH("zz",G1100)))</formula>
    </cfRule>
  </conditionalFormatting>
  <conditionalFormatting sqref="G1101">
    <cfRule type="containsText" dxfId="369" priority="372" operator="containsText" text="zz">
      <formula>NOT(ISERROR(SEARCH("zz",G1101)))</formula>
    </cfRule>
  </conditionalFormatting>
  <conditionalFormatting sqref="J1102:J1103">
    <cfRule type="cellIs" dxfId="368" priority="369" operator="equal">
      <formula>""</formula>
    </cfRule>
  </conditionalFormatting>
  <conditionalFormatting sqref="G1102:G1103">
    <cfRule type="containsText" dxfId="367" priority="370" operator="containsText" text="zz">
      <formula>NOT(ISERROR(SEARCH("zz",G1102)))</formula>
    </cfRule>
  </conditionalFormatting>
  <conditionalFormatting sqref="J1082">
    <cfRule type="cellIs" dxfId="366" priority="356" operator="equal">
      <formula>""</formula>
    </cfRule>
  </conditionalFormatting>
  <conditionalFormatting sqref="G1104">
    <cfRule type="containsText" dxfId="365" priority="368" operator="containsText" text="zz">
      <formula>NOT(ISERROR(SEARCH("zz",G1104)))</formula>
    </cfRule>
  </conditionalFormatting>
  <conditionalFormatting sqref="J1105">
    <cfRule type="cellIs" dxfId="364" priority="366" operator="equal">
      <formula>""</formula>
    </cfRule>
  </conditionalFormatting>
  <conditionalFormatting sqref="G1105">
    <cfRule type="containsText" dxfId="363" priority="367" operator="containsText" text="zz">
      <formula>NOT(ISERROR(SEARCH("zz",G1105)))</formula>
    </cfRule>
  </conditionalFormatting>
  <conditionalFormatting sqref="J1108:J1109">
    <cfRule type="cellIs" dxfId="362" priority="364" operator="equal">
      <formula>""</formula>
    </cfRule>
  </conditionalFormatting>
  <conditionalFormatting sqref="G1108:G1109">
    <cfRule type="containsText" dxfId="361" priority="365" operator="containsText" text="zz">
      <formula>NOT(ISERROR(SEARCH("zz",G1108)))</formula>
    </cfRule>
  </conditionalFormatting>
  <conditionalFormatting sqref="J1114">
    <cfRule type="cellIs" dxfId="360" priority="343" operator="equal">
      <formula>""</formula>
    </cfRule>
  </conditionalFormatting>
  <conditionalFormatting sqref="J1110">
    <cfRule type="cellIs" dxfId="359" priority="363" operator="equal">
      <formula>""</formula>
    </cfRule>
  </conditionalFormatting>
  <conditionalFormatting sqref="G1110">
    <cfRule type="containsText" dxfId="358" priority="362" operator="containsText" text="zz">
      <formula>NOT(ISERROR(SEARCH("zz",G1110)))</formula>
    </cfRule>
  </conditionalFormatting>
  <conditionalFormatting sqref="G1084">
    <cfRule type="containsText" dxfId="357" priority="361" operator="containsText" text="zz">
      <formula>NOT(ISERROR(SEARCH("zz",G1084)))</formula>
    </cfRule>
  </conditionalFormatting>
  <conditionalFormatting sqref="J1142">
    <cfRule type="cellIs" dxfId="356" priority="335" operator="equal">
      <formula>""</formula>
    </cfRule>
  </conditionalFormatting>
  <conditionalFormatting sqref="G1080">
    <cfRule type="containsText" dxfId="355" priority="359" operator="containsText" text="zz">
      <formula>NOT(ISERROR(SEARCH("zz",G1080)))</formula>
    </cfRule>
  </conditionalFormatting>
  <conditionalFormatting sqref="J1080">
    <cfRule type="cellIs" dxfId="354" priority="358" operator="equal">
      <formula>""</formula>
    </cfRule>
  </conditionalFormatting>
  <conditionalFormatting sqref="G1082">
    <cfRule type="containsText" dxfId="353" priority="357" operator="containsText" text="zz">
      <formula>NOT(ISERROR(SEARCH("zz",G1082)))</formula>
    </cfRule>
  </conditionalFormatting>
  <conditionalFormatting sqref="G1086:G1088">
    <cfRule type="containsText" dxfId="352" priority="355" operator="containsText" text="zz">
      <formula>NOT(ISERROR(SEARCH("zz",G1086)))</formula>
    </cfRule>
  </conditionalFormatting>
  <conditionalFormatting sqref="G1085">
    <cfRule type="containsText" dxfId="351" priority="353" operator="containsText" text="zz">
      <formula>NOT(ISERROR(SEARCH("zz",G1085)))</formula>
    </cfRule>
  </conditionalFormatting>
  <conditionalFormatting sqref="G1085">
    <cfRule type="containsText" dxfId="350" priority="354" operator="containsText" text="zz">
      <formula>NOT(ISERROR(SEARCH("zz",G1085)))</formula>
    </cfRule>
  </conditionalFormatting>
  <conditionalFormatting sqref="G1081">
    <cfRule type="containsText" dxfId="349" priority="352" operator="containsText" text="zz">
      <formula>NOT(ISERROR(SEARCH("zz",G1081)))</formula>
    </cfRule>
  </conditionalFormatting>
  <conditionalFormatting sqref="J1081">
    <cfRule type="cellIs" dxfId="348" priority="351" operator="equal">
      <formula>""</formula>
    </cfRule>
  </conditionalFormatting>
  <conditionalFormatting sqref="G1083">
    <cfRule type="containsText" dxfId="347" priority="350" operator="containsText" text="zz">
      <formula>NOT(ISERROR(SEARCH("zz",G1083)))</formula>
    </cfRule>
  </conditionalFormatting>
  <conditionalFormatting sqref="J1083">
    <cfRule type="cellIs" dxfId="346" priority="349" operator="equal">
      <formula>""</formula>
    </cfRule>
  </conditionalFormatting>
  <conditionalFormatting sqref="G1112">
    <cfRule type="containsText" dxfId="345" priority="348" operator="containsText" text="zz">
      <formula>NOT(ISERROR(SEARCH("zz",G1112)))</formula>
    </cfRule>
  </conditionalFormatting>
  <conditionalFormatting sqref="J1112">
    <cfRule type="cellIs" dxfId="344" priority="347" operator="equal">
      <formula>""</formula>
    </cfRule>
  </conditionalFormatting>
  <conditionalFormatting sqref="G1106">
    <cfRule type="containsText" dxfId="343" priority="346" operator="containsText" text="zz">
      <formula>NOT(ISERROR(SEARCH("zz",G1106)))</formula>
    </cfRule>
  </conditionalFormatting>
  <conditionalFormatting sqref="J1106">
    <cfRule type="cellIs" dxfId="342" priority="345" operator="equal">
      <formula>""</formula>
    </cfRule>
  </conditionalFormatting>
  <conditionalFormatting sqref="J1160">
    <cfRule type="cellIs" dxfId="341" priority="312" operator="equal">
      <formula>""</formula>
    </cfRule>
  </conditionalFormatting>
  <conditionalFormatting sqref="G1114">
    <cfRule type="containsText" dxfId="340" priority="344" operator="containsText" text="zz">
      <formula>NOT(ISERROR(SEARCH("zz",G1114)))</formula>
    </cfRule>
  </conditionalFormatting>
  <conditionalFormatting sqref="J1120:J1123 J1126:J1139 J1150:J1159 J1163">
    <cfRule type="cellIs" dxfId="339" priority="342" operator="equal">
      <formula>""</formula>
    </cfRule>
  </conditionalFormatting>
  <conditionalFormatting sqref="G1077">
    <cfRule type="containsText" dxfId="338" priority="341" operator="containsText" text="zz">
      <formula>NOT(ISERROR(SEARCH("zz",G1077)))</formula>
    </cfRule>
  </conditionalFormatting>
  <conditionalFormatting sqref="J1077">
    <cfRule type="cellIs" dxfId="337" priority="340" operator="equal">
      <formula>""</formula>
    </cfRule>
  </conditionalFormatting>
  <conditionalFormatting sqref="G1111">
    <cfRule type="containsText" dxfId="336" priority="339" operator="containsText" text="zz">
      <formula>NOT(ISERROR(SEARCH("zz",G1111)))</formula>
    </cfRule>
  </conditionalFormatting>
  <conditionalFormatting sqref="J1111">
    <cfRule type="cellIs" dxfId="335" priority="338" operator="equal">
      <formula>""</formula>
    </cfRule>
  </conditionalFormatting>
  <conditionalFormatting sqref="G1124">
    <cfRule type="containsText" dxfId="334" priority="337" operator="containsText" text="zz">
      <formula>NOT(ISERROR(SEARCH("zz",G1124)))</formula>
    </cfRule>
  </conditionalFormatting>
  <conditionalFormatting sqref="J1124">
    <cfRule type="cellIs" dxfId="333" priority="336" operator="equal">
      <formula>""</formula>
    </cfRule>
  </conditionalFormatting>
  <conditionalFormatting sqref="G1145">
    <cfRule type="containsText" dxfId="332" priority="325" operator="containsText" text="zz">
      <formula>NOT(ISERROR(SEARCH("zz",G1145)))</formula>
    </cfRule>
  </conditionalFormatting>
  <conditionalFormatting sqref="J1145">
    <cfRule type="cellIs" dxfId="331" priority="324" operator="equal">
      <formula>""</formula>
    </cfRule>
  </conditionalFormatting>
  <conditionalFormatting sqref="G1142">
    <cfRule type="containsText" dxfId="330" priority="334" operator="containsText" text="zz">
      <formula>NOT(ISERROR(SEARCH("zz",G1142)))</formula>
    </cfRule>
  </conditionalFormatting>
  <conditionalFormatting sqref="G1143">
    <cfRule type="containsText" dxfId="329" priority="333" operator="containsText" text="zz">
      <formula>NOT(ISERROR(SEARCH("zz",G1143)))</formula>
    </cfRule>
  </conditionalFormatting>
  <conditionalFormatting sqref="J1143">
    <cfRule type="cellIs" dxfId="328" priority="332" operator="equal">
      <formula>""</formula>
    </cfRule>
  </conditionalFormatting>
  <conditionalFormatting sqref="J1144">
    <cfRule type="cellIs" dxfId="327" priority="330" operator="equal">
      <formula>""</formula>
    </cfRule>
  </conditionalFormatting>
  <conditionalFormatting sqref="G1144">
    <cfRule type="containsText" dxfId="326" priority="331" operator="containsText" text="zz">
      <formula>NOT(ISERROR(SEARCH("zz",G1144)))</formula>
    </cfRule>
  </conditionalFormatting>
  <conditionalFormatting sqref="G1140">
    <cfRule type="containsText" dxfId="325" priority="329" operator="containsText" text="zz">
      <formula>NOT(ISERROR(SEARCH("zz",G1140)))</formula>
    </cfRule>
  </conditionalFormatting>
  <conditionalFormatting sqref="J1140">
    <cfRule type="cellIs" dxfId="324" priority="328" operator="equal">
      <formula>""</formula>
    </cfRule>
  </conditionalFormatting>
  <conditionalFormatting sqref="G1141">
    <cfRule type="containsText" dxfId="323" priority="327" operator="containsText" text="zz">
      <formula>NOT(ISERROR(SEARCH("zz",G1141)))</formula>
    </cfRule>
  </conditionalFormatting>
  <conditionalFormatting sqref="J1141">
    <cfRule type="cellIs" dxfId="322" priority="326" operator="equal">
      <formula>""</formula>
    </cfRule>
  </conditionalFormatting>
  <conditionalFormatting sqref="J1147">
    <cfRule type="cellIs" dxfId="321" priority="320" operator="equal">
      <formula>""</formula>
    </cfRule>
  </conditionalFormatting>
  <conditionalFormatting sqref="G1147">
    <cfRule type="containsText" dxfId="320" priority="321" operator="containsText" text="zz">
      <formula>NOT(ISERROR(SEARCH("zz",G1147)))</formula>
    </cfRule>
  </conditionalFormatting>
  <conditionalFormatting sqref="G1146">
    <cfRule type="containsText" dxfId="319" priority="323" operator="containsText" text="zz">
      <formula>NOT(ISERROR(SEARCH("zz",G1146)))</formula>
    </cfRule>
  </conditionalFormatting>
  <conditionalFormatting sqref="J1146">
    <cfRule type="cellIs" dxfId="318" priority="322" operator="equal">
      <formula>""</formula>
    </cfRule>
  </conditionalFormatting>
  <conditionalFormatting sqref="G1148">
    <cfRule type="containsText" dxfId="317" priority="319" operator="containsText" text="zz">
      <formula>NOT(ISERROR(SEARCH("zz",G1148)))</formula>
    </cfRule>
  </conditionalFormatting>
  <conditionalFormatting sqref="J1148">
    <cfRule type="cellIs" dxfId="316" priority="318" operator="equal">
      <formula>""</formula>
    </cfRule>
  </conditionalFormatting>
  <conditionalFormatting sqref="G1149">
    <cfRule type="containsText" dxfId="315" priority="317" operator="containsText" text="zz">
      <formula>NOT(ISERROR(SEARCH("zz",G1149)))</formula>
    </cfRule>
  </conditionalFormatting>
  <conditionalFormatting sqref="J1149">
    <cfRule type="cellIs" dxfId="314" priority="316" operator="equal">
      <formula>""</formula>
    </cfRule>
  </conditionalFormatting>
  <conditionalFormatting sqref="G1161">
    <cfRule type="containsText" dxfId="313" priority="315" operator="containsText" text="zz">
      <formula>NOT(ISERROR(SEARCH("zz",G1161)))</formula>
    </cfRule>
  </conditionalFormatting>
  <conditionalFormatting sqref="J1161">
    <cfRule type="cellIs" dxfId="312" priority="314" operator="equal">
      <formula>""</formula>
    </cfRule>
  </conditionalFormatting>
  <conditionalFormatting sqref="G1160">
    <cfRule type="containsText" dxfId="311" priority="313" operator="containsText" text="zz">
      <formula>NOT(ISERROR(SEARCH("zz",G1160)))</formula>
    </cfRule>
  </conditionalFormatting>
  <conditionalFormatting sqref="G1162">
    <cfRule type="containsText" dxfId="310" priority="311" operator="containsText" text="zz">
      <formula>NOT(ISERROR(SEARCH("zz",G1162)))</formula>
    </cfRule>
  </conditionalFormatting>
  <conditionalFormatting sqref="J1162">
    <cfRule type="cellIs" dxfId="309" priority="310" operator="equal">
      <formula>""</formula>
    </cfRule>
  </conditionalFormatting>
  <conditionalFormatting sqref="G1164">
    <cfRule type="containsText" dxfId="308" priority="309" operator="containsText" text="zz">
      <formula>NOT(ISERROR(SEARCH("zz",G1164)))</formula>
    </cfRule>
  </conditionalFormatting>
  <conditionalFormatting sqref="J1164">
    <cfRule type="cellIs" dxfId="307" priority="308" operator="equal">
      <formula>""</formula>
    </cfRule>
  </conditionalFormatting>
  <conditionalFormatting sqref="J1165">
    <cfRule type="cellIs" dxfId="306" priority="307" operator="equal">
      <formula>""</formula>
    </cfRule>
  </conditionalFormatting>
  <conditionalFormatting sqref="G1165">
    <cfRule type="containsText" dxfId="305" priority="305" operator="containsText" text="zz">
      <formula>NOT(ISERROR(SEARCH("zz",G1165)))</formula>
    </cfRule>
  </conditionalFormatting>
  <conditionalFormatting sqref="G1165">
    <cfRule type="containsText" dxfId="304" priority="306" operator="containsText" text="zz">
      <formula>NOT(ISERROR(SEARCH("zz",G1165)))</formula>
    </cfRule>
  </conditionalFormatting>
  <conditionalFormatting sqref="G1166">
    <cfRule type="containsText" dxfId="303" priority="304" operator="containsText" text="zz">
      <formula>NOT(ISERROR(SEARCH("zz",G1166)))</formula>
    </cfRule>
  </conditionalFormatting>
  <conditionalFormatting sqref="J1166">
    <cfRule type="cellIs" dxfId="302" priority="303" operator="equal">
      <formula>""</formula>
    </cfRule>
  </conditionalFormatting>
  <conditionalFormatting sqref="G1167">
    <cfRule type="containsText" dxfId="301" priority="302" operator="containsText" text="zz">
      <formula>NOT(ISERROR(SEARCH("zz",G1167)))</formula>
    </cfRule>
  </conditionalFormatting>
  <conditionalFormatting sqref="J1167">
    <cfRule type="cellIs" dxfId="300" priority="301" operator="equal">
      <formula>""</formula>
    </cfRule>
  </conditionalFormatting>
  <conditionalFormatting sqref="G1180">
    <cfRule type="containsText" dxfId="299" priority="300" operator="containsText" text="zz">
      <formula>NOT(ISERROR(SEARCH("zz",G1180)))</formula>
    </cfRule>
  </conditionalFormatting>
  <conditionalFormatting sqref="J1180">
    <cfRule type="cellIs" dxfId="298" priority="299" operator="equal">
      <formula>""</formula>
    </cfRule>
  </conditionalFormatting>
  <conditionalFormatting sqref="G1181">
    <cfRule type="containsText" dxfId="297" priority="298" operator="containsText" text="zz">
      <formula>NOT(ISERROR(SEARCH("zz",G1181)))</formula>
    </cfRule>
  </conditionalFormatting>
  <conditionalFormatting sqref="J1181">
    <cfRule type="cellIs" dxfId="296" priority="297" operator="equal">
      <formula>""</formula>
    </cfRule>
  </conditionalFormatting>
  <conditionalFormatting sqref="J1175">
    <cfRule type="cellIs" dxfId="295" priority="296" operator="equal">
      <formula>""</formula>
    </cfRule>
  </conditionalFormatting>
  <conditionalFormatting sqref="G1175">
    <cfRule type="containsText" dxfId="294" priority="295" operator="containsText" text="zz">
      <formula>NOT(ISERROR(SEARCH("zz",G1175)))</formula>
    </cfRule>
  </conditionalFormatting>
  <conditionalFormatting sqref="G1174">
    <cfRule type="containsText" dxfId="293" priority="294" operator="containsText" text="zz">
      <formula>NOT(ISERROR(SEARCH("zz",G1174)))</formula>
    </cfRule>
  </conditionalFormatting>
  <conditionalFormatting sqref="J1182">
    <cfRule type="cellIs" dxfId="292" priority="292" operator="equal">
      <formula>""</formula>
    </cfRule>
  </conditionalFormatting>
  <conditionalFormatting sqref="G1182">
    <cfRule type="containsText" dxfId="291" priority="293" operator="containsText" text="zz">
      <formula>NOT(ISERROR(SEARCH("zz",G1182)))</formula>
    </cfRule>
  </conditionalFormatting>
  <conditionalFormatting sqref="J1176 J1179">
    <cfRule type="cellIs" dxfId="290" priority="290" operator="equal">
      <formula>""</formula>
    </cfRule>
  </conditionalFormatting>
  <conditionalFormatting sqref="G1176 G1179">
    <cfRule type="containsText" dxfId="289" priority="291" operator="containsText" text="zz">
      <formula>NOT(ISERROR(SEARCH("zz",G1176)))</formula>
    </cfRule>
  </conditionalFormatting>
  <conditionalFormatting sqref="J1168">
    <cfRule type="cellIs" dxfId="288" priority="283" operator="equal">
      <formula>""</formula>
    </cfRule>
  </conditionalFormatting>
  <conditionalFormatting sqref="J550">
    <cfRule type="cellIs" dxfId="287" priority="288" operator="equal">
      <formula>""</formula>
    </cfRule>
  </conditionalFormatting>
  <conditionalFormatting sqref="G550">
    <cfRule type="containsText" dxfId="286" priority="289" operator="containsText" text="zz">
      <formula>NOT(ISERROR(SEARCH("zz",G550)))</formula>
    </cfRule>
  </conditionalFormatting>
  <conditionalFormatting sqref="G1188">
    <cfRule type="containsText" dxfId="285" priority="287" operator="containsText" text="zz">
      <formula>NOT(ISERROR(SEARCH("zz",G1188)))</formula>
    </cfRule>
  </conditionalFormatting>
  <conditionalFormatting sqref="J1218">
    <cfRule type="cellIs" dxfId="284" priority="286" operator="equal">
      <formula>""</formula>
    </cfRule>
  </conditionalFormatting>
  <conditionalFormatting sqref="G1218">
    <cfRule type="containsText" dxfId="283" priority="285" operator="containsText" text="zz">
      <formula>NOT(ISERROR(SEARCH("zz",G1218)))</formula>
    </cfRule>
  </conditionalFormatting>
  <conditionalFormatting sqref="G1168">
    <cfRule type="containsText" dxfId="282" priority="284" operator="containsText" text="zz">
      <formula>NOT(ISERROR(SEARCH("zz",G1168)))</formula>
    </cfRule>
  </conditionalFormatting>
  <conditionalFormatting sqref="J1195">
    <cfRule type="cellIs" dxfId="281" priority="265" operator="equal">
      <formula>""</formula>
    </cfRule>
  </conditionalFormatting>
  <conditionalFormatting sqref="G1177">
    <cfRule type="containsText" dxfId="280" priority="282" operator="containsText" text="zz">
      <formula>NOT(ISERROR(SEARCH("zz",G1177)))</formula>
    </cfRule>
  </conditionalFormatting>
  <conditionalFormatting sqref="J1177">
    <cfRule type="cellIs" dxfId="279" priority="281" operator="equal">
      <formula>""</formula>
    </cfRule>
  </conditionalFormatting>
  <conditionalFormatting sqref="G1184">
    <cfRule type="containsText" dxfId="278" priority="280" operator="containsText" text="zz">
      <formula>NOT(ISERROR(SEARCH("zz",G1184)))</formula>
    </cfRule>
  </conditionalFormatting>
  <conditionalFormatting sqref="J1184">
    <cfRule type="cellIs" dxfId="277" priority="279" operator="equal">
      <formula>""</formula>
    </cfRule>
  </conditionalFormatting>
  <conditionalFormatting sqref="G1189">
    <cfRule type="containsText" dxfId="276" priority="278" operator="containsText" text="zz">
      <formula>NOT(ISERROR(SEARCH("zz",G1189)))</formula>
    </cfRule>
  </conditionalFormatting>
  <conditionalFormatting sqref="J1189">
    <cfRule type="cellIs" dxfId="275" priority="277" operator="equal">
      <formula>""</formula>
    </cfRule>
  </conditionalFormatting>
  <conditionalFormatting sqref="G1183">
    <cfRule type="containsText" dxfId="274" priority="276" operator="containsText" text="zz">
      <formula>NOT(ISERROR(SEARCH("zz",G1183)))</formula>
    </cfRule>
  </conditionalFormatting>
  <conditionalFormatting sqref="J1183">
    <cfRule type="cellIs" dxfId="273" priority="275" operator="equal">
      <formula>""</formula>
    </cfRule>
  </conditionalFormatting>
  <conditionalFormatting sqref="G1190">
    <cfRule type="containsText" dxfId="272" priority="274" operator="containsText" text="zz">
      <formula>NOT(ISERROR(SEARCH("zz",G1190)))</formula>
    </cfRule>
  </conditionalFormatting>
  <conditionalFormatting sqref="J1190">
    <cfRule type="cellIs" dxfId="271" priority="273" operator="equal">
      <formula>""</formula>
    </cfRule>
  </conditionalFormatting>
  <conditionalFormatting sqref="G1185:G1186">
    <cfRule type="containsText" dxfId="270" priority="272" operator="containsText" text="zz">
      <formula>NOT(ISERROR(SEARCH("zz",G1185)))</formula>
    </cfRule>
  </conditionalFormatting>
  <conditionalFormatting sqref="J1185:J1186">
    <cfRule type="cellIs" dxfId="269" priority="271" operator="equal">
      <formula>""</formula>
    </cfRule>
  </conditionalFormatting>
  <conditionalFormatting sqref="G1212">
    <cfRule type="containsText" dxfId="268" priority="260" operator="containsText" text="zz">
      <formula>NOT(ISERROR(SEARCH("zz",G1212)))</formula>
    </cfRule>
  </conditionalFormatting>
  <conditionalFormatting sqref="J1212">
    <cfRule type="cellIs" dxfId="267" priority="259" operator="equal">
      <formula>""</formula>
    </cfRule>
  </conditionalFormatting>
  <conditionalFormatting sqref="J1193">
    <cfRule type="cellIs" dxfId="266" priority="270" operator="equal">
      <formula>""</formula>
    </cfRule>
  </conditionalFormatting>
  <conditionalFormatting sqref="G1193">
    <cfRule type="containsText" dxfId="265" priority="269" operator="containsText" text="zz">
      <formula>NOT(ISERROR(SEARCH("zz",G1193)))</formula>
    </cfRule>
  </conditionalFormatting>
  <conditionalFormatting sqref="G1194">
    <cfRule type="containsText" dxfId="264" priority="268" operator="containsText" text="zz">
      <formula>NOT(ISERROR(SEARCH("zz",G1194)))</formula>
    </cfRule>
  </conditionalFormatting>
  <conditionalFormatting sqref="J1194">
    <cfRule type="cellIs" dxfId="263" priority="267" operator="equal">
      <formula>""</formula>
    </cfRule>
  </conditionalFormatting>
  <conditionalFormatting sqref="J1191">
    <cfRule type="cellIs" dxfId="262" priority="263" operator="equal">
      <formula>""</formula>
    </cfRule>
  </conditionalFormatting>
  <conditionalFormatting sqref="G1195">
    <cfRule type="containsText" dxfId="261" priority="266" operator="containsText" text="zz">
      <formula>NOT(ISERROR(SEARCH("zz",G1195)))</formula>
    </cfRule>
  </conditionalFormatting>
  <conditionalFormatting sqref="G1191">
    <cfRule type="containsText" dxfId="260" priority="264" operator="containsText" text="zz">
      <formula>NOT(ISERROR(SEARCH("zz",G1191)))</formula>
    </cfRule>
  </conditionalFormatting>
  <conditionalFormatting sqref="J1192">
    <cfRule type="cellIs" dxfId="259" priority="261" operator="equal">
      <formula>""</formula>
    </cfRule>
  </conditionalFormatting>
  <conditionalFormatting sqref="G1192">
    <cfRule type="containsText" dxfId="258" priority="262" operator="containsText" text="zz">
      <formula>NOT(ISERROR(SEARCH("zz",G1192)))</formula>
    </cfRule>
  </conditionalFormatting>
  <conditionalFormatting sqref="J1224">
    <cfRule type="cellIs" dxfId="257" priority="240" operator="equal">
      <formula>""</formula>
    </cfRule>
  </conditionalFormatting>
  <conditionalFormatting sqref="G1210">
    <cfRule type="containsText" dxfId="256" priority="258" operator="containsText" text="zz">
      <formula>NOT(ISERROR(SEARCH("zz",G1210)))</formula>
    </cfRule>
  </conditionalFormatting>
  <conditionalFormatting sqref="J1210">
    <cfRule type="cellIs" dxfId="255" priority="257" operator="equal">
      <formula>""</formula>
    </cfRule>
  </conditionalFormatting>
  <conditionalFormatting sqref="G1211">
    <cfRule type="containsText" dxfId="254" priority="256" operator="containsText" text="zz">
      <formula>NOT(ISERROR(SEARCH("zz",G1211)))</formula>
    </cfRule>
  </conditionalFormatting>
  <conditionalFormatting sqref="J1211">
    <cfRule type="cellIs" dxfId="253" priority="255" operator="equal">
      <formula>""</formula>
    </cfRule>
  </conditionalFormatting>
  <conditionalFormatting sqref="G1213">
    <cfRule type="containsText" dxfId="252" priority="254" operator="containsText" text="zz">
      <formula>NOT(ISERROR(SEARCH("zz",G1213)))</formula>
    </cfRule>
  </conditionalFormatting>
  <conditionalFormatting sqref="J1213">
    <cfRule type="cellIs" dxfId="251" priority="253" operator="equal">
      <formula>""</formula>
    </cfRule>
  </conditionalFormatting>
  <conditionalFormatting sqref="G1219">
    <cfRule type="containsText" dxfId="250" priority="252" operator="containsText" text="zz">
      <formula>NOT(ISERROR(SEARCH("zz",G1219)))</formula>
    </cfRule>
  </conditionalFormatting>
  <conditionalFormatting sqref="J1219">
    <cfRule type="cellIs" dxfId="249" priority="251" operator="equal">
      <formula>""</formula>
    </cfRule>
  </conditionalFormatting>
  <conditionalFormatting sqref="G1220">
    <cfRule type="containsText" dxfId="248" priority="250" operator="containsText" text="zz">
      <formula>NOT(ISERROR(SEARCH("zz",G1220)))</formula>
    </cfRule>
  </conditionalFormatting>
  <conditionalFormatting sqref="J1220">
    <cfRule type="cellIs" dxfId="247" priority="249" operator="equal">
      <formula>""</formula>
    </cfRule>
  </conditionalFormatting>
  <conditionalFormatting sqref="G1221">
    <cfRule type="containsText" dxfId="246" priority="248" operator="containsText" text="zz">
      <formula>NOT(ISERROR(SEARCH("zz",G1221)))</formula>
    </cfRule>
  </conditionalFormatting>
  <conditionalFormatting sqref="J1221">
    <cfRule type="cellIs" dxfId="245" priority="247" operator="equal">
      <formula>""</formula>
    </cfRule>
  </conditionalFormatting>
  <conditionalFormatting sqref="G1222">
    <cfRule type="containsText" dxfId="244" priority="246" operator="containsText" text="zz">
      <formula>NOT(ISERROR(SEARCH("zz",G1222)))</formula>
    </cfRule>
  </conditionalFormatting>
  <conditionalFormatting sqref="J1222">
    <cfRule type="cellIs" dxfId="243" priority="245" operator="equal">
      <formula>""</formula>
    </cfRule>
  </conditionalFormatting>
  <conditionalFormatting sqref="J1223">
    <cfRule type="cellIs" dxfId="242" priority="244" operator="equal">
      <formula>""</formula>
    </cfRule>
  </conditionalFormatting>
  <conditionalFormatting sqref="G1223">
    <cfRule type="containsText" dxfId="241" priority="242" operator="containsText" text="zz">
      <formula>NOT(ISERROR(SEARCH("zz",G1223)))</formula>
    </cfRule>
  </conditionalFormatting>
  <conditionalFormatting sqref="G1223">
    <cfRule type="containsText" dxfId="240" priority="243" operator="containsText" text="zz">
      <formula>NOT(ISERROR(SEARCH("zz",G1223)))</formula>
    </cfRule>
  </conditionalFormatting>
  <conditionalFormatting sqref="G1224">
    <cfRule type="containsText" dxfId="239" priority="241" operator="containsText" text="zz">
      <formula>NOT(ISERROR(SEARCH("zz",G1224)))</formula>
    </cfRule>
  </conditionalFormatting>
  <conditionalFormatting sqref="J1253">
    <cfRule type="cellIs" dxfId="238" priority="206" operator="equal">
      <formula>""</formula>
    </cfRule>
  </conditionalFormatting>
  <conditionalFormatting sqref="G1225">
    <cfRule type="containsText" dxfId="237" priority="239" operator="containsText" text="zz">
      <formula>NOT(ISERROR(SEARCH("zz",G1225)))</formula>
    </cfRule>
  </conditionalFormatting>
  <conditionalFormatting sqref="J1225">
    <cfRule type="cellIs" dxfId="236" priority="238" operator="equal">
      <formula>""</formula>
    </cfRule>
  </conditionalFormatting>
  <conditionalFormatting sqref="G1197">
    <cfRule type="containsText" dxfId="235" priority="237" operator="containsText" text="zz">
      <formula>NOT(ISERROR(SEARCH("zz",G1197)))</formula>
    </cfRule>
  </conditionalFormatting>
  <conditionalFormatting sqref="J1197">
    <cfRule type="cellIs" dxfId="234" priority="236" operator="equal">
      <formula>""</formula>
    </cfRule>
  </conditionalFormatting>
  <conditionalFormatting sqref="G1204">
    <cfRule type="containsText" dxfId="233" priority="235" operator="containsText" text="zz">
      <formula>NOT(ISERROR(SEARCH("zz",G1204)))</formula>
    </cfRule>
  </conditionalFormatting>
  <conditionalFormatting sqref="J1204">
    <cfRule type="cellIs" dxfId="232" priority="234" operator="equal">
      <formula>""</formula>
    </cfRule>
  </conditionalFormatting>
  <conditionalFormatting sqref="G1214">
    <cfRule type="containsText" dxfId="231" priority="233" operator="containsText" text="zz">
      <formula>NOT(ISERROR(SEARCH("zz",G1214)))</formula>
    </cfRule>
  </conditionalFormatting>
  <conditionalFormatting sqref="J1214">
    <cfRule type="cellIs" dxfId="230" priority="232" operator="equal">
      <formula>""</formula>
    </cfRule>
  </conditionalFormatting>
  <conditionalFormatting sqref="G1226">
    <cfRule type="containsText" dxfId="229" priority="231" operator="containsText" text="zz">
      <formula>NOT(ISERROR(SEARCH("zz",G1226)))</formula>
    </cfRule>
  </conditionalFormatting>
  <conditionalFormatting sqref="J1226">
    <cfRule type="cellIs" dxfId="228" priority="230" operator="equal">
      <formula>""</formula>
    </cfRule>
  </conditionalFormatting>
  <conditionalFormatting sqref="G1227">
    <cfRule type="containsText" dxfId="227" priority="229" operator="containsText" text="zz">
      <formula>NOT(ISERROR(SEARCH("zz",G1227)))</formula>
    </cfRule>
  </conditionalFormatting>
  <conditionalFormatting sqref="J1227">
    <cfRule type="cellIs" dxfId="226" priority="228" operator="equal">
      <formula>""</formula>
    </cfRule>
  </conditionalFormatting>
  <conditionalFormatting sqref="G1229">
    <cfRule type="containsText" dxfId="225" priority="227" operator="containsText" text="zz">
      <formula>NOT(ISERROR(SEARCH("zz",G1229)))</formula>
    </cfRule>
  </conditionalFormatting>
  <conditionalFormatting sqref="J1229">
    <cfRule type="cellIs" dxfId="224" priority="226" operator="equal">
      <formula>""</formula>
    </cfRule>
  </conditionalFormatting>
  <conditionalFormatting sqref="G1230">
    <cfRule type="containsText" dxfId="223" priority="225" operator="containsText" text="zz">
      <formula>NOT(ISERROR(SEARCH("zz",G1230)))</formula>
    </cfRule>
  </conditionalFormatting>
  <conditionalFormatting sqref="J1230">
    <cfRule type="cellIs" dxfId="222" priority="224" operator="equal">
      <formula>""</formula>
    </cfRule>
  </conditionalFormatting>
  <conditionalFormatting sqref="G1231">
    <cfRule type="containsText" dxfId="221" priority="223" operator="containsText" text="zz">
      <formula>NOT(ISERROR(SEARCH("zz",G1231)))</formula>
    </cfRule>
  </conditionalFormatting>
  <conditionalFormatting sqref="J1231">
    <cfRule type="cellIs" dxfId="220" priority="222" operator="equal">
      <formula>""</formula>
    </cfRule>
  </conditionalFormatting>
  <conditionalFormatting sqref="J1174 J1104 J1060 J1007:J1008 J947 J941 J901:J902 J836 J813 J757 J680 J670 J647 J612 J567 J549 J474:J475">
    <cfRule type="cellIs" dxfId="219" priority="221" operator="equal">
      <formula>""</formula>
    </cfRule>
  </conditionalFormatting>
  <conditionalFormatting sqref="G1232">
    <cfRule type="containsText" dxfId="218" priority="220" operator="containsText" text="zz">
      <formula>NOT(ISERROR(SEARCH("zz",G1232)))</formula>
    </cfRule>
  </conditionalFormatting>
  <conditionalFormatting sqref="J1232">
    <cfRule type="cellIs" dxfId="217" priority="219" operator="equal">
      <formula>""</formula>
    </cfRule>
  </conditionalFormatting>
  <conditionalFormatting sqref="J1237">
    <cfRule type="cellIs" dxfId="216" priority="218" operator="equal">
      <formula>""</formula>
    </cfRule>
  </conditionalFormatting>
  <conditionalFormatting sqref="G1237 G1243">
    <cfRule type="containsText" dxfId="215" priority="217" operator="containsText" text="zz">
      <formula>NOT(ISERROR(SEARCH("zz",G1237)))</formula>
    </cfRule>
  </conditionalFormatting>
  <conditionalFormatting sqref="G1238:G1239">
    <cfRule type="containsText" dxfId="214" priority="216" operator="containsText" text="zz">
      <formula>NOT(ISERROR(SEARCH("zz",G1238)))</formula>
    </cfRule>
  </conditionalFormatting>
  <conditionalFormatting sqref="J1238:J1239">
    <cfRule type="cellIs" dxfId="213" priority="215" operator="equal">
      <formula>""</formula>
    </cfRule>
  </conditionalFormatting>
  <conditionalFormatting sqref="G1240">
    <cfRule type="containsText" dxfId="212" priority="214" operator="containsText" text="zz">
      <formula>NOT(ISERROR(SEARCH("zz",G1240)))</formula>
    </cfRule>
  </conditionalFormatting>
  <conditionalFormatting sqref="J1240">
    <cfRule type="cellIs" dxfId="211" priority="213" operator="equal">
      <formula>""</formula>
    </cfRule>
  </conditionalFormatting>
  <conditionalFormatting sqref="G1241">
    <cfRule type="containsText" dxfId="210" priority="212" operator="containsText" text="zz">
      <formula>NOT(ISERROR(SEARCH("zz",G1241)))</formula>
    </cfRule>
  </conditionalFormatting>
  <conditionalFormatting sqref="J1241">
    <cfRule type="cellIs" dxfId="209" priority="211" operator="equal">
      <formula>""</formula>
    </cfRule>
  </conditionalFormatting>
  <conditionalFormatting sqref="G1242">
    <cfRule type="containsText" dxfId="208" priority="210" operator="containsText" text="zz">
      <formula>NOT(ISERROR(SEARCH("zz",G1242)))</formula>
    </cfRule>
  </conditionalFormatting>
  <conditionalFormatting sqref="J1242">
    <cfRule type="cellIs" dxfId="207" priority="209" operator="equal">
      <formula>""</formula>
    </cfRule>
  </conditionalFormatting>
  <conditionalFormatting sqref="J1243">
    <cfRule type="cellIs" dxfId="206" priority="208" operator="equal">
      <formula>""</formula>
    </cfRule>
  </conditionalFormatting>
  <conditionalFormatting sqref="G1253">
    <cfRule type="containsText" dxfId="205" priority="207" operator="containsText" text="zz">
      <formula>NOT(ISERROR(SEARCH("zz",G1253)))</formula>
    </cfRule>
  </conditionalFormatting>
  <conditionalFormatting sqref="J1247">
    <cfRule type="cellIs" dxfId="204" priority="202" operator="equal">
      <formula>""</formula>
    </cfRule>
  </conditionalFormatting>
  <conditionalFormatting sqref="J1246">
    <cfRule type="cellIs" dxfId="203" priority="205" operator="equal">
      <formula>""</formula>
    </cfRule>
  </conditionalFormatting>
  <conditionalFormatting sqref="G1246">
    <cfRule type="containsText" dxfId="202" priority="204" operator="containsText" text="zz">
      <formula>NOT(ISERROR(SEARCH("zz",G1246)))</formula>
    </cfRule>
  </conditionalFormatting>
  <conditionalFormatting sqref="G1247">
    <cfRule type="containsText" dxfId="201" priority="203" operator="containsText" text="zz">
      <formula>NOT(ISERROR(SEARCH("zz",G1247)))</formula>
    </cfRule>
  </conditionalFormatting>
  <conditionalFormatting sqref="J1248">
    <cfRule type="cellIs" dxfId="200" priority="200" operator="equal">
      <formula>""</formula>
    </cfRule>
  </conditionalFormatting>
  <conditionalFormatting sqref="J1244">
    <cfRule type="cellIs" dxfId="199" priority="198" operator="equal">
      <formula>""</formula>
    </cfRule>
  </conditionalFormatting>
  <conditionalFormatting sqref="G1248">
    <cfRule type="containsText" dxfId="198" priority="201" operator="containsText" text="zz">
      <formula>NOT(ISERROR(SEARCH("zz",G1248)))</formula>
    </cfRule>
  </conditionalFormatting>
  <conditionalFormatting sqref="G1244">
    <cfRule type="containsText" dxfId="197" priority="199" operator="containsText" text="zz">
      <formula>NOT(ISERROR(SEARCH("zz",G1244)))</formula>
    </cfRule>
  </conditionalFormatting>
  <conditionalFormatting sqref="J1258">
    <cfRule type="cellIs" dxfId="196" priority="180" operator="equal">
      <formula>""</formula>
    </cfRule>
  </conditionalFormatting>
  <conditionalFormatting sqref="G1245">
    <cfRule type="containsText" dxfId="195" priority="197" operator="containsText" text="zz">
      <formula>NOT(ISERROR(SEARCH("zz",G1245)))</formula>
    </cfRule>
  </conditionalFormatting>
  <conditionalFormatting sqref="J1245">
    <cfRule type="cellIs" dxfId="194" priority="196" operator="equal">
      <formula>""</formula>
    </cfRule>
  </conditionalFormatting>
  <conditionalFormatting sqref="J1249">
    <cfRule type="cellIs" dxfId="193" priority="194" operator="equal">
      <formula>""</formula>
    </cfRule>
  </conditionalFormatting>
  <conditionalFormatting sqref="G1249">
    <cfRule type="containsText" dxfId="192" priority="195" operator="containsText" text="zz">
      <formula>NOT(ISERROR(SEARCH("zz",G1249)))</formula>
    </cfRule>
  </conditionalFormatting>
  <conditionalFormatting sqref="G1252">
    <cfRule type="containsText" dxfId="191" priority="193" operator="containsText" text="zz">
      <formula>NOT(ISERROR(SEARCH("zz",G1252)))</formula>
    </cfRule>
  </conditionalFormatting>
  <conditionalFormatting sqref="J1252">
    <cfRule type="cellIs" dxfId="190" priority="192" operator="equal">
      <formula>""</formula>
    </cfRule>
  </conditionalFormatting>
  <conditionalFormatting sqref="G1250:G1251">
    <cfRule type="containsText" dxfId="189" priority="191" operator="containsText" text="zz">
      <formula>NOT(ISERROR(SEARCH("zz",G1250)))</formula>
    </cfRule>
  </conditionalFormatting>
  <conditionalFormatting sqref="J1250:J1251">
    <cfRule type="cellIs" dxfId="188" priority="190" operator="equal">
      <formula>""</formula>
    </cfRule>
  </conditionalFormatting>
  <conditionalFormatting sqref="G1255">
    <cfRule type="containsText" dxfId="187" priority="189" operator="containsText" text="zz">
      <formula>NOT(ISERROR(SEARCH("zz",G1255)))</formula>
    </cfRule>
  </conditionalFormatting>
  <conditionalFormatting sqref="J1255">
    <cfRule type="cellIs" dxfId="186" priority="188" operator="equal">
      <formula>""</formula>
    </cfRule>
  </conditionalFormatting>
  <conditionalFormatting sqref="G1256">
    <cfRule type="containsText" dxfId="185" priority="187" operator="containsText" text="zz">
      <formula>NOT(ISERROR(SEARCH("zz",G1256)))</formula>
    </cfRule>
  </conditionalFormatting>
  <conditionalFormatting sqref="J1256">
    <cfRule type="cellIs" dxfId="184" priority="186" operator="equal">
      <formula>""</formula>
    </cfRule>
  </conditionalFormatting>
  <conditionalFormatting sqref="G1257">
    <cfRule type="containsText" dxfId="183" priority="185" operator="containsText" text="zz">
      <formula>NOT(ISERROR(SEARCH("zz",G1257)))</formula>
    </cfRule>
  </conditionalFormatting>
  <conditionalFormatting sqref="J1257">
    <cfRule type="cellIs" dxfId="182" priority="184" operator="equal">
      <formula>""</formula>
    </cfRule>
  </conditionalFormatting>
  <conditionalFormatting sqref="G1259">
    <cfRule type="containsText" dxfId="181" priority="183" operator="containsText" text="zz">
      <formula>NOT(ISERROR(SEARCH("zz",G1259)))</formula>
    </cfRule>
  </conditionalFormatting>
  <conditionalFormatting sqref="J1259">
    <cfRule type="cellIs" dxfId="180" priority="182" operator="equal">
      <formula>""</formula>
    </cfRule>
  </conditionalFormatting>
  <conditionalFormatting sqref="G1258">
    <cfRule type="containsText" dxfId="179" priority="181" operator="containsText" text="zz">
      <formula>NOT(ISERROR(SEARCH("zz",G1258)))</formula>
    </cfRule>
  </conditionalFormatting>
  <conditionalFormatting sqref="G1268">
    <cfRule type="containsText" dxfId="178" priority="179" operator="containsText" text="zz">
      <formula>NOT(ISERROR(SEARCH("zz",G1268)))</formula>
    </cfRule>
  </conditionalFormatting>
  <conditionalFormatting sqref="J1268">
    <cfRule type="cellIs" dxfId="177" priority="178" operator="equal">
      <formula>""</formula>
    </cfRule>
  </conditionalFormatting>
  <conditionalFormatting sqref="G1269">
    <cfRule type="containsText" dxfId="176" priority="177" operator="containsText" text="zz">
      <formula>NOT(ISERROR(SEARCH("zz",G1269)))</formula>
    </cfRule>
  </conditionalFormatting>
  <conditionalFormatting sqref="J1269">
    <cfRule type="cellIs" dxfId="175" priority="176" operator="equal">
      <formula>""</formula>
    </cfRule>
  </conditionalFormatting>
  <conditionalFormatting sqref="G1270">
    <cfRule type="containsText" dxfId="174" priority="175" operator="containsText" text="zz">
      <formula>NOT(ISERROR(SEARCH("zz",G1270)))</formula>
    </cfRule>
  </conditionalFormatting>
  <conditionalFormatting sqref="J1270">
    <cfRule type="cellIs" dxfId="173" priority="174" operator="equal">
      <formula>""</formula>
    </cfRule>
  </conditionalFormatting>
  <conditionalFormatting sqref="G1271">
    <cfRule type="containsText" dxfId="172" priority="173" operator="containsText" text="zz">
      <formula>NOT(ISERROR(SEARCH("zz",G1271)))</formula>
    </cfRule>
  </conditionalFormatting>
  <conditionalFormatting sqref="J1271">
    <cfRule type="cellIs" dxfId="171" priority="172" operator="equal">
      <formula>""</formula>
    </cfRule>
  </conditionalFormatting>
  <conditionalFormatting sqref="G1272">
    <cfRule type="containsText" dxfId="170" priority="171" operator="containsText" text="zz">
      <formula>NOT(ISERROR(SEARCH("zz",G1272)))</formula>
    </cfRule>
  </conditionalFormatting>
  <conditionalFormatting sqref="J1272">
    <cfRule type="cellIs" dxfId="169" priority="170" operator="equal">
      <formula>""</formula>
    </cfRule>
  </conditionalFormatting>
  <conditionalFormatting sqref="G1273">
    <cfRule type="containsText" dxfId="168" priority="169" operator="containsText" text="zz">
      <formula>NOT(ISERROR(SEARCH("zz",G1273)))</formula>
    </cfRule>
  </conditionalFormatting>
  <conditionalFormatting sqref="J1273">
    <cfRule type="cellIs" dxfId="167" priority="168" operator="equal">
      <formula>""</formula>
    </cfRule>
  </conditionalFormatting>
  <conditionalFormatting sqref="G1274">
    <cfRule type="containsText" dxfId="166" priority="167" operator="containsText" text="zz">
      <formula>NOT(ISERROR(SEARCH("zz",G1274)))</formula>
    </cfRule>
  </conditionalFormatting>
  <conditionalFormatting sqref="J1274">
    <cfRule type="cellIs" dxfId="165" priority="166" operator="equal">
      <formula>""</formula>
    </cfRule>
  </conditionalFormatting>
  <conditionalFormatting sqref="G1277">
    <cfRule type="containsText" dxfId="164" priority="161" operator="containsText" text="zz">
      <formula>NOT(ISERROR(SEARCH("zz",G1277)))</formula>
    </cfRule>
  </conditionalFormatting>
  <conditionalFormatting sqref="J1277">
    <cfRule type="cellIs" dxfId="163" priority="160" operator="equal">
      <formula>""</formula>
    </cfRule>
  </conditionalFormatting>
  <conditionalFormatting sqref="G1275">
    <cfRule type="containsText" dxfId="162" priority="165" operator="containsText" text="zz">
      <formula>NOT(ISERROR(SEARCH("zz",G1275)))</formula>
    </cfRule>
  </conditionalFormatting>
  <conditionalFormatting sqref="J1275">
    <cfRule type="cellIs" dxfId="161" priority="164" operator="equal">
      <formula>""</formula>
    </cfRule>
  </conditionalFormatting>
  <conditionalFormatting sqref="G1276">
    <cfRule type="containsText" dxfId="160" priority="163" operator="containsText" text="zz">
      <formula>NOT(ISERROR(SEARCH("zz",G1276)))</formula>
    </cfRule>
  </conditionalFormatting>
  <conditionalFormatting sqref="J1276">
    <cfRule type="cellIs" dxfId="159" priority="162" operator="equal">
      <formula>""</formula>
    </cfRule>
  </conditionalFormatting>
  <conditionalFormatting sqref="G1278">
    <cfRule type="containsText" dxfId="158" priority="159" operator="containsText" text="zz">
      <formula>NOT(ISERROR(SEARCH("zz",G1278)))</formula>
    </cfRule>
  </conditionalFormatting>
  <conditionalFormatting sqref="J1278">
    <cfRule type="cellIs" dxfId="157" priority="158" operator="equal">
      <formula>""</formula>
    </cfRule>
  </conditionalFormatting>
  <conditionalFormatting sqref="G1279">
    <cfRule type="containsText" dxfId="156" priority="157" operator="containsText" text="zz">
      <formula>NOT(ISERROR(SEARCH("zz",G1279)))</formula>
    </cfRule>
  </conditionalFormatting>
  <conditionalFormatting sqref="G1254">
    <cfRule type="containsText" dxfId="155" priority="156" operator="containsText" text="zz">
      <formula>NOT(ISERROR(SEARCH("zz",G1254)))</formula>
    </cfRule>
  </conditionalFormatting>
  <conditionalFormatting sqref="J1254">
    <cfRule type="cellIs" dxfId="154" priority="155" operator="equal">
      <formula>""</formula>
    </cfRule>
  </conditionalFormatting>
  <conditionalFormatting sqref="G1280">
    <cfRule type="containsText" dxfId="153" priority="154" operator="containsText" text="zz">
      <formula>NOT(ISERROR(SEARCH("zz",G1280)))</formula>
    </cfRule>
  </conditionalFormatting>
  <conditionalFormatting sqref="J1280">
    <cfRule type="cellIs" dxfId="152" priority="153" operator="equal">
      <formula>""</formula>
    </cfRule>
  </conditionalFormatting>
  <conditionalFormatting sqref="J1282">
    <cfRule type="cellIs" dxfId="151" priority="152" operator="equal">
      <formula>""</formula>
    </cfRule>
  </conditionalFormatting>
  <conditionalFormatting sqref="G1282">
    <cfRule type="containsText" dxfId="150" priority="150" operator="containsText" text="zz">
      <formula>NOT(ISERROR(SEARCH("zz",G1282)))</formula>
    </cfRule>
  </conditionalFormatting>
  <conditionalFormatting sqref="G1282">
    <cfRule type="containsText" dxfId="149" priority="151" operator="containsText" text="zz">
      <formula>NOT(ISERROR(SEARCH("zz",G1282)))</formula>
    </cfRule>
  </conditionalFormatting>
  <conditionalFormatting sqref="G1283">
    <cfRule type="containsText" dxfId="148" priority="149" operator="containsText" text="zz">
      <formula>NOT(ISERROR(SEARCH("zz",G1283)))</formula>
    </cfRule>
  </conditionalFormatting>
  <conditionalFormatting sqref="J1283">
    <cfRule type="cellIs" dxfId="147" priority="148" operator="equal">
      <formula>""</formula>
    </cfRule>
  </conditionalFormatting>
  <conditionalFormatting sqref="G1284">
    <cfRule type="containsText" dxfId="146" priority="147" operator="containsText" text="zz">
      <formula>NOT(ISERROR(SEARCH("zz",G1284)))</formula>
    </cfRule>
  </conditionalFormatting>
  <conditionalFormatting sqref="J1284">
    <cfRule type="cellIs" dxfId="145" priority="146" operator="equal">
      <formula>""</formula>
    </cfRule>
  </conditionalFormatting>
  <conditionalFormatting sqref="J1285">
    <cfRule type="cellIs" dxfId="144" priority="144" operator="equal">
      <formula>""</formula>
    </cfRule>
  </conditionalFormatting>
  <conditionalFormatting sqref="G1285">
    <cfRule type="containsText" dxfId="143" priority="145" operator="containsText" text="zz">
      <formula>NOT(ISERROR(SEARCH("zz",G1285)))</formula>
    </cfRule>
  </conditionalFormatting>
  <conditionalFormatting sqref="G1286">
    <cfRule type="containsText" dxfId="142" priority="143" operator="containsText" text="zz">
      <formula>NOT(ISERROR(SEARCH("zz",G1286)))</formula>
    </cfRule>
  </conditionalFormatting>
  <conditionalFormatting sqref="J1286">
    <cfRule type="cellIs" dxfId="141" priority="142" operator="equal">
      <formula>""</formula>
    </cfRule>
  </conditionalFormatting>
  <conditionalFormatting sqref="J1289">
    <cfRule type="cellIs" dxfId="140" priority="141" operator="equal">
      <formula>""</formula>
    </cfRule>
  </conditionalFormatting>
  <conditionalFormatting sqref="G1289">
    <cfRule type="containsText" dxfId="139" priority="140" operator="containsText" text="zz">
      <formula>NOT(ISERROR(SEARCH("zz",G1289)))</formula>
    </cfRule>
  </conditionalFormatting>
  <conditionalFormatting sqref="G1290">
    <cfRule type="containsText" dxfId="138" priority="139" operator="containsText" text="zz">
      <formula>NOT(ISERROR(SEARCH("zz",G1290)))</formula>
    </cfRule>
  </conditionalFormatting>
  <conditionalFormatting sqref="J1290">
    <cfRule type="cellIs" dxfId="137" priority="138" operator="equal">
      <formula>""</formula>
    </cfRule>
  </conditionalFormatting>
  <conditionalFormatting sqref="J1291">
    <cfRule type="cellIs" dxfId="136" priority="137" operator="equal">
      <formula>""</formula>
    </cfRule>
  </conditionalFormatting>
  <conditionalFormatting sqref="G1291">
    <cfRule type="containsText" dxfId="135" priority="136" operator="containsText" text="zz">
      <formula>NOT(ISERROR(SEARCH("zz",G1291)))</formula>
    </cfRule>
  </conditionalFormatting>
  <conditionalFormatting sqref="G1294">
    <cfRule type="containsText" dxfId="134" priority="135" operator="containsText" text="zz">
      <formula>NOT(ISERROR(SEARCH("zz",G1294)))</formula>
    </cfRule>
  </conditionalFormatting>
  <conditionalFormatting sqref="J1294">
    <cfRule type="cellIs" dxfId="133" priority="134" operator="equal">
      <formula>""</formula>
    </cfRule>
  </conditionalFormatting>
  <conditionalFormatting sqref="G1295">
    <cfRule type="containsText" dxfId="132" priority="133" operator="containsText" text="zz">
      <formula>NOT(ISERROR(SEARCH("zz",G1295)))</formula>
    </cfRule>
  </conditionalFormatting>
  <conditionalFormatting sqref="J1295">
    <cfRule type="cellIs" dxfId="131" priority="132" operator="equal">
      <formula>""</formula>
    </cfRule>
  </conditionalFormatting>
  <conditionalFormatting sqref="G1296:G1297">
    <cfRule type="containsText" dxfId="130" priority="131" operator="containsText" text="zz">
      <formula>NOT(ISERROR(SEARCH("zz",G1296)))</formula>
    </cfRule>
  </conditionalFormatting>
  <conditionalFormatting sqref="J1296:J1297">
    <cfRule type="cellIs" dxfId="129" priority="130" operator="equal">
      <formula>""</formula>
    </cfRule>
  </conditionalFormatting>
  <conditionalFormatting sqref="G1298">
    <cfRule type="containsText" dxfId="128" priority="129" operator="containsText" text="zz">
      <formula>NOT(ISERROR(SEARCH("zz",G1298)))</formula>
    </cfRule>
  </conditionalFormatting>
  <conditionalFormatting sqref="J1298">
    <cfRule type="cellIs" dxfId="127" priority="128" operator="equal">
      <formula>""</formula>
    </cfRule>
  </conditionalFormatting>
  <conditionalFormatting sqref="G1300">
    <cfRule type="containsText" dxfId="126" priority="127" operator="containsText" text="zz">
      <formula>NOT(ISERROR(SEARCH("zz",G1300)))</formula>
    </cfRule>
  </conditionalFormatting>
  <conditionalFormatting sqref="J1300">
    <cfRule type="cellIs" dxfId="125" priority="126" operator="equal">
      <formula>""</formula>
    </cfRule>
  </conditionalFormatting>
  <conditionalFormatting sqref="J1301">
    <cfRule type="cellIs" dxfId="124" priority="124" operator="equal">
      <formula>""</formula>
    </cfRule>
  </conditionalFormatting>
  <conditionalFormatting sqref="G1301">
    <cfRule type="containsText" dxfId="123" priority="125" operator="containsText" text="zz">
      <formula>NOT(ISERROR(SEARCH("zz",G1301)))</formula>
    </cfRule>
  </conditionalFormatting>
  <conditionalFormatting sqref="G1302">
    <cfRule type="containsText" dxfId="122" priority="123" operator="containsText" text="zz">
      <formula>NOT(ISERROR(SEARCH("zz",G1302)))</formula>
    </cfRule>
  </conditionalFormatting>
  <conditionalFormatting sqref="J1302">
    <cfRule type="cellIs" dxfId="121" priority="122" operator="equal">
      <formula>""</formula>
    </cfRule>
  </conditionalFormatting>
  <conditionalFormatting sqref="G1292">
    <cfRule type="containsText" dxfId="120" priority="121" operator="containsText" text="zz">
      <formula>NOT(ISERROR(SEARCH("zz",G1292)))</formula>
    </cfRule>
  </conditionalFormatting>
  <conditionalFormatting sqref="J1292">
    <cfRule type="cellIs" dxfId="119" priority="120" operator="equal">
      <formula>""</formula>
    </cfRule>
  </conditionalFormatting>
  <conditionalFormatting sqref="G1287">
    <cfRule type="containsText" dxfId="118" priority="119" operator="containsText" text="zz">
      <formula>NOT(ISERROR(SEARCH("zz",G1287)))</formula>
    </cfRule>
  </conditionalFormatting>
  <conditionalFormatting sqref="J1287">
    <cfRule type="cellIs" dxfId="117" priority="118" operator="equal">
      <formula>""</formula>
    </cfRule>
  </conditionalFormatting>
  <conditionalFormatting sqref="G1281">
    <cfRule type="containsText" dxfId="116" priority="117" operator="containsText" text="zz">
      <formula>NOT(ISERROR(SEARCH("zz",G1281)))</formula>
    </cfRule>
  </conditionalFormatting>
  <conditionalFormatting sqref="J1281">
    <cfRule type="cellIs" dxfId="115" priority="116" operator="equal">
      <formula>""</formula>
    </cfRule>
  </conditionalFormatting>
  <conditionalFormatting sqref="G1288">
    <cfRule type="containsText" dxfId="114" priority="115" operator="containsText" text="zz">
      <formula>NOT(ISERROR(SEARCH("zz",G1288)))</formula>
    </cfRule>
  </conditionalFormatting>
  <conditionalFormatting sqref="J1288">
    <cfRule type="cellIs" dxfId="113" priority="114" operator="equal">
      <formula>""</formula>
    </cfRule>
  </conditionalFormatting>
  <conditionalFormatting sqref="G1293">
    <cfRule type="containsText" dxfId="112" priority="113" operator="containsText" text="zz">
      <formula>NOT(ISERROR(SEARCH("zz",G1293)))</formula>
    </cfRule>
  </conditionalFormatting>
  <conditionalFormatting sqref="J1293">
    <cfRule type="cellIs" dxfId="111" priority="112" operator="equal">
      <formula>""</formula>
    </cfRule>
  </conditionalFormatting>
  <conditionalFormatting sqref="J1306">
    <cfRule type="cellIs" dxfId="110" priority="108" operator="equal">
      <formula>""</formula>
    </cfRule>
  </conditionalFormatting>
  <conditionalFormatting sqref="J1305">
    <cfRule type="cellIs" dxfId="109" priority="111" operator="equal">
      <formula>""</formula>
    </cfRule>
  </conditionalFormatting>
  <conditionalFormatting sqref="G1305">
    <cfRule type="containsText" dxfId="108" priority="110" operator="containsText" text="zz">
      <formula>NOT(ISERROR(SEARCH("zz",G1305)))</formula>
    </cfRule>
  </conditionalFormatting>
  <conditionalFormatting sqref="G1306">
    <cfRule type="containsText" dxfId="107" priority="109" operator="containsText" text="zz">
      <formula>NOT(ISERROR(SEARCH("zz",G1306)))</formula>
    </cfRule>
  </conditionalFormatting>
  <conditionalFormatting sqref="J1307">
    <cfRule type="cellIs" dxfId="106" priority="106" operator="equal">
      <formula>""</formula>
    </cfRule>
  </conditionalFormatting>
  <conditionalFormatting sqref="J1303">
    <cfRule type="cellIs" dxfId="105" priority="104" operator="equal">
      <formula>""</formula>
    </cfRule>
  </conditionalFormatting>
  <conditionalFormatting sqref="G1307">
    <cfRule type="containsText" dxfId="104" priority="107" operator="containsText" text="zz">
      <formula>NOT(ISERROR(SEARCH("zz",G1307)))</formula>
    </cfRule>
  </conditionalFormatting>
  <conditionalFormatting sqref="G1303">
    <cfRule type="containsText" dxfId="103" priority="105" operator="containsText" text="zz">
      <formula>NOT(ISERROR(SEARCH("zz",G1303)))</formula>
    </cfRule>
  </conditionalFormatting>
  <conditionalFormatting sqref="G1304">
    <cfRule type="containsText" dxfId="102" priority="103" operator="containsText" text="zz">
      <formula>NOT(ISERROR(SEARCH("zz",G1304)))</formula>
    </cfRule>
  </conditionalFormatting>
  <conditionalFormatting sqref="J1304">
    <cfRule type="cellIs" dxfId="101" priority="102" operator="equal">
      <formula>""</formula>
    </cfRule>
  </conditionalFormatting>
  <conditionalFormatting sqref="G1310">
    <cfRule type="containsText" dxfId="100" priority="101" operator="containsText" text="zz">
      <formula>NOT(ISERROR(SEARCH("zz",G1310)))</formula>
    </cfRule>
  </conditionalFormatting>
  <conditionalFormatting sqref="J1310">
    <cfRule type="cellIs" dxfId="99" priority="100" operator="equal">
      <formula>""</formula>
    </cfRule>
  </conditionalFormatting>
  <conditionalFormatting sqref="G1308:G1309">
    <cfRule type="containsText" dxfId="98" priority="99" operator="containsText" text="zz">
      <formula>NOT(ISERROR(SEARCH("zz",G1308)))</formula>
    </cfRule>
  </conditionalFormatting>
  <conditionalFormatting sqref="J1308:J1309">
    <cfRule type="cellIs" dxfId="97" priority="98" operator="equal">
      <formula>""</formula>
    </cfRule>
  </conditionalFormatting>
  <conditionalFormatting sqref="J1312:J1315 J1317:J1334">
    <cfRule type="cellIs" dxfId="96" priority="97" operator="equal">
      <formula>""</formula>
    </cfRule>
  </conditionalFormatting>
  <conditionalFormatting sqref="G1336">
    <cfRule type="containsText" dxfId="95" priority="96" operator="containsText" text="zz">
      <formula>NOT(ISERROR(SEARCH("zz",G1336)))</formula>
    </cfRule>
  </conditionalFormatting>
  <conditionalFormatting sqref="J1336">
    <cfRule type="cellIs" dxfId="94" priority="95" operator="equal">
      <formula>""</formula>
    </cfRule>
  </conditionalFormatting>
  <conditionalFormatting sqref="G1335">
    <cfRule type="containsText" dxfId="93" priority="94" operator="containsText" text="zz">
      <formula>NOT(ISERROR(SEARCH("zz",G1335)))</formula>
    </cfRule>
  </conditionalFormatting>
  <conditionalFormatting sqref="J1335">
    <cfRule type="cellIs" dxfId="92" priority="93" operator="equal">
      <formula>""</formula>
    </cfRule>
  </conditionalFormatting>
  <conditionalFormatting sqref="H1335">
    <cfRule type="containsBlanks" dxfId="91" priority="92">
      <formula>LEN(TRIM(H1335))=0</formula>
    </cfRule>
  </conditionalFormatting>
  <conditionalFormatting sqref="H1335">
    <cfRule type="containsText" dxfId="90" priority="91" operator="containsText" text="xxx">
      <formula>NOT(ISERROR(SEARCH("xxx",H1335)))</formula>
    </cfRule>
  </conditionalFormatting>
  <conditionalFormatting sqref="G1094">
    <cfRule type="containsText" dxfId="89" priority="90" operator="containsText" text="zz">
      <formula>NOT(ISERROR(SEARCH("zz",G1094)))</formula>
    </cfRule>
  </conditionalFormatting>
  <conditionalFormatting sqref="J1094">
    <cfRule type="cellIs" dxfId="88" priority="89" operator="equal">
      <formula>""</formula>
    </cfRule>
  </conditionalFormatting>
  <conditionalFormatting sqref="G1096">
    <cfRule type="containsText" dxfId="87" priority="88" operator="containsText" text="zz">
      <formula>NOT(ISERROR(SEARCH("zz",G1096)))</formula>
    </cfRule>
  </conditionalFormatting>
  <conditionalFormatting sqref="J1096">
    <cfRule type="cellIs" dxfId="86" priority="87" operator="equal">
      <formula>""</formula>
    </cfRule>
  </conditionalFormatting>
  <conditionalFormatting sqref="G1299">
    <cfRule type="containsText" dxfId="85" priority="86" operator="containsText" text="zz">
      <formula>NOT(ISERROR(SEARCH("zz",G1299)))</formula>
    </cfRule>
  </conditionalFormatting>
  <conditionalFormatting sqref="J1299">
    <cfRule type="cellIs" dxfId="84" priority="85" operator="equal">
      <formula>""</formula>
    </cfRule>
  </conditionalFormatting>
  <conditionalFormatting sqref="G1316">
    <cfRule type="containsText" dxfId="83" priority="84" operator="containsText" text="zz">
      <formula>NOT(ISERROR(SEARCH("zz",G1316)))</formula>
    </cfRule>
  </conditionalFormatting>
  <conditionalFormatting sqref="J1316">
    <cfRule type="cellIs" dxfId="82" priority="83" operator="equal">
      <formula>""</formula>
    </cfRule>
  </conditionalFormatting>
  <conditionalFormatting sqref="J1342">
    <cfRule type="cellIs" dxfId="81" priority="82" operator="equal">
      <formula>""</formula>
    </cfRule>
  </conditionalFormatting>
  <conditionalFormatting sqref="G1342">
    <cfRule type="containsText" dxfId="80" priority="81" operator="containsText" text="zz">
      <formula>NOT(ISERROR(SEARCH("zz",G1342)))</formula>
    </cfRule>
  </conditionalFormatting>
  <conditionalFormatting sqref="G1341">
    <cfRule type="containsText" dxfId="79" priority="80" operator="containsText" text="zz">
      <formula>NOT(ISERROR(SEARCH("zz",G1341)))</formula>
    </cfRule>
  </conditionalFormatting>
  <conditionalFormatting sqref="J1341">
    <cfRule type="cellIs" dxfId="78" priority="79" operator="equal">
      <formula>""</formula>
    </cfRule>
  </conditionalFormatting>
  <conditionalFormatting sqref="G1340">
    <cfRule type="containsText" dxfId="77" priority="78" operator="containsText" text="zz">
      <formula>NOT(ISERROR(SEARCH("zz",G1340)))</formula>
    </cfRule>
  </conditionalFormatting>
  <conditionalFormatting sqref="J1340">
    <cfRule type="cellIs" dxfId="76" priority="77" operator="equal">
      <formula>""</formula>
    </cfRule>
  </conditionalFormatting>
  <conditionalFormatting sqref="G1349">
    <cfRule type="containsText" dxfId="75" priority="76" operator="containsText" text="zz">
      <formula>NOT(ISERROR(SEARCH("zz",G1349)))</formula>
    </cfRule>
  </conditionalFormatting>
  <conditionalFormatting sqref="J1125">
    <cfRule type="cellIs" dxfId="74" priority="75" operator="equal">
      <formula>""</formula>
    </cfRule>
  </conditionalFormatting>
  <conditionalFormatting sqref="G1339">
    <cfRule type="containsText" dxfId="73" priority="74" operator="containsText" text="zz">
      <formula>NOT(ISERROR(SEARCH("zz",G1339)))</formula>
    </cfRule>
  </conditionalFormatting>
  <conditionalFormatting sqref="J1339">
    <cfRule type="cellIs" dxfId="72" priority="73" operator="equal">
      <formula>""</formula>
    </cfRule>
  </conditionalFormatting>
  <conditionalFormatting sqref="G1350">
    <cfRule type="containsText" dxfId="71" priority="72" operator="containsText" text="zz">
      <formula>NOT(ISERROR(SEARCH("zz",G1350)))</formula>
    </cfRule>
  </conditionalFormatting>
  <conditionalFormatting sqref="J1350">
    <cfRule type="cellIs" dxfId="70" priority="71" operator="equal">
      <formula>""</formula>
    </cfRule>
  </conditionalFormatting>
  <conditionalFormatting sqref="G1351">
    <cfRule type="containsText" dxfId="69" priority="70" operator="containsText" text="zz">
      <formula>NOT(ISERROR(SEARCH("zz",G1351)))</formula>
    </cfRule>
  </conditionalFormatting>
  <conditionalFormatting sqref="J1351">
    <cfRule type="cellIs" dxfId="68" priority="69" operator="equal">
      <formula>""</formula>
    </cfRule>
  </conditionalFormatting>
  <conditionalFormatting sqref="G1356">
    <cfRule type="containsText" dxfId="67" priority="68" operator="containsText" text="zz">
      <formula>NOT(ISERROR(SEARCH("zz",G1356)))</formula>
    </cfRule>
  </conditionalFormatting>
  <conditionalFormatting sqref="J1356">
    <cfRule type="cellIs" dxfId="66" priority="67" operator="equal">
      <formula>""</formula>
    </cfRule>
  </conditionalFormatting>
  <conditionalFormatting sqref="G1357">
    <cfRule type="containsText" dxfId="65" priority="66" operator="containsText" text="zz">
      <formula>NOT(ISERROR(SEARCH("zz",G1357)))</formula>
    </cfRule>
  </conditionalFormatting>
  <conditionalFormatting sqref="J1357">
    <cfRule type="cellIs" dxfId="64" priority="65" operator="equal">
      <formula>""</formula>
    </cfRule>
  </conditionalFormatting>
  <conditionalFormatting sqref="J1358">
    <cfRule type="cellIs" dxfId="63" priority="64" operator="equal">
      <formula>""</formula>
    </cfRule>
  </conditionalFormatting>
  <conditionalFormatting sqref="G1358">
    <cfRule type="containsText" dxfId="62" priority="63" operator="containsText" text="zz">
      <formula>NOT(ISERROR(SEARCH("zz",G1358)))</formula>
    </cfRule>
  </conditionalFormatting>
  <conditionalFormatting sqref="G1359">
    <cfRule type="containsText" dxfId="61" priority="62" operator="containsText" text="zz">
      <formula>NOT(ISERROR(SEARCH("zz",G1359)))</formula>
    </cfRule>
  </conditionalFormatting>
  <conditionalFormatting sqref="J1359">
    <cfRule type="cellIs" dxfId="60" priority="61" operator="equal">
      <formula>""</formula>
    </cfRule>
  </conditionalFormatting>
  <conditionalFormatting sqref="J1360">
    <cfRule type="cellIs" dxfId="59" priority="60" operator="equal">
      <formula>""</formula>
    </cfRule>
  </conditionalFormatting>
  <conditionalFormatting sqref="G1360">
    <cfRule type="containsText" dxfId="58" priority="58" operator="containsText" text="zz">
      <formula>NOT(ISERROR(SEARCH("zz",G1360)))</formula>
    </cfRule>
  </conditionalFormatting>
  <conditionalFormatting sqref="G1360">
    <cfRule type="containsText" dxfId="57" priority="59" operator="containsText" text="zz">
      <formula>NOT(ISERROR(SEARCH("zz",G1360)))</formula>
    </cfRule>
  </conditionalFormatting>
  <conditionalFormatting sqref="G1361">
    <cfRule type="containsText" dxfId="56" priority="57" operator="containsText" text="zz">
      <formula>NOT(ISERROR(SEARCH("zz",G1361)))</formula>
    </cfRule>
  </conditionalFormatting>
  <conditionalFormatting sqref="J1361">
    <cfRule type="cellIs" dxfId="55" priority="56" operator="equal">
      <formula>""</formula>
    </cfRule>
  </conditionalFormatting>
  <conditionalFormatting sqref="G1362">
    <cfRule type="containsText" dxfId="54" priority="55" operator="containsText" text="zz">
      <formula>NOT(ISERROR(SEARCH("zz",G1362)))</formula>
    </cfRule>
  </conditionalFormatting>
  <conditionalFormatting sqref="J1362">
    <cfRule type="cellIs" dxfId="53" priority="54" operator="equal">
      <formula>""</formula>
    </cfRule>
  </conditionalFormatting>
  <conditionalFormatting sqref="G1366">
    <cfRule type="containsText" dxfId="52" priority="53" operator="containsText" text="zz">
      <formula>NOT(ISERROR(SEARCH("zz",G1366)))</formula>
    </cfRule>
  </conditionalFormatting>
  <conditionalFormatting sqref="J1366">
    <cfRule type="cellIs" dxfId="51" priority="52" operator="equal">
      <formula>""</formula>
    </cfRule>
  </conditionalFormatting>
  <conditionalFormatting sqref="G1367">
    <cfRule type="containsText" dxfId="50" priority="51" operator="containsText" text="zz">
      <formula>NOT(ISERROR(SEARCH("zz",G1367)))</formula>
    </cfRule>
  </conditionalFormatting>
  <conditionalFormatting sqref="J1367">
    <cfRule type="cellIs" dxfId="49" priority="50" operator="equal">
      <formula>""</formula>
    </cfRule>
  </conditionalFormatting>
  <conditionalFormatting sqref="G1368">
    <cfRule type="containsText" dxfId="48" priority="49" operator="containsText" text="zz">
      <formula>NOT(ISERROR(SEARCH("zz",G1368)))</formula>
    </cfRule>
  </conditionalFormatting>
  <conditionalFormatting sqref="J1368">
    <cfRule type="cellIs" dxfId="47" priority="48" operator="equal">
      <formula>""</formula>
    </cfRule>
  </conditionalFormatting>
  <conditionalFormatting sqref="G1369">
    <cfRule type="containsText" dxfId="46" priority="47" operator="containsText" text="zz">
      <formula>NOT(ISERROR(SEARCH("zz",G1369)))</formula>
    </cfRule>
  </conditionalFormatting>
  <conditionalFormatting sqref="G1370:G1371">
    <cfRule type="containsText" dxfId="45" priority="46" operator="containsText" text="zz">
      <formula>NOT(ISERROR(SEARCH("zz",G1370)))</formula>
    </cfRule>
  </conditionalFormatting>
  <conditionalFormatting sqref="J1370:J1371">
    <cfRule type="cellIs" dxfId="44" priority="45" operator="equal">
      <formula>""</formula>
    </cfRule>
  </conditionalFormatting>
  <conditionalFormatting sqref="J1376">
    <cfRule type="cellIs" dxfId="43" priority="35" operator="equal">
      <formula>""</formula>
    </cfRule>
  </conditionalFormatting>
  <conditionalFormatting sqref="G1372">
    <cfRule type="containsText" dxfId="42" priority="44" operator="containsText" text="zz">
      <formula>NOT(ISERROR(SEARCH("zz",G1372)))</formula>
    </cfRule>
  </conditionalFormatting>
  <conditionalFormatting sqref="J1372">
    <cfRule type="cellIs" dxfId="41" priority="43" operator="equal">
      <formula>""</formula>
    </cfRule>
  </conditionalFormatting>
  <conditionalFormatting sqref="G1373">
    <cfRule type="containsText" dxfId="40" priority="42" operator="containsText" text="zz">
      <formula>NOT(ISERROR(SEARCH("zz",G1373)))</formula>
    </cfRule>
  </conditionalFormatting>
  <conditionalFormatting sqref="J1373">
    <cfRule type="cellIs" dxfId="39" priority="41" operator="equal">
      <formula>""</formula>
    </cfRule>
  </conditionalFormatting>
  <conditionalFormatting sqref="G1374">
    <cfRule type="containsText" dxfId="38" priority="40" operator="containsText" text="zz">
      <formula>NOT(ISERROR(SEARCH("zz",G1374)))</formula>
    </cfRule>
  </conditionalFormatting>
  <conditionalFormatting sqref="J1374">
    <cfRule type="cellIs" dxfId="37" priority="39" operator="equal">
      <formula>""</formula>
    </cfRule>
  </conditionalFormatting>
  <conditionalFormatting sqref="G1375">
    <cfRule type="containsText" dxfId="36" priority="38" operator="containsText" text="zz">
      <formula>NOT(ISERROR(SEARCH("zz",G1375)))</formula>
    </cfRule>
  </conditionalFormatting>
  <conditionalFormatting sqref="J1375">
    <cfRule type="cellIs" dxfId="35" priority="37" operator="equal">
      <formula>""</formula>
    </cfRule>
  </conditionalFormatting>
  <conditionalFormatting sqref="J1377">
    <cfRule type="cellIs" dxfId="34" priority="33" operator="equal">
      <formula>""</formula>
    </cfRule>
  </conditionalFormatting>
  <conditionalFormatting sqref="G1376">
    <cfRule type="containsText" dxfId="33" priority="36" operator="containsText" text="zz">
      <formula>NOT(ISERROR(SEARCH("zz",G1376)))</formula>
    </cfRule>
  </conditionalFormatting>
  <conditionalFormatting sqref="J1378">
    <cfRule type="cellIs" dxfId="32" priority="31" operator="equal">
      <formula>""</formula>
    </cfRule>
  </conditionalFormatting>
  <conditionalFormatting sqref="G1377">
    <cfRule type="containsText" dxfId="31" priority="34" operator="containsText" text="zz">
      <formula>NOT(ISERROR(SEARCH("zz",G1377)))</formula>
    </cfRule>
  </conditionalFormatting>
  <conditionalFormatting sqref="G1378">
    <cfRule type="containsText" dxfId="30" priority="32" operator="containsText" text="zz">
      <formula>NOT(ISERROR(SEARCH("zz",G1378)))</formula>
    </cfRule>
  </conditionalFormatting>
  <conditionalFormatting sqref="G1381">
    <cfRule type="containsText" dxfId="29" priority="26" operator="containsText" text="zz">
      <formula>NOT(ISERROR(SEARCH("zz",G1381)))</formula>
    </cfRule>
  </conditionalFormatting>
  <conditionalFormatting sqref="J1381">
    <cfRule type="cellIs" dxfId="28" priority="25" operator="equal">
      <formula>""</formula>
    </cfRule>
  </conditionalFormatting>
  <conditionalFormatting sqref="G1392">
    <cfRule type="containsText" dxfId="27" priority="4" operator="containsText" text="zz">
      <formula>NOT(ISERROR(SEARCH("zz",G1392)))</formula>
    </cfRule>
  </conditionalFormatting>
  <conditionalFormatting sqref="J1392">
    <cfRule type="cellIs" dxfId="26" priority="3" operator="equal">
      <formula>""</formula>
    </cfRule>
  </conditionalFormatting>
  <conditionalFormatting sqref="G1379">
    <cfRule type="containsText" dxfId="25" priority="30" operator="containsText" text="zz">
      <formula>NOT(ISERROR(SEARCH("zz",G1379)))</formula>
    </cfRule>
  </conditionalFormatting>
  <conditionalFormatting sqref="J1379">
    <cfRule type="cellIs" dxfId="24" priority="29" operator="equal">
      <formula>""</formula>
    </cfRule>
  </conditionalFormatting>
  <conditionalFormatting sqref="G1380">
    <cfRule type="containsText" dxfId="23" priority="28" operator="containsText" text="zz">
      <formula>NOT(ISERROR(SEARCH("zz",G1380)))</formula>
    </cfRule>
  </conditionalFormatting>
  <conditionalFormatting sqref="J1380">
    <cfRule type="cellIs" dxfId="22" priority="27" operator="equal">
      <formula>""</formula>
    </cfRule>
  </conditionalFormatting>
  <conditionalFormatting sqref="J1393">
    <cfRule type="cellIs" dxfId="21" priority="5" operator="equal">
      <formula>""</formula>
    </cfRule>
  </conditionalFormatting>
  <conditionalFormatting sqref="G1393">
    <cfRule type="containsText" dxfId="20" priority="6" operator="containsText" text="zz">
      <formula>NOT(ISERROR(SEARCH("zz",G1393)))</formula>
    </cfRule>
  </conditionalFormatting>
  <conditionalFormatting sqref="J1382">
    <cfRule type="cellIs" dxfId="19" priority="24" operator="equal">
      <formula>""</formula>
    </cfRule>
  </conditionalFormatting>
  <conditionalFormatting sqref="G1382">
    <cfRule type="containsText" dxfId="18" priority="23" operator="containsText" text="zz">
      <formula>NOT(ISERROR(SEARCH("zz",G1382)))</formula>
    </cfRule>
  </conditionalFormatting>
  <conditionalFormatting sqref="J1387">
    <cfRule type="cellIs" dxfId="17" priority="19" operator="equal">
      <formula>""</formula>
    </cfRule>
  </conditionalFormatting>
  <conditionalFormatting sqref="J1386">
    <cfRule type="cellIs" dxfId="16" priority="22" operator="equal">
      <formula>""</formula>
    </cfRule>
  </conditionalFormatting>
  <conditionalFormatting sqref="G1386">
    <cfRule type="containsText" dxfId="15" priority="21" operator="containsText" text="zz">
      <formula>NOT(ISERROR(SEARCH("zz",G1386)))</formula>
    </cfRule>
  </conditionalFormatting>
  <conditionalFormatting sqref="G1387">
    <cfRule type="containsText" dxfId="14" priority="20" operator="containsText" text="zz">
      <formula>NOT(ISERROR(SEARCH("zz",G1387)))</formula>
    </cfRule>
  </conditionalFormatting>
  <conditionalFormatting sqref="J1388">
    <cfRule type="cellIs" dxfId="13" priority="17" operator="equal">
      <formula>""</formula>
    </cfRule>
  </conditionalFormatting>
  <conditionalFormatting sqref="J1384">
    <cfRule type="cellIs" dxfId="12" priority="15" operator="equal">
      <formula>""</formula>
    </cfRule>
  </conditionalFormatting>
  <conditionalFormatting sqref="G1388">
    <cfRule type="containsText" dxfId="11" priority="18" operator="containsText" text="zz">
      <formula>NOT(ISERROR(SEARCH("zz",G1388)))</formula>
    </cfRule>
  </conditionalFormatting>
  <conditionalFormatting sqref="G1384">
    <cfRule type="containsText" dxfId="10" priority="16" operator="containsText" text="zz">
      <formula>NOT(ISERROR(SEARCH("zz",G1384)))</formula>
    </cfRule>
  </conditionalFormatting>
  <conditionalFormatting sqref="G1385">
    <cfRule type="containsText" dxfId="9" priority="14" operator="containsText" text="zz">
      <formula>NOT(ISERROR(SEARCH("zz",G1385)))</formula>
    </cfRule>
  </conditionalFormatting>
  <conditionalFormatting sqref="J1385">
    <cfRule type="cellIs" dxfId="8" priority="13" operator="equal">
      <formula>""</formula>
    </cfRule>
  </conditionalFormatting>
  <conditionalFormatting sqref="J1389">
    <cfRule type="cellIs" dxfId="7" priority="11" operator="equal">
      <formula>""</formula>
    </cfRule>
  </conditionalFormatting>
  <conditionalFormatting sqref="G1389">
    <cfRule type="containsText" dxfId="6" priority="12" operator="containsText" text="zz">
      <formula>NOT(ISERROR(SEARCH("zz",G1389)))</formula>
    </cfRule>
  </conditionalFormatting>
  <conditionalFormatting sqref="G1394">
    <cfRule type="containsText" dxfId="5" priority="10" operator="containsText" text="zz">
      <formula>NOT(ISERROR(SEARCH("zz",G1394)))</formula>
    </cfRule>
  </conditionalFormatting>
  <conditionalFormatting sqref="J1394">
    <cfRule type="cellIs" dxfId="4" priority="9" operator="equal">
      <formula>""</formula>
    </cfRule>
  </conditionalFormatting>
  <conditionalFormatting sqref="J1383">
    <cfRule type="cellIs" dxfId="3" priority="8" operator="equal">
      <formula>""</formula>
    </cfRule>
  </conditionalFormatting>
  <conditionalFormatting sqref="G1383">
    <cfRule type="containsText" dxfId="2" priority="7" operator="containsText" text="zz">
      <formula>NOT(ISERROR(SEARCH("zz",G1383)))</formula>
    </cfRule>
  </conditionalFormatting>
  <conditionalFormatting sqref="J1390:J1391">
    <cfRule type="cellIs" dxfId="1" priority="1" operator="equal">
      <formula>""</formula>
    </cfRule>
  </conditionalFormatting>
  <conditionalFormatting sqref="G1390:G1391">
    <cfRule type="containsText" dxfId="0" priority="2" operator="containsText" text="zz">
      <formula>NOT(ISERROR(SEARCH("zz",G1390)))</formula>
    </cfRule>
  </conditionalFormatting>
  <dataValidations count="8">
    <dataValidation type="list" allowBlank="1" showInputMessage="1" showErrorMessage="1" sqref="C846 C7 C91:C92 C101 C138:C139 C178:C180 C184:C186 C221:C228 C436:C438 C365:C367 C501 C503:C504 C586:C587 C649:C650 C707 C817 C1085 C1165 C1223 C1282 C1360">
      <formula1>Concepto</formula1>
    </dataValidation>
    <dataValidation type="list" allowBlank="1" showInputMessage="1" showErrorMessage="1" sqref="J903 J5 J7 J92 J287 J417:J418 J679 J953 J942">
      <formula1>INDIRECT(C5)</formula1>
    </dataValidation>
    <dataValidation type="list" allowBlank="1" showInputMessage="1" showErrorMessage="1" sqref="K5 K476 K679">
      <formula1>INDIRECT(J5)</formula1>
    </dataValidation>
    <dataValidation type="list" allowBlank="1" showInputMessage="1" showErrorMessage="1" sqref="L113">
      <formula1>INDIRECT(G3561)</formula1>
    </dataValidation>
    <dataValidation type="list" allowBlank="1" showInputMessage="1" showErrorMessage="1" sqref="L953">
      <formula1>INDIRECT(G4402)</formula1>
    </dataValidation>
    <dataValidation type="list" allowBlank="1" showInputMessage="1" showErrorMessage="1" sqref="L903">
      <formula1>INDIRECT(G4354)</formula1>
    </dataValidation>
    <dataValidation type="list" allowBlank="1" showInputMessage="1" showErrorMessage="1" sqref="J1188 J1279 J1349 J1369">
      <formula1>INDIRECT(#REF!)</formula1>
    </dataValidation>
    <dataValidation type="list" allowBlank="1" showInputMessage="1" showErrorMessage="1" sqref="E1188:E1189">
      <formula1>mes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AGIOLETTO</dc:creator>
  <cp:lastModifiedBy>AGIOLETTO</cp:lastModifiedBy>
  <dcterms:created xsi:type="dcterms:W3CDTF">2014-09-11T18:11:22Z</dcterms:created>
  <dcterms:modified xsi:type="dcterms:W3CDTF">2014-09-11T18:15:06Z</dcterms:modified>
</cp:coreProperties>
</file>