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5ce13bf218392309/Desktop/Data Science/PROJECTS/information systems/"/>
    </mc:Choice>
  </mc:AlternateContent>
  <xr:revisionPtr revIDLastSave="1" documentId="8_{D16E79F8-6959-E648-8D83-C6FAAC65D115}" xr6:coauthVersionLast="45" xr6:coauthVersionMax="45" xr10:uidLastSave="{44084CDD-14BF-4340-A0E0-978CEC98C895}"/>
  <bookViews>
    <workbookView xWindow="-110" yWindow="-110" windowWidth="22780" windowHeight="14660" tabRatio="500" xr2:uid="{00000000-000D-0000-FFFF-FFFF00000000}"/>
  </bookViews>
  <sheets>
    <sheet name="Summary" sheetId="1" r:id="rId1"/>
    <sheet name="User Profile" sheetId="5" r:id="rId2"/>
    <sheet name="CPU (Workload)" sheetId="12" r:id="rId3"/>
    <sheet name="Bandwidth" sheetId="7" r:id="rId4"/>
    <sheet name="Memory" sheetId="14" r:id="rId5"/>
    <sheet name="Storage" sheetId="8" r:id="rId6"/>
    <sheet name="Scenario 1" sheetId="2" r:id="rId7"/>
    <sheet name="Scenario 2" sheetId="4" r:id="rId8"/>
    <sheet name="Scenario 3" sheetId="3" r:id="rId9"/>
    <sheet name="Scenario 4" sheetId="6" r:id="rId10"/>
    <sheet name="Server Cost Analysis" sheetId="13" r:id="rId11"/>
    <sheet name="Constants" sheetId="10" r:id="rId12"/>
  </sheets>
  <definedNames>
    <definedName name="acre_cost">Constants!$B$49</definedName>
    <definedName name="acres">Constants!$B$50</definedName>
    <definedName name="app_full">Constants!#REF!</definedName>
    <definedName name="app_size">Constants!#REF!</definedName>
    <definedName name="app_upd">Constants!#REF!</definedName>
    <definedName name="btu_per_kw">Constants!#REF!</definedName>
    <definedName name="bw_limit">Constants!$E$18</definedName>
    <definedName name="cpu_limit">Constants!$B$18</definedName>
    <definedName name="disk_limit">Constants!$C$18</definedName>
    <definedName name="down_percent">Constants!$D$12</definedName>
    <definedName name="down_req">Constants!$C$12</definedName>
    <definedName name="down_song">Constants!$B$12</definedName>
    <definedName name="fiber_cost">Constants!$B$48</definedName>
    <definedName name="fiber_install">Constants!#REF!</definedName>
    <definedName name="fiber_run">Constants!$B$47</definedName>
    <definedName name="fire_supp">Constants!$B$51</definedName>
    <definedName name="gen_l_bw">Constants!$F$26</definedName>
    <definedName name="gen_l_core">Constants!$C$26</definedName>
    <definedName name="gen_l_cost">Constants!$X$26</definedName>
    <definedName name="gen_l_disk">Constants!$E$26</definedName>
    <definedName name="gen_l_ports">Constants!$G$26</definedName>
    <definedName name="gen_l_pow100">Constants!$S$26</definedName>
    <definedName name="gen_l_pow40">Constants!$P$26</definedName>
    <definedName name="gen_l_pow60">Constants!$Q$26</definedName>
    <definedName name="gen_l_pow80">Constants!$R$26</definedName>
    <definedName name="gen_l_ram">Constants!$D$26</definedName>
    <definedName name="gen_l_ru">Constants!$B$26</definedName>
    <definedName name="gen_l_spr100">Constants!$W$26</definedName>
    <definedName name="gen_l_spr40">Constants!$T$26</definedName>
    <definedName name="gen_l_spr60">Constants!$U$26</definedName>
    <definedName name="gen_l_spr80">Constants!$V$26</definedName>
    <definedName name="gen_l_tps100">Constants!$K$26</definedName>
    <definedName name="gen_l_tps40">Constants!$H$26</definedName>
    <definedName name="gen_l_tps60">Constants!$I$26</definedName>
    <definedName name="gen_l_tps80">Constants!$J$26</definedName>
    <definedName name="gen_l_user100">Constants!$O$26</definedName>
    <definedName name="gen_l_user40">Constants!$L$26</definedName>
    <definedName name="gen_l_user60">Constants!$M$26</definedName>
    <definedName name="gen_l_user80">Constants!$N$26</definedName>
    <definedName name="gen_xl_bw">Constants!$F$27</definedName>
    <definedName name="gen_xl_core">Constants!$C$27</definedName>
    <definedName name="gen_xl_cost">Constants!$X$27</definedName>
    <definedName name="gen_xl_disk">Constants!$E$27</definedName>
    <definedName name="gen_xl_ports">Constants!$G$27</definedName>
    <definedName name="gen_xl_pow100">Constants!$S$27</definedName>
    <definedName name="gen_xl_pow40">Constants!$P$27</definedName>
    <definedName name="gen_xl_pow60">Constants!$Q$27</definedName>
    <definedName name="gen_xl_pow80">Constants!$R$27</definedName>
    <definedName name="gen_xl_ram">Constants!$D$27</definedName>
    <definedName name="gen_xl_ru">Constants!$B$27</definedName>
    <definedName name="gen_xl_spr100">Constants!$W$27</definedName>
    <definedName name="gen_xl_spr40">Constants!$T$27</definedName>
    <definedName name="gen_xl_spr60">Constants!$U$27</definedName>
    <definedName name="gen_xl_spr80">Constants!$V$27</definedName>
    <definedName name="gen_xl_tps100">Constants!$K$27</definedName>
    <definedName name="gen_xl_tps40">Constants!$H$27</definedName>
    <definedName name="gen_xl_tps60">Constants!$I$27</definedName>
    <definedName name="gen_xl_tps80">Constants!$J$27</definedName>
    <definedName name="gen_xl_user100">Constants!$O$27</definedName>
    <definedName name="gen_xl_user40">Constants!$L$27</definedName>
    <definedName name="gen_xl_user60">Constants!$M$27</definedName>
    <definedName name="gen_xl_user80">Constants!$N$27</definedName>
    <definedName name="gig_bw">Constants!$F$36</definedName>
    <definedName name="gig_cost">Constants!$H$36</definedName>
    <definedName name="gig_ports">Constants!$E$36</definedName>
    <definedName name="gig_pwr">Constants!$G$36</definedName>
    <definedName name="hbr_percent">Constants!$G$9</definedName>
    <definedName name="hw_supt">Constants!$B$43</definedName>
    <definedName name="inflation">Constants!#REF!</definedName>
    <definedName name="ip_tx_cost">Constants!$B$46</definedName>
    <definedName name="kwh_cost">Constants!$B$45</definedName>
    <definedName name="lbr_percent">Constants!$E$9</definedName>
    <definedName name="log_compression">Constants!#REF!</definedName>
    <definedName name="log_per_event">Constants!#REF!</definedName>
    <definedName name="log_size">Constants!#REF!</definedName>
    <definedName name="max_rpwr">Constants!$C$39</definedName>
    <definedName name="max_ru">Constants!$B$39</definedName>
    <definedName name="mem_limit">Constants!$D$18</definedName>
    <definedName name="nas_bw">Constants!$E$30</definedName>
    <definedName name="nas_cost">Constants!$G$30</definedName>
    <definedName name="nas_disk">Constants!$C$30</definedName>
    <definedName name="nas_ports">Constants!$D$30</definedName>
    <definedName name="nas_pwr">Constants!$F$30</definedName>
    <definedName name="nas_ru">Constants!$B$30</definedName>
    <definedName name="nas_spr">Constants!$H$30</definedName>
    <definedName name="oc192_bw">Constants!$N$36</definedName>
    <definedName name="oc192_cost">Constants!$P$36</definedName>
    <definedName name="oc192_ports">Constants!$M$36</definedName>
    <definedName name="oc192_pwr">Constants!$O$36</definedName>
    <definedName name="oc48_bw">Constants!$J$36</definedName>
    <definedName name="oc48_cost">Constants!$L$36</definedName>
    <definedName name="oc48_ports">Constants!$I$36</definedName>
    <definedName name="oc48_pwr">Constants!$K$36</definedName>
    <definedName name="peak_bw">Constants!#REF!</definedName>
    <definedName name="peak_hrs">'CPU (Workload)'!$B$3</definedName>
    <definedName name="peak_user">Constants!#REF!</definedName>
    <definedName name="perm_percent">Constants!$D$15</definedName>
    <definedName name="perm_req">Constants!$C$15</definedName>
    <definedName name="prof_num_upd">Constants!#REF!</definedName>
    <definedName name="prof_size">Constants!#REF!</definedName>
    <definedName name="prof_upd_size">Constants!#REF!</definedName>
    <definedName name="prop_tax">Constants!$B$52</definedName>
    <definedName name="pue">Constants!#REF!</definedName>
    <definedName name="rack_cost">Constants!$D$39</definedName>
    <definedName name="rack_sf">Constants!$B$44</definedName>
    <definedName name="raid5">Constants!#REF!</definedName>
    <definedName name="req_size">Constants!$B$15</definedName>
    <definedName name="resp_size">Constants!#REF!</definedName>
    <definedName name="sbr_percent">Constants!$F$9</definedName>
    <definedName name="shelf_cards">Constants!$D$36</definedName>
    <definedName name="shelf_cost">Constants!$B$36</definedName>
    <definedName name="shelf_ports">Constants!#REF!</definedName>
    <definedName name="shelf_rus">Constants!$C$36</definedName>
    <definedName name="stream_dur">Constants!$H$9</definedName>
    <definedName name="stream_hbr">Constants!$D$9</definedName>
    <definedName name="stream_lbr">Constants!$B$9</definedName>
    <definedName name="stream_percent">Constants!$J$9</definedName>
    <definedName name="stream_req">Constants!$I$9</definedName>
    <definedName name="stream_sbr">Constants!$C$9</definedName>
    <definedName name="tor_cost">Constants!#REF!</definedName>
    <definedName name="tor_ports">Constants!#REF!</definedName>
    <definedName name="tor_pwr">Constants!#REF!</definedName>
    <definedName name="tot_req_hr">Constants!$B$6</definedName>
    <definedName name="tot_req_sec">Constants!$C$6</definedName>
    <definedName name="tot_songs">Constants!$B$3</definedName>
    <definedName name="upd_percent">Constants!#REF!</definedName>
    <definedName name="user_devs">Constants!#REF!</definedName>
    <definedName name="user_prof">Constants!#REF!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 l="1"/>
  <c r="D7" i="5" s="1"/>
  <c r="C8" i="5"/>
  <c r="D8" i="5" s="1"/>
  <c r="C9" i="5"/>
  <c r="C10" i="5"/>
  <c r="D10" i="5" s="1"/>
  <c r="C11" i="5"/>
  <c r="C6" i="5"/>
  <c r="D6" i="5" s="1"/>
  <c r="D9" i="5"/>
  <c r="D11" i="5"/>
  <c r="D38" i="6"/>
  <c r="E38" i="6"/>
  <c r="AQ95" i="6" l="1"/>
  <c r="G193" i="6"/>
  <c r="C176" i="6" s="1"/>
  <c r="D176" i="6" s="1"/>
  <c r="E176" i="6" s="1"/>
  <c r="F193" i="6"/>
  <c r="C175" i="6" s="1"/>
  <c r="D175" i="6" s="1"/>
  <c r="E175" i="6" s="1"/>
  <c r="E193" i="6"/>
  <c r="C174" i="6" s="1"/>
  <c r="D174" i="6" s="1"/>
  <c r="E174" i="6" s="1"/>
  <c r="D193" i="6"/>
  <c r="C173" i="6" s="1"/>
  <c r="C146" i="6"/>
  <c r="AQ94" i="6"/>
  <c r="AQ93" i="6"/>
  <c r="K23" i="1"/>
  <c r="J23" i="1"/>
  <c r="AQ86" i="3"/>
  <c r="AQ85" i="3"/>
  <c r="E30" i="10"/>
  <c r="D26" i="14"/>
  <c r="D16" i="14"/>
  <c r="E9" i="14"/>
  <c r="C9" i="14"/>
  <c r="E8" i="14"/>
  <c r="C8" i="14"/>
  <c r="E7" i="14"/>
  <c r="C7" i="14"/>
  <c r="D5" i="14"/>
  <c r="D8" i="14" s="1"/>
  <c r="G184" i="3"/>
  <c r="C167" i="3" s="1"/>
  <c r="D167" i="3" s="1"/>
  <c r="E167" i="3" s="1"/>
  <c r="F184" i="3"/>
  <c r="C166" i="3" s="1"/>
  <c r="D166" i="3" s="1"/>
  <c r="E166" i="3" s="1"/>
  <c r="E184" i="3"/>
  <c r="C165" i="3" s="1"/>
  <c r="D165" i="3" s="1"/>
  <c r="E165" i="3" s="1"/>
  <c r="D184" i="3"/>
  <c r="C164" i="3" s="1"/>
  <c r="D164" i="3" s="1"/>
  <c r="E164" i="3" s="1"/>
  <c r="C137" i="3"/>
  <c r="E30" i="3"/>
  <c r="K13" i="1" s="1"/>
  <c r="D30" i="3"/>
  <c r="J13" i="1" s="1"/>
  <c r="AQ86" i="4"/>
  <c r="C30" i="10"/>
  <c r="C126" i="2"/>
  <c r="C138" i="4"/>
  <c r="C178" i="6" l="1"/>
  <c r="D173" i="6"/>
  <c r="E173" i="6" s="1"/>
  <c r="D7" i="14"/>
  <c r="D9" i="14"/>
  <c r="C169" i="3"/>
  <c r="G180" i="4"/>
  <c r="C168" i="4" s="1"/>
  <c r="D168" i="4" s="1"/>
  <c r="E168" i="4" s="1"/>
  <c r="F180" i="4"/>
  <c r="C167" i="4" s="1"/>
  <c r="D167" i="4" s="1"/>
  <c r="E167" i="4" s="1"/>
  <c r="E180" i="4"/>
  <c r="C166" i="4" s="1"/>
  <c r="D166" i="4" s="1"/>
  <c r="E166" i="4" s="1"/>
  <c r="D180" i="4"/>
  <c r="C165" i="4" s="1"/>
  <c r="D165" i="4" s="1"/>
  <c r="E165" i="4" s="1"/>
  <c r="AQ85" i="4"/>
  <c r="AQ84" i="4"/>
  <c r="E39" i="4"/>
  <c r="E23" i="1" s="1"/>
  <c r="D39" i="4"/>
  <c r="D23" i="1" s="1"/>
  <c r="D178" i="6" l="1"/>
  <c r="C36" i="6"/>
  <c r="I21" i="1" s="1"/>
  <c r="D169" i="3"/>
  <c r="C28" i="3"/>
  <c r="I11" i="1" s="1"/>
  <c r="C170" i="4"/>
  <c r="D29" i="2"/>
  <c r="D13" i="1" s="1"/>
  <c r="E29" i="2"/>
  <c r="E13" i="1" s="1"/>
  <c r="G173" i="2"/>
  <c r="C156" i="2" s="1"/>
  <c r="D156" i="2" s="1"/>
  <c r="E156" i="2" s="1"/>
  <c r="F173" i="2"/>
  <c r="C155" i="2" s="1"/>
  <c r="D155" i="2" s="1"/>
  <c r="E155" i="2" s="1"/>
  <c r="E173" i="2"/>
  <c r="C154" i="2" s="1"/>
  <c r="D154" i="2" s="1"/>
  <c r="E154" i="2" s="1"/>
  <c r="D173" i="2"/>
  <c r="C153" i="2" s="1"/>
  <c r="D153" i="2" s="1"/>
  <c r="E153" i="2" s="1"/>
  <c r="E178" i="6" l="1"/>
  <c r="E36" i="6" s="1"/>
  <c r="K21" i="1" s="1"/>
  <c r="D36" i="6"/>
  <c r="J21" i="1" s="1"/>
  <c r="E169" i="3"/>
  <c r="E28" i="3" s="1"/>
  <c r="K11" i="1" s="1"/>
  <c r="D28" i="3"/>
  <c r="J11" i="1" s="1"/>
  <c r="D170" i="4"/>
  <c r="C37" i="4"/>
  <c r="C21" i="1" s="1"/>
  <c r="L21" i="1" l="1"/>
  <c r="F32" i="1" s="1"/>
  <c r="L11" i="1"/>
  <c r="E32" i="1" s="1"/>
  <c r="E170" i="4"/>
  <c r="E37" i="4" s="1"/>
  <c r="E21" i="1" s="1"/>
  <c r="D37" i="4"/>
  <c r="D21" i="1" s="1"/>
  <c r="J36" i="10"/>
  <c r="F36" i="10"/>
  <c r="F27" i="10"/>
  <c r="F26" i="10"/>
  <c r="D35" i="13"/>
  <c r="D34" i="13"/>
  <c r="D33" i="13"/>
  <c r="F8" i="13"/>
  <c r="G8" i="13" s="1"/>
  <c r="F7" i="13"/>
  <c r="D22" i="13"/>
  <c r="D21" i="13"/>
  <c r="D15" i="13"/>
  <c r="D14" i="13"/>
  <c r="D8" i="13"/>
  <c r="D7" i="13"/>
  <c r="N36" i="10"/>
  <c r="O36" i="10" s="1"/>
  <c r="E35" i="13" s="1"/>
  <c r="K36" i="10"/>
  <c r="E34" i="13" s="1"/>
  <c r="G36" i="10"/>
  <c r="E33" i="13" s="1"/>
  <c r="F21" i="1" l="1"/>
  <c r="D32" i="1" s="1"/>
  <c r="F35" i="13"/>
  <c r="G35" i="13" s="1"/>
  <c r="H35" i="13" s="1"/>
  <c r="L35" i="13" s="1"/>
  <c r="F34" i="13"/>
  <c r="G34" i="13" s="1"/>
  <c r="K34" i="13" s="1"/>
  <c r="P34" i="13" s="1"/>
  <c r="F33" i="13"/>
  <c r="G33" i="13" s="1"/>
  <c r="J33" i="13" s="1"/>
  <c r="O33" i="13" s="1"/>
  <c r="G7" i="13"/>
  <c r="K8" i="13"/>
  <c r="P8" i="13" s="1"/>
  <c r="H8" i="13"/>
  <c r="L8" i="13" s="1"/>
  <c r="AQ75" i="2"/>
  <c r="AQ74" i="2"/>
  <c r="J35" i="13" l="1"/>
  <c r="O35" i="13" s="1"/>
  <c r="K35" i="13"/>
  <c r="P35" i="13" s="1"/>
  <c r="H34" i="13"/>
  <c r="L34" i="13" s="1"/>
  <c r="N34" i="13" s="1"/>
  <c r="J34" i="13"/>
  <c r="O34" i="13" s="1"/>
  <c r="Q34" i="13" s="1"/>
  <c r="T34" i="13" s="1"/>
  <c r="H33" i="13"/>
  <c r="L33" i="13" s="1"/>
  <c r="K33" i="13"/>
  <c r="P33" i="13" s="1"/>
  <c r="Q33" i="13" s="1"/>
  <c r="U33" i="13" s="1"/>
  <c r="N35" i="13"/>
  <c r="S35" i="13" s="1"/>
  <c r="N8" i="13"/>
  <c r="K7" i="13"/>
  <c r="H7" i="13"/>
  <c r="L7" i="13" s="1"/>
  <c r="F6" i="5"/>
  <c r="F7" i="5"/>
  <c r="F8" i="5"/>
  <c r="F9" i="5"/>
  <c r="G9" i="5" s="1"/>
  <c r="H9" i="5" s="1"/>
  <c r="F10" i="5"/>
  <c r="F11" i="5"/>
  <c r="F5" i="5"/>
  <c r="E11" i="12"/>
  <c r="D11" i="12"/>
  <c r="C11" i="12"/>
  <c r="F5" i="12"/>
  <c r="F6" i="12" s="1"/>
  <c r="B15" i="10"/>
  <c r="D25" i="14" s="1"/>
  <c r="D12" i="10"/>
  <c r="B12" i="10"/>
  <c r="J9" i="10"/>
  <c r="C6" i="10"/>
  <c r="O27" i="10" s="1"/>
  <c r="H30" i="10"/>
  <c r="F22" i="13"/>
  <c r="G22" i="13" s="1"/>
  <c r="F21" i="13"/>
  <c r="G21" i="13" s="1"/>
  <c r="E27" i="10"/>
  <c r="E26" i="10"/>
  <c r="D27" i="10"/>
  <c r="D26" i="10"/>
  <c r="D15" i="8" l="1"/>
  <c r="D15" i="14"/>
  <c r="U82" i="6"/>
  <c r="AF64" i="3"/>
  <c r="K82" i="6"/>
  <c r="AF72" i="6"/>
  <c r="K74" i="3"/>
  <c r="U72" i="6"/>
  <c r="U74" i="3"/>
  <c r="AF82" i="6"/>
  <c r="K72" i="6"/>
  <c r="K64" i="3"/>
  <c r="AF74" i="3"/>
  <c r="U64" i="3"/>
  <c r="AF83" i="6"/>
  <c r="K73" i="6"/>
  <c r="U83" i="6"/>
  <c r="U65" i="3"/>
  <c r="U75" i="3"/>
  <c r="K83" i="6"/>
  <c r="AF73" i="6"/>
  <c r="AF65" i="3"/>
  <c r="K65" i="3"/>
  <c r="K75" i="3"/>
  <c r="AF75" i="3"/>
  <c r="U73" i="6"/>
  <c r="G10" i="5"/>
  <c r="H10" i="5" s="1"/>
  <c r="G11" i="5"/>
  <c r="H11" i="5" s="1"/>
  <c r="G7" i="5"/>
  <c r="H7" i="5" s="1"/>
  <c r="G6" i="5"/>
  <c r="H6" i="5" s="1"/>
  <c r="G8" i="5"/>
  <c r="H8" i="5" s="1"/>
  <c r="Q35" i="13"/>
  <c r="T35" i="13" s="1"/>
  <c r="AF73" i="4"/>
  <c r="K73" i="4"/>
  <c r="U73" i="4"/>
  <c r="AF74" i="4"/>
  <c r="U74" i="4"/>
  <c r="K74" i="4"/>
  <c r="U34" i="13"/>
  <c r="S34" i="13"/>
  <c r="T33" i="13"/>
  <c r="N33" i="13"/>
  <c r="S33" i="13" s="1"/>
  <c r="AF63" i="2"/>
  <c r="F14" i="13"/>
  <c r="G14" i="13" s="1"/>
  <c r="H22" i="13"/>
  <c r="L22" i="13" s="1"/>
  <c r="K22" i="13"/>
  <c r="I22" i="13"/>
  <c r="M22" i="13" s="1"/>
  <c r="AF64" i="2"/>
  <c r="F15" i="13"/>
  <c r="G15" i="13" s="1"/>
  <c r="H21" i="13"/>
  <c r="L21" i="13" s="1"/>
  <c r="I21" i="13"/>
  <c r="M21" i="13" s="1"/>
  <c r="K21" i="13"/>
  <c r="P7" i="13"/>
  <c r="N7" i="13"/>
  <c r="F11" i="12"/>
  <c r="B3" i="12"/>
  <c r="O26" i="10"/>
  <c r="L26" i="10"/>
  <c r="M26" i="10"/>
  <c r="N27" i="10"/>
  <c r="L27" i="10"/>
  <c r="M27" i="10"/>
  <c r="N26" i="10"/>
  <c r="U35" i="13" l="1"/>
  <c r="V33" i="13"/>
  <c r="V34" i="13"/>
  <c r="P22" i="13"/>
  <c r="N22" i="13"/>
  <c r="H15" i="13"/>
  <c r="L15" i="13" s="1"/>
  <c r="K15" i="13"/>
  <c r="P21" i="13"/>
  <c r="N21" i="13"/>
  <c r="K14" i="13"/>
  <c r="H14" i="13"/>
  <c r="L14" i="13" s="1"/>
  <c r="V35" i="13"/>
  <c r="N14" i="13" l="1"/>
  <c r="P14" i="13"/>
  <c r="P15" i="13"/>
  <c r="N15" i="13"/>
  <c r="U64" i="2"/>
  <c r="U63" i="2"/>
  <c r="K64" i="2"/>
  <c r="K63" i="2"/>
  <c r="D15" i="10"/>
  <c r="E15" i="8" l="1"/>
  <c r="D3" i="8"/>
  <c r="C11" i="8"/>
  <c r="C10" i="8"/>
  <c r="C9" i="8"/>
  <c r="B11" i="8"/>
  <c r="B10" i="8"/>
  <c r="B9" i="8"/>
  <c r="D25" i="7"/>
  <c r="D24" i="7"/>
  <c r="E8" i="7"/>
  <c r="E7" i="7"/>
  <c r="E6" i="7"/>
  <c r="D15" i="7"/>
  <c r="D14" i="7"/>
  <c r="D4" i="7"/>
  <c r="C8" i="7"/>
  <c r="C7" i="7"/>
  <c r="C6" i="7"/>
  <c r="W27" i="10"/>
  <c r="W26" i="10"/>
  <c r="E61" i="6" l="1"/>
  <c r="C53" i="3"/>
  <c r="D61" i="6"/>
  <c r="C62" i="4"/>
  <c r="K65" i="4" s="1"/>
  <c r="C61" i="6"/>
  <c r="E53" i="3"/>
  <c r="D62" i="4"/>
  <c r="D53" i="3"/>
  <c r="E62" i="4"/>
  <c r="AF65" i="4"/>
  <c r="U65" i="4"/>
  <c r="E52" i="2"/>
  <c r="D52" i="2"/>
  <c r="C52" i="2"/>
  <c r="D9" i="8"/>
  <c r="D10" i="8"/>
  <c r="D11" i="8"/>
  <c r="R27" i="10"/>
  <c r="Q27" i="10"/>
  <c r="U27" i="10" s="1"/>
  <c r="P27" i="10"/>
  <c r="T27" i="10" s="1"/>
  <c r="P26" i="10"/>
  <c r="Q26" i="10"/>
  <c r="U26" i="10" s="1"/>
  <c r="R26" i="10"/>
  <c r="U63" i="6" l="1"/>
  <c r="U64" i="6"/>
  <c r="U62" i="6"/>
  <c r="U55" i="3"/>
  <c r="U54" i="3"/>
  <c r="AF54" i="3"/>
  <c r="AF55" i="3"/>
  <c r="K55" i="3"/>
  <c r="K54" i="3"/>
  <c r="K63" i="6"/>
  <c r="K64" i="6"/>
  <c r="K62" i="6"/>
  <c r="AF63" i="6"/>
  <c r="AF64" i="6"/>
  <c r="AF62" i="6"/>
  <c r="U63" i="4"/>
  <c r="U64" i="4"/>
  <c r="AF64" i="4"/>
  <c r="AF63" i="4"/>
  <c r="K63" i="4"/>
  <c r="K64" i="4"/>
  <c r="V27" i="10"/>
  <c r="E22" i="13"/>
  <c r="J22" i="13" s="1"/>
  <c r="O22" i="13" s="1"/>
  <c r="E8" i="13"/>
  <c r="J8" i="13" s="1"/>
  <c r="O8" i="13" s="1"/>
  <c r="E15" i="13"/>
  <c r="J15" i="13" s="1"/>
  <c r="O15" i="13" s="1"/>
  <c r="E14" i="13"/>
  <c r="J14" i="13" s="1"/>
  <c r="O14" i="13" s="1"/>
  <c r="E21" i="13"/>
  <c r="J21" i="13" s="1"/>
  <c r="O21" i="13" s="1"/>
  <c r="E7" i="13"/>
  <c r="J7" i="13" s="1"/>
  <c r="O7" i="13" s="1"/>
  <c r="V26" i="10"/>
  <c r="T26" i="10"/>
  <c r="E11" i="8"/>
  <c r="E10" i="8"/>
  <c r="D51" i="6" l="1"/>
  <c r="D43" i="3"/>
  <c r="C51" i="6"/>
  <c r="C43" i="3"/>
  <c r="E51" i="6"/>
  <c r="E43" i="3"/>
  <c r="Q15" i="13"/>
  <c r="S15" i="13"/>
  <c r="S7" i="13"/>
  <c r="Q7" i="13"/>
  <c r="S8" i="13"/>
  <c r="Q8" i="13"/>
  <c r="Q21" i="13"/>
  <c r="S21" i="13"/>
  <c r="S22" i="13"/>
  <c r="Q22" i="13"/>
  <c r="Q14" i="13"/>
  <c r="S14" i="13"/>
  <c r="E9" i="8"/>
  <c r="D7" i="7"/>
  <c r="D8" i="7"/>
  <c r="D6" i="7"/>
  <c r="C52" i="4" l="1"/>
  <c r="D52" i="4"/>
  <c r="E52" i="4"/>
  <c r="K52" i="6"/>
  <c r="K54" i="6"/>
  <c r="C92" i="6"/>
  <c r="K53" i="6"/>
  <c r="E84" i="3"/>
  <c r="AF44" i="3"/>
  <c r="AF45" i="3"/>
  <c r="D84" i="3"/>
  <c r="U44" i="3"/>
  <c r="U45" i="3"/>
  <c r="K45" i="3"/>
  <c r="K44" i="3"/>
  <c r="C84" i="3"/>
  <c r="AF52" i="6"/>
  <c r="AF54" i="6"/>
  <c r="E92" i="6"/>
  <c r="AF53" i="6"/>
  <c r="D92" i="6"/>
  <c r="U54" i="6"/>
  <c r="U53" i="6"/>
  <c r="U52" i="6"/>
  <c r="AF55" i="4"/>
  <c r="U55" i="4"/>
  <c r="K55" i="4"/>
  <c r="U7" i="13"/>
  <c r="T7" i="13"/>
  <c r="T14" i="13"/>
  <c r="U14" i="13"/>
  <c r="T21" i="13"/>
  <c r="U21" i="13"/>
  <c r="T22" i="13"/>
  <c r="U22" i="13"/>
  <c r="T8" i="13"/>
  <c r="U8" i="13"/>
  <c r="T15" i="13"/>
  <c r="U15" i="13"/>
  <c r="C43" i="2"/>
  <c r="C73" i="2" s="1"/>
  <c r="E43" i="2"/>
  <c r="E73" i="2" s="1"/>
  <c r="D43" i="2"/>
  <c r="D73" i="2" s="1"/>
  <c r="AF54" i="2"/>
  <c r="AF53" i="2"/>
  <c r="C18" i="12"/>
  <c r="C16" i="12"/>
  <c r="C17" i="12"/>
  <c r="C20" i="12"/>
  <c r="C19" i="12"/>
  <c r="C21" i="12"/>
  <c r="U53" i="2"/>
  <c r="U54" i="2"/>
  <c r="K53" i="2"/>
  <c r="K54" i="2"/>
  <c r="V22" i="13" l="1"/>
  <c r="C83" i="4"/>
  <c r="K53" i="4"/>
  <c r="K54" i="4"/>
  <c r="D83" i="4"/>
  <c r="U54" i="4"/>
  <c r="U53" i="4"/>
  <c r="E83" i="4"/>
  <c r="AF54" i="4"/>
  <c r="AF53" i="4"/>
  <c r="V8" i="13"/>
  <c r="V21" i="13"/>
  <c r="V7" i="13"/>
  <c r="V15" i="13"/>
  <c r="V14" i="13"/>
  <c r="F20" i="12"/>
  <c r="D20" i="12"/>
  <c r="E20" i="12"/>
  <c r="E16" i="12"/>
  <c r="D16" i="12"/>
  <c r="F16" i="12"/>
  <c r="E19" i="12"/>
  <c r="L27" i="12" s="1"/>
  <c r="F19" i="12"/>
  <c r="D19" i="12"/>
  <c r="K27" i="12" s="1"/>
  <c r="F18" i="12"/>
  <c r="E18" i="12"/>
  <c r="D18" i="12"/>
  <c r="H9" i="14" s="1"/>
  <c r="E21" i="12"/>
  <c r="L28" i="12" s="1"/>
  <c r="F21" i="12"/>
  <c r="D21" i="12"/>
  <c r="K28" i="12" s="1"/>
  <c r="E17" i="12"/>
  <c r="L26" i="12" s="1"/>
  <c r="F17" i="12"/>
  <c r="D17" i="12"/>
  <c r="K26" i="12" s="1"/>
  <c r="U45" i="2"/>
  <c r="U44" i="2"/>
  <c r="AF45" i="2"/>
  <c r="AF44" i="2"/>
  <c r="K45" i="2"/>
  <c r="K44" i="2"/>
  <c r="N28" i="14" l="1"/>
  <c r="O28" i="14" s="1"/>
  <c r="X6" i="14" s="1"/>
  <c r="M26" i="12"/>
  <c r="N30" i="14"/>
  <c r="O30" i="14" s="1"/>
  <c r="X7" i="14" s="1"/>
  <c r="M27" i="12"/>
  <c r="N32" i="14"/>
  <c r="O32" i="14" s="1"/>
  <c r="X8" i="14" s="1"/>
  <c r="M28" i="12"/>
  <c r="E54" i="3"/>
  <c r="N22" i="14"/>
  <c r="O22" i="14" s="1"/>
  <c r="W8" i="14" s="1"/>
  <c r="E62" i="6"/>
  <c r="D52" i="6"/>
  <c r="D44" i="3"/>
  <c r="H10" i="14"/>
  <c r="D72" i="6"/>
  <c r="D64" i="3"/>
  <c r="H6" i="7"/>
  <c r="H7" i="14"/>
  <c r="N30" i="7"/>
  <c r="O30" i="7" s="1"/>
  <c r="N31" i="14"/>
  <c r="O31" i="14" s="1"/>
  <c r="C62" i="6"/>
  <c r="N18" i="14"/>
  <c r="O18" i="14" s="1"/>
  <c r="W6" i="14" s="1"/>
  <c r="C54" i="3"/>
  <c r="K9" i="14"/>
  <c r="N9" i="14" s="1"/>
  <c r="J9" i="14"/>
  <c r="M9" i="14" s="1"/>
  <c r="I9" i="14"/>
  <c r="L9" i="14" s="1"/>
  <c r="N16" i="7"/>
  <c r="O16" i="7" s="1"/>
  <c r="N17" i="14"/>
  <c r="O17" i="14" s="1"/>
  <c r="D62" i="6"/>
  <c r="N20" i="14"/>
  <c r="O20" i="14" s="1"/>
  <c r="W7" i="14" s="1"/>
  <c r="D54" i="3"/>
  <c r="E52" i="6"/>
  <c r="E44" i="3"/>
  <c r="E72" i="6"/>
  <c r="E64" i="3"/>
  <c r="H12" i="14"/>
  <c r="N18" i="7"/>
  <c r="O18" i="7" s="1"/>
  <c r="N19" i="14"/>
  <c r="O19" i="14" s="1"/>
  <c r="N20" i="7"/>
  <c r="O20" i="7" s="1"/>
  <c r="N21" i="14"/>
  <c r="O21" i="14" s="1"/>
  <c r="C72" i="6"/>
  <c r="C64" i="3"/>
  <c r="C53" i="4"/>
  <c r="C52" i="6"/>
  <c r="C44" i="3"/>
  <c r="H8" i="14"/>
  <c r="N28" i="7"/>
  <c r="O28" i="7" s="1"/>
  <c r="N29" i="14"/>
  <c r="O29" i="14" s="1"/>
  <c r="N26" i="7"/>
  <c r="O26" i="7" s="1"/>
  <c r="N27" i="14"/>
  <c r="O27" i="14" s="1"/>
  <c r="H10" i="7"/>
  <c r="H11" i="14"/>
  <c r="E53" i="2"/>
  <c r="E63" i="4"/>
  <c r="C53" i="2"/>
  <c r="C63" i="4"/>
  <c r="C44" i="2"/>
  <c r="D53" i="2"/>
  <c r="D63" i="4"/>
  <c r="D44" i="2"/>
  <c r="S45" i="2" s="1"/>
  <c r="D53" i="4"/>
  <c r="E44" i="2"/>
  <c r="AE44" i="2" s="1"/>
  <c r="E53" i="4"/>
  <c r="S44" i="2"/>
  <c r="H11" i="7"/>
  <c r="J6" i="7"/>
  <c r="M6" i="7" s="1"/>
  <c r="K6" i="7"/>
  <c r="N6" i="7" s="1"/>
  <c r="I6" i="7"/>
  <c r="L6" i="7" s="1"/>
  <c r="N21" i="7"/>
  <c r="O21" i="7" s="1"/>
  <c r="U7" i="7" s="1"/>
  <c r="N29" i="7"/>
  <c r="O29" i="7" s="1"/>
  <c r="V6" i="7" s="1"/>
  <c r="N27" i="7"/>
  <c r="O27" i="7" s="1"/>
  <c r="V5" i="7" s="1"/>
  <c r="G18" i="12"/>
  <c r="H8" i="7"/>
  <c r="N17" i="7"/>
  <c r="O17" i="7" s="1"/>
  <c r="U5" i="7" s="1"/>
  <c r="N31" i="7"/>
  <c r="O31" i="7" s="1"/>
  <c r="V7" i="7" s="1"/>
  <c r="H9" i="7"/>
  <c r="H7" i="7"/>
  <c r="N19" i="7"/>
  <c r="O19" i="7" s="1"/>
  <c r="U6" i="7" s="1"/>
  <c r="I10" i="7"/>
  <c r="L10" i="7" s="1"/>
  <c r="J10" i="7"/>
  <c r="M10" i="7" s="1"/>
  <c r="K10" i="7"/>
  <c r="N10" i="7" s="1"/>
  <c r="G20" i="12"/>
  <c r="G17" i="12"/>
  <c r="G21" i="12"/>
  <c r="G19" i="12"/>
  <c r="G16" i="12"/>
  <c r="K11" i="14" l="1"/>
  <c r="N11" i="14" s="1"/>
  <c r="J11" i="14"/>
  <c r="M11" i="14" s="1"/>
  <c r="I11" i="14"/>
  <c r="L11" i="14" s="1"/>
  <c r="J53" i="6"/>
  <c r="H52" i="6"/>
  <c r="I53" i="6"/>
  <c r="J52" i="6"/>
  <c r="I52" i="6"/>
  <c r="H53" i="6"/>
  <c r="R53" i="6" s="1"/>
  <c r="J12" i="14"/>
  <c r="M12" i="14" s="1"/>
  <c r="I12" i="14"/>
  <c r="L12" i="14" s="1"/>
  <c r="K12" i="14"/>
  <c r="N12" i="14" s="1"/>
  <c r="AE53" i="6"/>
  <c r="AC53" i="6"/>
  <c r="AD52" i="6"/>
  <c r="AD53" i="6"/>
  <c r="AE52" i="6"/>
  <c r="AC52" i="6"/>
  <c r="O9" i="14"/>
  <c r="O39" i="14" s="1"/>
  <c r="S64" i="3"/>
  <c r="S65" i="3"/>
  <c r="R64" i="3"/>
  <c r="T64" i="3"/>
  <c r="T65" i="3"/>
  <c r="S52" i="6"/>
  <c r="T52" i="6"/>
  <c r="R52" i="6"/>
  <c r="T53" i="6"/>
  <c r="S53" i="6"/>
  <c r="C74" i="3"/>
  <c r="C82" i="6"/>
  <c r="AE64" i="3"/>
  <c r="AC65" i="3"/>
  <c r="AC64" i="3"/>
  <c r="AE65" i="3"/>
  <c r="AD64" i="3"/>
  <c r="AD65" i="3"/>
  <c r="T54" i="3"/>
  <c r="S55" i="3"/>
  <c r="S54" i="3"/>
  <c r="R54" i="3"/>
  <c r="T55" i="3"/>
  <c r="J54" i="3"/>
  <c r="H54" i="3"/>
  <c r="J55" i="3"/>
  <c r="H55" i="3"/>
  <c r="R55" i="3" s="1"/>
  <c r="I55" i="3"/>
  <c r="I54" i="3"/>
  <c r="S72" i="6"/>
  <c r="S73" i="6"/>
  <c r="R72" i="6"/>
  <c r="T73" i="6"/>
  <c r="T72" i="6"/>
  <c r="AC63" i="6"/>
  <c r="AD63" i="6"/>
  <c r="AD62" i="6"/>
  <c r="AE62" i="6"/>
  <c r="AC62" i="6"/>
  <c r="AE63" i="6"/>
  <c r="K8" i="14"/>
  <c r="N8" i="14" s="1"/>
  <c r="J8" i="14"/>
  <c r="M8" i="14" s="1"/>
  <c r="I8" i="14"/>
  <c r="L8" i="14" s="1"/>
  <c r="J64" i="3"/>
  <c r="I65" i="3"/>
  <c r="H65" i="3"/>
  <c r="R65" i="3" s="1"/>
  <c r="J65" i="3"/>
  <c r="I64" i="3"/>
  <c r="H64" i="3"/>
  <c r="AD73" i="6"/>
  <c r="AC72" i="6"/>
  <c r="AE72" i="6"/>
  <c r="AC73" i="6"/>
  <c r="AE73" i="6"/>
  <c r="AD72" i="6"/>
  <c r="K7" i="14"/>
  <c r="N7" i="14" s="1"/>
  <c r="J7" i="14"/>
  <c r="M7" i="14" s="1"/>
  <c r="I7" i="14"/>
  <c r="L7" i="14" s="1"/>
  <c r="K10" i="14"/>
  <c r="N10" i="14" s="1"/>
  <c r="J10" i="14"/>
  <c r="M10" i="14" s="1"/>
  <c r="I10" i="14"/>
  <c r="L10" i="14" s="1"/>
  <c r="E82" i="6"/>
  <c r="E93" i="6" s="1"/>
  <c r="E74" i="3"/>
  <c r="D64" i="4"/>
  <c r="V65" i="4" s="1"/>
  <c r="W65" i="4" s="1"/>
  <c r="D75" i="3"/>
  <c r="D63" i="6"/>
  <c r="D55" i="3"/>
  <c r="D83" i="6"/>
  <c r="C64" i="4"/>
  <c r="L65" i="4" s="1"/>
  <c r="M65" i="4" s="1"/>
  <c r="BP62" i="4" s="1"/>
  <c r="C83" i="6"/>
  <c r="C55" i="3"/>
  <c r="C75" i="3"/>
  <c r="C63" i="6"/>
  <c r="D82" i="6"/>
  <c r="D74" i="3"/>
  <c r="E64" i="4"/>
  <c r="AG65" i="4" s="1"/>
  <c r="AH65" i="4" s="1"/>
  <c r="BI65" i="4" s="1"/>
  <c r="E63" i="6"/>
  <c r="E83" i="6"/>
  <c r="E55" i="3"/>
  <c r="E75" i="3"/>
  <c r="H45" i="3"/>
  <c r="R45" i="3" s="1"/>
  <c r="J44" i="3"/>
  <c r="J45" i="3"/>
  <c r="C85" i="3"/>
  <c r="I45" i="3"/>
  <c r="I44" i="3"/>
  <c r="H44" i="3"/>
  <c r="J73" i="6"/>
  <c r="H72" i="6"/>
  <c r="J72" i="6"/>
  <c r="H73" i="6"/>
  <c r="R73" i="6" s="1"/>
  <c r="I73" i="6"/>
  <c r="I72" i="6"/>
  <c r="AE44" i="3"/>
  <c r="AC45" i="3"/>
  <c r="AD44" i="3"/>
  <c r="AC44" i="3"/>
  <c r="AD45" i="3"/>
  <c r="AE45" i="3"/>
  <c r="E85" i="3"/>
  <c r="R62" i="6"/>
  <c r="S62" i="6"/>
  <c r="T63" i="6"/>
  <c r="S63" i="6"/>
  <c r="T62" i="6"/>
  <c r="H62" i="6"/>
  <c r="I63" i="6"/>
  <c r="I62" i="6"/>
  <c r="J62" i="6"/>
  <c r="J63" i="6"/>
  <c r="H63" i="6"/>
  <c r="R63" i="6" s="1"/>
  <c r="S44" i="3"/>
  <c r="R44" i="3"/>
  <c r="T44" i="3"/>
  <c r="S45" i="3"/>
  <c r="T45" i="3"/>
  <c r="D85" i="3"/>
  <c r="AE55" i="3"/>
  <c r="AC54" i="3"/>
  <c r="AE54" i="3"/>
  <c r="AC55" i="3"/>
  <c r="AD55" i="3"/>
  <c r="AD54" i="3"/>
  <c r="AD44" i="2"/>
  <c r="AE45" i="2"/>
  <c r="AD45" i="2"/>
  <c r="AC44" i="2"/>
  <c r="AC45" i="2"/>
  <c r="J53" i="2"/>
  <c r="H53" i="2"/>
  <c r="I54" i="2"/>
  <c r="I53" i="2"/>
  <c r="J54" i="2"/>
  <c r="H54" i="2"/>
  <c r="R54" i="2" s="1"/>
  <c r="I44" i="2"/>
  <c r="J45" i="2"/>
  <c r="H45" i="2"/>
  <c r="R45" i="2" s="1"/>
  <c r="J44" i="2"/>
  <c r="H44" i="2"/>
  <c r="I45" i="2"/>
  <c r="T45" i="2"/>
  <c r="T44" i="2"/>
  <c r="R44" i="2"/>
  <c r="Z65" i="4"/>
  <c r="V64" i="4"/>
  <c r="J63" i="4"/>
  <c r="J64" i="4"/>
  <c r="I63" i="4"/>
  <c r="H64" i="4"/>
  <c r="R64" i="4" s="1"/>
  <c r="I64" i="4"/>
  <c r="H63" i="4"/>
  <c r="D73" i="4"/>
  <c r="D84" i="4" s="1"/>
  <c r="D63" i="2"/>
  <c r="S64" i="2" s="1"/>
  <c r="T54" i="4"/>
  <c r="T53" i="4"/>
  <c r="S53" i="4"/>
  <c r="R53" i="4"/>
  <c r="S54" i="4"/>
  <c r="AD53" i="4"/>
  <c r="AE54" i="4"/>
  <c r="AC54" i="4"/>
  <c r="AE53" i="4"/>
  <c r="AD54" i="4"/>
  <c r="AC53" i="4"/>
  <c r="I54" i="4"/>
  <c r="J53" i="4"/>
  <c r="H54" i="4"/>
  <c r="R54" i="4" s="1"/>
  <c r="H53" i="4"/>
  <c r="J54" i="4"/>
  <c r="I53" i="4"/>
  <c r="AE63" i="4"/>
  <c r="AC64" i="4"/>
  <c r="AC63" i="4"/>
  <c r="AD63" i="4"/>
  <c r="AD64" i="4"/>
  <c r="AE64" i="4"/>
  <c r="S63" i="4"/>
  <c r="R63" i="4"/>
  <c r="S64" i="4"/>
  <c r="T64" i="4"/>
  <c r="T63" i="4"/>
  <c r="E73" i="4"/>
  <c r="E84" i="4" s="1"/>
  <c r="E63" i="2"/>
  <c r="AD64" i="2" s="1"/>
  <c r="C63" i="2"/>
  <c r="J63" i="2" s="1"/>
  <c r="C73" i="4"/>
  <c r="C84" i="4" s="1"/>
  <c r="O10" i="7"/>
  <c r="O42" i="7" s="1"/>
  <c r="O6" i="7"/>
  <c r="O38" i="7" s="1"/>
  <c r="K9" i="7"/>
  <c r="N9" i="7" s="1"/>
  <c r="J9" i="7"/>
  <c r="M9" i="7" s="1"/>
  <c r="I9" i="7"/>
  <c r="L9" i="7" s="1"/>
  <c r="C54" i="2"/>
  <c r="D54" i="2"/>
  <c r="I63" i="2"/>
  <c r="R53" i="2"/>
  <c r="T54" i="2"/>
  <c r="S54" i="2"/>
  <c r="S53" i="2"/>
  <c r="T53" i="2"/>
  <c r="K8" i="7"/>
  <c r="N8" i="7" s="1"/>
  <c r="I8" i="7"/>
  <c r="L8" i="7" s="1"/>
  <c r="J8" i="7"/>
  <c r="M8" i="7" s="1"/>
  <c r="AE54" i="2"/>
  <c r="AD54" i="2"/>
  <c r="AC54" i="2"/>
  <c r="AE53" i="2"/>
  <c r="AD53" i="2"/>
  <c r="AC53" i="2"/>
  <c r="K7" i="7"/>
  <c r="N7" i="7" s="1"/>
  <c r="I7" i="7"/>
  <c r="L7" i="7" s="1"/>
  <c r="J7" i="7"/>
  <c r="M7" i="7" s="1"/>
  <c r="K11" i="7"/>
  <c r="N11" i="7" s="1"/>
  <c r="I11" i="7"/>
  <c r="L11" i="7" s="1"/>
  <c r="J11" i="7"/>
  <c r="M11" i="7" s="1"/>
  <c r="E54" i="2"/>
  <c r="AG64" i="4" l="1"/>
  <c r="AG63" i="4"/>
  <c r="V63" i="4"/>
  <c r="AN65" i="4"/>
  <c r="L63" i="4"/>
  <c r="M63" i="4" s="1"/>
  <c r="N65" i="4"/>
  <c r="BP63" i="4" s="1"/>
  <c r="L64" i="4"/>
  <c r="M64" i="4" s="1"/>
  <c r="O64" i="4" s="1"/>
  <c r="X65" i="4"/>
  <c r="BQ62" i="4" s="1"/>
  <c r="O10" i="14"/>
  <c r="O8" i="14"/>
  <c r="V6" i="14" s="1"/>
  <c r="O12" i="14"/>
  <c r="O40" i="14"/>
  <c r="V7" i="14"/>
  <c r="O38" i="14"/>
  <c r="AK65" i="4"/>
  <c r="BR64" i="4" s="1"/>
  <c r="O65" i="4"/>
  <c r="BP64" i="4" s="1"/>
  <c r="AG62" i="6"/>
  <c r="AH62" i="6" s="1"/>
  <c r="AG64" i="6"/>
  <c r="AH64" i="6" s="1"/>
  <c r="AG63" i="6"/>
  <c r="AH63" i="6" s="1"/>
  <c r="L63" i="6"/>
  <c r="M63" i="6" s="1"/>
  <c r="L62" i="6"/>
  <c r="M62" i="6" s="1"/>
  <c r="L64" i="6"/>
  <c r="M64" i="6" s="1"/>
  <c r="V75" i="3"/>
  <c r="V74" i="3"/>
  <c r="AG74" i="3"/>
  <c r="AG75" i="3"/>
  <c r="L75" i="3"/>
  <c r="L74" i="3"/>
  <c r="V83" i="6"/>
  <c r="V82" i="6"/>
  <c r="J82" i="6"/>
  <c r="I83" i="6"/>
  <c r="H83" i="6"/>
  <c r="R83" i="6" s="1"/>
  <c r="I82" i="6"/>
  <c r="J83" i="6"/>
  <c r="H82" i="6"/>
  <c r="O11" i="14"/>
  <c r="O41" i="14" s="1"/>
  <c r="D53" i="6"/>
  <c r="D45" i="3"/>
  <c r="AG54" i="3"/>
  <c r="AH54" i="3" s="1"/>
  <c r="AG55" i="3"/>
  <c r="AH55" i="3" s="1"/>
  <c r="R74" i="3"/>
  <c r="S74" i="3"/>
  <c r="T74" i="3"/>
  <c r="W74" i="3" s="1"/>
  <c r="S75" i="3"/>
  <c r="T75" i="3"/>
  <c r="L55" i="3"/>
  <c r="M55" i="3" s="1"/>
  <c r="L54" i="3"/>
  <c r="M54" i="3" s="1"/>
  <c r="V55" i="3"/>
  <c r="V54" i="3"/>
  <c r="AE74" i="3"/>
  <c r="AD74" i="3"/>
  <c r="AC74" i="3"/>
  <c r="AC75" i="3"/>
  <c r="AD75" i="3"/>
  <c r="AE75" i="3"/>
  <c r="W55" i="3"/>
  <c r="W54" i="3"/>
  <c r="H75" i="3"/>
  <c r="R75" i="3" s="1"/>
  <c r="J74" i="3"/>
  <c r="M74" i="3" s="1"/>
  <c r="H74" i="3"/>
  <c r="I74" i="3"/>
  <c r="J75" i="3"/>
  <c r="I75" i="3"/>
  <c r="C93" i="6"/>
  <c r="C53" i="6"/>
  <c r="C45" i="3"/>
  <c r="E53" i="6"/>
  <c r="E45" i="3"/>
  <c r="AG82" i="6"/>
  <c r="AG83" i="6"/>
  <c r="T82" i="6"/>
  <c r="S83" i="6"/>
  <c r="T83" i="6"/>
  <c r="S82" i="6"/>
  <c r="R82" i="6"/>
  <c r="L83" i="6"/>
  <c r="L82" i="6"/>
  <c r="V64" i="6"/>
  <c r="W64" i="6" s="1"/>
  <c r="V62" i="6"/>
  <c r="W62" i="6" s="1"/>
  <c r="V63" i="6"/>
  <c r="W63" i="6" s="1"/>
  <c r="AC83" i="6"/>
  <c r="AE83" i="6"/>
  <c r="AH83" i="6" s="1"/>
  <c r="AD82" i="6"/>
  <c r="AE82" i="6"/>
  <c r="AD83" i="6"/>
  <c r="AC82" i="6"/>
  <c r="O7" i="14"/>
  <c r="O37" i="14" s="1"/>
  <c r="D93" i="6"/>
  <c r="AE64" i="2"/>
  <c r="D74" i="2"/>
  <c r="S63" i="2"/>
  <c r="R63" i="2"/>
  <c r="T64" i="2"/>
  <c r="T63" i="2"/>
  <c r="H64" i="2"/>
  <c r="R64" i="2" s="1"/>
  <c r="AW65" i="4"/>
  <c r="BQ64" i="4"/>
  <c r="W63" i="4"/>
  <c r="Z63" i="4" s="1"/>
  <c r="AW63" i="4" s="1"/>
  <c r="AX65" i="4"/>
  <c r="H63" i="2"/>
  <c r="W64" i="4"/>
  <c r="C74" i="2"/>
  <c r="J64" i="2"/>
  <c r="I64" i="2"/>
  <c r="E74" i="2"/>
  <c r="AC64" i="2"/>
  <c r="AE63" i="2"/>
  <c r="AC63" i="2"/>
  <c r="AD63" i="2"/>
  <c r="AH64" i="4"/>
  <c r="AK64" i="4" s="1"/>
  <c r="I73" i="4"/>
  <c r="H73" i="4"/>
  <c r="H74" i="4"/>
  <c r="R74" i="4" s="1"/>
  <c r="J74" i="4"/>
  <c r="J73" i="4"/>
  <c r="I74" i="4"/>
  <c r="AH63" i="4"/>
  <c r="AC74" i="4"/>
  <c r="AC73" i="4"/>
  <c r="AE74" i="4"/>
  <c r="AD73" i="4"/>
  <c r="AE73" i="4"/>
  <c r="AD74" i="4"/>
  <c r="T73" i="4"/>
  <c r="S74" i="4"/>
  <c r="S73" i="4"/>
  <c r="R73" i="4"/>
  <c r="T74" i="4"/>
  <c r="O9" i="7"/>
  <c r="O7" i="7"/>
  <c r="O8" i="7"/>
  <c r="O40" i="7" s="1"/>
  <c r="V53" i="2"/>
  <c r="W53" i="2" s="1"/>
  <c r="V54" i="2"/>
  <c r="W54" i="2" s="1"/>
  <c r="AG53" i="2"/>
  <c r="AH53" i="2" s="1"/>
  <c r="AG54" i="2"/>
  <c r="AH54" i="2" s="1"/>
  <c r="AK54" i="2" s="1"/>
  <c r="O11" i="7"/>
  <c r="L54" i="2"/>
  <c r="M54" i="2" s="1"/>
  <c r="L53" i="2"/>
  <c r="M53" i="2" s="1"/>
  <c r="O53" i="2" s="1"/>
  <c r="W75" i="3" l="1"/>
  <c r="AO65" i="4"/>
  <c r="AP65" i="4"/>
  <c r="AR65" i="4" s="1"/>
  <c r="BP61" i="4" s="1"/>
  <c r="BD65" i="4"/>
  <c r="Y65" i="4"/>
  <c r="BQ63" i="4" s="1"/>
  <c r="BK65" i="4"/>
  <c r="AI65" i="4"/>
  <c r="BR62" i="4" s="1"/>
  <c r="AU65" i="4"/>
  <c r="C54" i="4"/>
  <c r="L55" i="4" s="1"/>
  <c r="M55" i="4" s="1"/>
  <c r="AN55" i="4" s="1"/>
  <c r="AN86" i="4" s="1"/>
  <c r="T5" i="7"/>
  <c r="D54" i="4"/>
  <c r="V53" i="4" s="1"/>
  <c r="W53" i="4" s="1"/>
  <c r="T6" i="7"/>
  <c r="E54" i="4"/>
  <c r="AG55" i="4" s="1"/>
  <c r="AH55" i="4" s="1"/>
  <c r="AK55" i="4" s="1"/>
  <c r="T7" i="7"/>
  <c r="O42" i="14"/>
  <c r="V8" i="14"/>
  <c r="W83" i="6"/>
  <c r="M83" i="6"/>
  <c r="AI62" i="6"/>
  <c r="Z62" i="6"/>
  <c r="AW62" i="6" s="1"/>
  <c r="X62" i="6"/>
  <c r="Z63" i="6"/>
  <c r="AW63" i="6" s="1"/>
  <c r="X63" i="6"/>
  <c r="O55" i="3"/>
  <c r="AN55" i="3"/>
  <c r="N55" i="3"/>
  <c r="BP53" i="3"/>
  <c r="BI54" i="3"/>
  <c r="AI54" i="3"/>
  <c r="AK54" i="3"/>
  <c r="O62" i="6"/>
  <c r="AP62" i="6" s="1"/>
  <c r="AN62" i="6"/>
  <c r="N62" i="6"/>
  <c r="AO62" i="6" s="1"/>
  <c r="AK62" i="6"/>
  <c r="BI62" i="6"/>
  <c r="O63" i="6"/>
  <c r="AP63" i="6" s="1"/>
  <c r="N63" i="6"/>
  <c r="AO63" i="6" s="1"/>
  <c r="AN63" i="6"/>
  <c r="M82" i="6"/>
  <c r="AH82" i="6"/>
  <c r="AG44" i="3"/>
  <c r="AH44" i="3" s="1"/>
  <c r="AG45" i="3"/>
  <c r="AH45" i="3" s="1"/>
  <c r="C65" i="3"/>
  <c r="X55" i="3"/>
  <c r="Z55" i="3"/>
  <c r="Z75" i="3"/>
  <c r="V54" i="6"/>
  <c r="W54" i="6" s="1"/>
  <c r="V53" i="6"/>
  <c r="W53" i="6" s="1"/>
  <c r="V52" i="6"/>
  <c r="W52" i="6" s="1"/>
  <c r="V44" i="3"/>
  <c r="W44" i="3" s="1"/>
  <c r="V45" i="3"/>
  <c r="W45" i="3" s="1"/>
  <c r="AK64" i="6"/>
  <c r="BI64" i="6"/>
  <c r="W82" i="6"/>
  <c r="Z82" i="6" s="1"/>
  <c r="AW82" i="6" s="1"/>
  <c r="BI55" i="3"/>
  <c r="AK55" i="3"/>
  <c r="AI55" i="3"/>
  <c r="AG54" i="6"/>
  <c r="AH54" i="6" s="1"/>
  <c r="AG53" i="6"/>
  <c r="AH53" i="6" s="1"/>
  <c r="AG52" i="6"/>
  <c r="AH52" i="6" s="1"/>
  <c r="C73" i="6"/>
  <c r="C94" i="6" s="1"/>
  <c r="O74" i="3"/>
  <c r="AP74" i="3" s="1"/>
  <c r="N74" i="3"/>
  <c r="AO74" i="3" s="1"/>
  <c r="AN74" i="3"/>
  <c r="D65" i="3"/>
  <c r="AK63" i="6"/>
  <c r="BI63" i="6"/>
  <c r="AI63" i="6"/>
  <c r="AH74" i="3"/>
  <c r="Z83" i="6"/>
  <c r="X83" i="6"/>
  <c r="E73" i="6"/>
  <c r="E94" i="6" s="1"/>
  <c r="L54" i="6"/>
  <c r="M54" i="6" s="1"/>
  <c r="M95" i="6" s="1"/>
  <c r="C123" i="6" s="1"/>
  <c r="H124" i="6" s="1"/>
  <c r="H131" i="6" s="1"/>
  <c r="M131" i="6" s="1"/>
  <c r="L52" i="6"/>
  <c r="M52" i="6" s="1"/>
  <c r="L53" i="6"/>
  <c r="M53" i="6" s="1"/>
  <c r="Z54" i="3"/>
  <c r="AW54" i="3" s="1"/>
  <c r="X54" i="3"/>
  <c r="AN83" i="6"/>
  <c r="N83" i="6"/>
  <c r="O83" i="6"/>
  <c r="BP81" i="6"/>
  <c r="AN64" i="6"/>
  <c r="O64" i="6"/>
  <c r="N64" i="6"/>
  <c r="BP61" i="6"/>
  <c r="AI83" i="6"/>
  <c r="BI83" i="6"/>
  <c r="AK83" i="6"/>
  <c r="Z64" i="6"/>
  <c r="X64" i="6"/>
  <c r="AI64" i="6" s="1"/>
  <c r="E65" i="3"/>
  <c r="L45" i="3"/>
  <c r="M45" i="3" s="1"/>
  <c r="C86" i="3"/>
  <c r="L44" i="3"/>
  <c r="M44" i="3" s="1"/>
  <c r="M75" i="3"/>
  <c r="AH75" i="3"/>
  <c r="N54" i="3"/>
  <c r="AO54" i="3" s="1"/>
  <c r="O54" i="3"/>
  <c r="AP54" i="3" s="1"/>
  <c r="AN54" i="3"/>
  <c r="Z74" i="3"/>
  <c r="AW74" i="3" s="1"/>
  <c r="X74" i="3"/>
  <c r="D73" i="6"/>
  <c r="V55" i="4"/>
  <c r="W55" i="4" s="1"/>
  <c r="W86" i="4" s="1"/>
  <c r="BE65" i="4"/>
  <c r="BI64" i="4"/>
  <c r="X64" i="4"/>
  <c r="Y64" i="4" s="1"/>
  <c r="Z64" i="4"/>
  <c r="BK64" i="4" s="1"/>
  <c r="N64" i="4"/>
  <c r="AO64" i="4" s="1"/>
  <c r="AN64" i="4"/>
  <c r="AX64" i="4" s="1"/>
  <c r="AI64" i="4"/>
  <c r="BB64" i="4" s="1"/>
  <c r="BD64" i="4"/>
  <c r="AP64" i="4"/>
  <c r="AI63" i="4"/>
  <c r="AK63" i="4"/>
  <c r="BI63" i="4"/>
  <c r="N63" i="4"/>
  <c r="AO63" i="4" s="1"/>
  <c r="AN63" i="4"/>
  <c r="O63" i="4"/>
  <c r="AP63" i="4" s="1"/>
  <c r="X63" i="4"/>
  <c r="V54" i="4"/>
  <c r="W54" i="4" s="1"/>
  <c r="D45" i="2"/>
  <c r="V44" i="2" s="1"/>
  <c r="W44" i="2" s="1"/>
  <c r="O54" i="2"/>
  <c r="Z53" i="2"/>
  <c r="AW53" i="2" s="1"/>
  <c r="BI53" i="2"/>
  <c r="AK53" i="2"/>
  <c r="Z54" i="2"/>
  <c r="BQ54" i="2" s="1"/>
  <c r="BI54" i="2"/>
  <c r="AN54" i="2"/>
  <c r="AX54" i="2" s="1"/>
  <c r="BP52" i="2"/>
  <c r="AP53" i="2"/>
  <c r="AN53" i="2"/>
  <c r="AX53" i="2" s="1"/>
  <c r="O43" i="7"/>
  <c r="O39" i="7"/>
  <c r="O41" i="7"/>
  <c r="N53" i="2"/>
  <c r="AO53" i="2" s="1"/>
  <c r="X54" i="2"/>
  <c r="AI54" i="2"/>
  <c r="N54" i="2"/>
  <c r="C45" i="2"/>
  <c r="E45" i="2"/>
  <c r="AI53" i="2"/>
  <c r="X53" i="2"/>
  <c r="Y53" i="2" s="1"/>
  <c r="AV53" i="2" s="1"/>
  <c r="BR54" i="2"/>
  <c r="L54" i="4" l="1"/>
  <c r="M54" i="4" s="1"/>
  <c r="AG54" i="4"/>
  <c r="AH54" i="4" s="1"/>
  <c r="AV65" i="4"/>
  <c r="AY65" i="4" s="1"/>
  <c r="BQ61" i="4" s="1"/>
  <c r="AG53" i="4"/>
  <c r="AH53" i="4" s="1"/>
  <c r="BI53" i="4" s="1"/>
  <c r="L53" i="4"/>
  <c r="M53" i="4" s="1"/>
  <c r="AJ65" i="4"/>
  <c r="Z55" i="4"/>
  <c r="BB65" i="4"/>
  <c r="BB64" i="6"/>
  <c r="BR61" i="6"/>
  <c r="AJ64" i="6"/>
  <c r="AX54" i="3"/>
  <c r="BP73" i="3"/>
  <c r="AN75" i="3"/>
  <c r="N75" i="3"/>
  <c r="O75" i="3"/>
  <c r="AG65" i="3"/>
  <c r="AH65" i="3" s="1"/>
  <c r="AG64" i="3"/>
  <c r="AH64" i="3" s="1"/>
  <c r="BD83" i="6"/>
  <c r="BR83" i="6"/>
  <c r="BK83" i="6"/>
  <c r="AO64" i="6"/>
  <c r="BP62" i="6"/>
  <c r="AX83" i="6"/>
  <c r="O52" i="6"/>
  <c r="AN52" i="6"/>
  <c r="N52" i="6"/>
  <c r="Y83" i="6"/>
  <c r="BQ81" i="6"/>
  <c r="AU83" i="6"/>
  <c r="BE83" i="6" s="1"/>
  <c r="AJ63" i="6"/>
  <c r="BB63" i="6"/>
  <c r="AX74" i="3"/>
  <c r="AR74" i="3"/>
  <c r="AI52" i="6"/>
  <c r="BI52" i="6"/>
  <c r="AK52" i="6"/>
  <c r="BB55" i="3"/>
  <c r="BR53" i="3"/>
  <c r="AJ55" i="3"/>
  <c r="Z45" i="3"/>
  <c r="X45" i="3"/>
  <c r="Z53" i="6"/>
  <c r="AW55" i="3"/>
  <c r="BQ55" i="3"/>
  <c r="BI45" i="3"/>
  <c r="AK45" i="3"/>
  <c r="AI45" i="3"/>
  <c r="AX63" i="6"/>
  <c r="AR63" i="6"/>
  <c r="BK62" i="6"/>
  <c r="BD62" i="6"/>
  <c r="BK54" i="3"/>
  <c r="BD54" i="3"/>
  <c r="BP54" i="3"/>
  <c r="AO55" i="3"/>
  <c r="D101" i="4"/>
  <c r="D159" i="3"/>
  <c r="D160" i="4"/>
  <c r="D168" i="6"/>
  <c r="D90" i="2"/>
  <c r="D101" i="3"/>
  <c r="D148" i="2"/>
  <c r="D110" i="6"/>
  <c r="C110" i="6"/>
  <c r="C90" i="2"/>
  <c r="C101" i="4"/>
  <c r="C101" i="3"/>
  <c r="V73" i="6"/>
  <c r="W73" i="6" s="1"/>
  <c r="V72" i="6"/>
  <c r="W72" i="6" s="1"/>
  <c r="AN44" i="3"/>
  <c r="O44" i="3"/>
  <c r="N44" i="3"/>
  <c r="BQ61" i="6"/>
  <c r="AU64" i="6"/>
  <c r="BE64" i="6" s="1"/>
  <c r="Y64" i="6"/>
  <c r="AP64" i="6"/>
  <c r="BP63" i="6"/>
  <c r="BP83" i="6"/>
  <c r="AP83" i="6"/>
  <c r="Y54" i="3"/>
  <c r="AV54" i="3" s="1"/>
  <c r="AU54" i="3"/>
  <c r="BQ83" i="6"/>
  <c r="AW83" i="6"/>
  <c r="AK53" i="6"/>
  <c r="BI53" i="6"/>
  <c r="AI53" i="6"/>
  <c r="BD55" i="3"/>
  <c r="BR55" i="3"/>
  <c r="BK55" i="3"/>
  <c r="Z44" i="3"/>
  <c r="X44" i="3"/>
  <c r="Z54" i="6"/>
  <c r="W95" i="6"/>
  <c r="D123" i="6" s="1"/>
  <c r="I124" i="6" s="1"/>
  <c r="I131" i="6" s="1"/>
  <c r="N131" i="6" s="1"/>
  <c r="X54" i="6"/>
  <c r="Y55" i="3"/>
  <c r="BQ53" i="3"/>
  <c r="AU55" i="3"/>
  <c r="BE55" i="3" s="1"/>
  <c r="AH85" i="3"/>
  <c r="BI44" i="3"/>
  <c r="AK44" i="3"/>
  <c r="AI44" i="3"/>
  <c r="AR62" i="6"/>
  <c r="AJ54" i="3"/>
  <c r="BB54" i="3"/>
  <c r="AX55" i="3"/>
  <c r="AU62" i="6"/>
  <c r="Y62" i="6"/>
  <c r="AV62" i="6" s="1"/>
  <c r="E101" i="3"/>
  <c r="E148" i="2"/>
  <c r="E101" i="4"/>
  <c r="E159" i="3"/>
  <c r="E168" i="6"/>
  <c r="E110" i="6"/>
  <c r="E90" i="2"/>
  <c r="E160" i="4"/>
  <c r="AU74" i="3"/>
  <c r="BE74" i="3" s="1"/>
  <c r="Y74" i="3"/>
  <c r="AV74" i="3" s="1"/>
  <c r="AR54" i="3"/>
  <c r="BQ63" i="6"/>
  <c r="AW64" i="6"/>
  <c r="BB83" i="6"/>
  <c r="AJ83" i="6"/>
  <c r="BR81" i="6"/>
  <c r="AX64" i="6"/>
  <c r="AO83" i="6"/>
  <c r="BP82" i="6"/>
  <c r="N54" i="6"/>
  <c r="AN54" i="6"/>
  <c r="BP51" i="6"/>
  <c r="O54" i="6"/>
  <c r="BK63" i="6"/>
  <c r="BD63" i="6"/>
  <c r="BR63" i="6"/>
  <c r="BD64" i="6"/>
  <c r="BK64" i="6"/>
  <c r="W93" i="6"/>
  <c r="Z52" i="6"/>
  <c r="X52" i="6"/>
  <c r="X75" i="3"/>
  <c r="L65" i="3"/>
  <c r="M65" i="3" s="1"/>
  <c r="M86" i="3" s="1"/>
  <c r="L64" i="3"/>
  <c r="M64" i="3" s="1"/>
  <c r="AI82" i="6"/>
  <c r="AK82" i="6"/>
  <c r="BI82" i="6"/>
  <c r="AX62" i="6"/>
  <c r="BE62" i="6"/>
  <c r="AP55" i="3"/>
  <c r="AR55" i="3" s="1"/>
  <c r="BP55" i="3"/>
  <c r="BS55" i="3" s="1"/>
  <c r="BI75" i="3"/>
  <c r="AK75" i="3"/>
  <c r="AI75" i="3"/>
  <c r="O45" i="3"/>
  <c r="BP43" i="3"/>
  <c r="N45" i="3"/>
  <c r="AN45" i="3"/>
  <c r="BS61" i="6"/>
  <c r="P131" i="6"/>
  <c r="V131" i="6"/>
  <c r="X53" i="6"/>
  <c r="AN53" i="6"/>
  <c r="O53" i="6"/>
  <c r="N53" i="6"/>
  <c r="AG72" i="6"/>
  <c r="AH72" i="6" s="1"/>
  <c r="AG73" i="6"/>
  <c r="AH73" i="6" s="1"/>
  <c r="BI74" i="3"/>
  <c r="AK74" i="3"/>
  <c r="AI74" i="3"/>
  <c r="V64" i="3"/>
  <c r="W64" i="3" s="1"/>
  <c r="W85" i="3" s="1"/>
  <c r="V65" i="3"/>
  <c r="W65" i="3" s="1"/>
  <c r="L73" i="6"/>
  <c r="M73" i="6" s="1"/>
  <c r="L72" i="6"/>
  <c r="M72" i="6" s="1"/>
  <c r="M93" i="6" s="1"/>
  <c r="BI54" i="6"/>
  <c r="AI54" i="6"/>
  <c r="AH95" i="6"/>
  <c r="E123" i="6" s="1"/>
  <c r="J124" i="6" s="1"/>
  <c r="J131" i="6" s="1"/>
  <c r="O131" i="6" s="1"/>
  <c r="AK54" i="6"/>
  <c r="D86" i="3"/>
  <c r="D94" i="6"/>
  <c r="AW75" i="3"/>
  <c r="BQ75" i="3"/>
  <c r="E86" i="3"/>
  <c r="X82" i="6"/>
  <c r="AN82" i="6"/>
  <c r="N82" i="6"/>
  <c r="AO82" i="6" s="1"/>
  <c r="O82" i="6"/>
  <c r="AP82" i="6" s="1"/>
  <c r="AU63" i="6"/>
  <c r="BE63" i="6" s="1"/>
  <c r="Y63" i="6"/>
  <c r="AV63" i="6" s="1"/>
  <c r="AJ62" i="6"/>
  <c r="BB62" i="6"/>
  <c r="D114" i="4"/>
  <c r="I115" i="4" s="1"/>
  <c r="I122" i="4" s="1"/>
  <c r="N122" i="4" s="1"/>
  <c r="Q122" i="4" s="1"/>
  <c r="AU64" i="4"/>
  <c r="BE64" i="4" s="1"/>
  <c r="X55" i="4"/>
  <c r="Y55" i="4" s="1"/>
  <c r="N55" i="4"/>
  <c r="AO55" i="4" s="1"/>
  <c r="AO86" i="4" s="1"/>
  <c r="O55" i="4"/>
  <c r="O86" i="4" s="1"/>
  <c r="AW55" i="4"/>
  <c r="AW86" i="4" s="1"/>
  <c r="Z86" i="4"/>
  <c r="BQ54" i="4"/>
  <c r="BD55" i="4"/>
  <c r="BD86" i="4" s="1"/>
  <c r="AK86" i="4"/>
  <c r="BR54" i="4"/>
  <c r="AH86" i="4"/>
  <c r="BI55" i="4"/>
  <c r="AW64" i="4"/>
  <c r="AR64" i="4"/>
  <c r="BC65" i="4"/>
  <c r="BJ65" i="4"/>
  <c r="BR63" i="4"/>
  <c r="M86" i="4"/>
  <c r="BP52" i="4"/>
  <c r="AX55" i="4"/>
  <c r="AX86" i="4" s="1"/>
  <c r="AJ64" i="4"/>
  <c r="BJ64" i="4" s="1"/>
  <c r="V45" i="2"/>
  <c r="W45" i="2" s="1"/>
  <c r="Z45" i="2" s="1"/>
  <c r="BS62" i="4"/>
  <c r="E64" i="2"/>
  <c r="E75" i="2" s="1"/>
  <c r="E74" i="4"/>
  <c r="N53" i="4"/>
  <c r="O53" i="4"/>
  <c r="AN53" i="4"/>
  <c r="X54" i="4"/>
  <c r="AU54" i="4" s="1"/>
  <c r="Z54" i="4"/>
  <c r="O54" i="4"/>
  <c r="AN54" i="4"/>
  <c r="N54" i="4"/>
  <c r="AK54" i="4"/>
  <c r="BI54" i="4"/>
  <c r="AI54" i="4"/>
  <c r="D64" i="2"/>
  <c r="D74" i="4"/>
  <c r="Y63" i="4"/>
  <c r="AV63" i="4" s="1"/>
  <c r="AU63" i="4"/>
  <c r="AX63" i="4"/>
  <c r="AR63" i="4"/>
  <c r="BK63" i="4"/>
  <c r="BD63" i="4"/>
  <c r="Z53" i="4"/>
  <c r="X53" i="4"/>
  <c r="AU53" i="4" s="1"/>
  <c r="C64" i="2"/>
  <c r="C75" i="2" s="1"/>
  <c r="C74" i="4"/>
  <c r="AV64" i="4"/>
  <c r="BB63" i="4"/>
  <c r="AJ63" i="4"/>
  <c r="BS64" i="4"/>
  <c r="Z44" i="2"/>
  <c r="AO54" i="2"/>
  <c r="BP53" i="2"/>
  <c r="AP54" i="2"/>
  <c r="BP54" i="2"/>
  <c r="BS54" i="2" s="1"/>
  <c r="AU54" i="2"/>
  <c r="BE54" i="2" s="1"/>
  <c r="BQ52" i="2"/>
  <c r="BB54" i="2"/>
  <c r="BR52" i="2"/>
  <c r="AR53" i="2"/>
  <c r="BK54" i="2"/>
  <c r="BD53" i="2"/>
  <c r="BK53" i="2"/>
  <c r="Y54" i="2"/>
  <c r="AV54" i="2" s="1"/>
  <c r="AJ54" i="2"/>
  <c r="BB53" i="2"/>
  <c r="AJ53" i="2"/>
  <c r="BC53" i="2" s="1"/>
  <c r="AG45" i="2"/>
  <c r="AH45" i="2" s="1"/>
  <c r="AG44" i="2"/>
  <c r="AH44" i="2" s="1"/>
  <c r="L45" i="2"/>
  <c r="M45" i="2" s="1"/>
  <c r="L44" i="2"/>
  <c r="M44" i="2" s="1"/>
  <c r="O44" i="2" s="1"/>
  <c r="AU53" i="2"/>
  <c r="BE53" i="2" s="1"/>
  <c r="BD54" i="2"/>
  <c r="AW54" i="2"/>
  <c r="AK53" i="4" l="1"/>
  <c r="AI53" i="4"/>
  <c r="BF65" i="4"/>
  <c r="BR61" i="4" s="1"/>
  <c r="BS53" i="3"/>
  <c r="AR83" i="6"/>
  <c r="BP80" i="6" s="1"/>
  <c r="BS81" i="6"/>
  <c r="BP52" i="3"/>
  <c r="AU82" i="6"/>
  <c r="BE82" i="6" s="1"/>
  <c r="Y82" i="6"/>
  <c r="AV82" i="6" s="1"/>
  <c r="AJ54" i="6"/>
  <c r="BB54" i="6"/>
  <c r="BB95" i="6" s="1"/>
  <c r="BR51" i="6"/>
  <c r="AI95" i="6"/>
  <c r="Z65" i="3"/>
  <c r="X65" i="3"/>
  <c r="AO53" i="6"/>
  <c r="AO45" i="3"/>
  <c r="BP44" i="3"/>
  <c r="AJ75" i="3"/>
  <c r="BB75" i="3"/>
  <c r="BR73" i="3"/>
  <c r="BK82" i="6"/>
  <c r="BD82" i="6"/>
  <c r="BQ73" i="3"/>
  <c r="AU75" i="3"/>
  <c r="BE75" i="3" s="1"/>
  <c r="Y75" i="3"/>
  <c r="BP52" i="6"/>
  <c r="AO54" i="6"/>
  <c r="AO95" i="6" s="1"/>
  <c r="N95" i="6"/>
  <c r="J113" i="6"/>
  <c r="J111" i="6"/>
  <c r="J112" i="6"/>
  <c r="Y54" i="6"/>
  <c r="BQ51" i="6"/>
  <c r="AU54" i="6"/>
  <c r="AU95" i="6" s="1"/>
  <c r="X95" i="6"/>
  <c r="BD53" i="6"/>
  <c r="BK53" i="6"/>
  <c r="AO44" i="3"/>
  <c r="Z72" i="6"/>
  <c r="AW72" i="6" s="1"/>
  <c r="X72" i="6"/>
  <c r="H111" i="6"/>
  <c r="H113" i="6"/>
  <c r="H112" i="6"/>
  <c r="H130" i="6" s="1"/>
  <c r="M130" i="6" s="1"/>
  <c r="I104" i="3"/>
  <c r="I103" i="3"/>
  <c r="I121" i="3" s="1"/>
  <c r="N121" i="3" s="1"/>
  <c r="I102" i="3"/>
  <c r="BR45" i="3"/>
  <c r="BK45" i="3"/>
  <c r="BD45" i="3"/>
  <c r="AW53" i="6"/>
  <c r="Z86" i="3"/>
  <c r="BQ45" i="3"/>
  <c r="AW45" i="3"/>
  <c r="BD52" i="6"/>
  <c r="BK52" i="6"/>
  <c r="BC63" i="6"/>
  <c r="BF63" i="6" s="1"/>
  <c r="BJ63" i="6"/>
  <c r="BP74" i="3"/>
  <c r="AO75" i="3"/>
  <c r="X64" i="3"/>
  <c r="X85" i="3" s="1"/>
  <c r="Z64" i="3"/>
  <c r="AW64" i="3" s="1"/>
  <c r="BI73" i="6"/>
  <c r="AK73" i="6"/>
  <c r="AK94" i="6" s="1"/>
  <c r="AI73" i="6"/>
  <c r="E122" i="6"/>
  <c r="J123" i="6" s="1"/>
  <c r="J129" i="6" s="1"/>
  <c r="AP53" i="6"/>
  <c r="BD75" i="3"/>
  <c r="BK75" i="3"/>
  <c r="BR75" i="3"/>
  <c r="BB82" i="6"/>
  <c r="AJ82" i="6"/>
  <c r="X93" i="6"/>
  <c r="Y52" i="6"/>
  <c r="AU52" i="6"/>
  <c r="BE52" i="6" s="1"/>
  <c r="AP54" i="6"/>
  <c r="AR54" i="6" s="1"/>
  <c r="BP53" i="6"/>
  <c r="O95" i="6"/>
  <c r="AY74" i="3"/>
  <c r="J102" i="3"/>
  <c r="J103" i="3"/>
  <c r="J104" i="3"/>
  <c r="AJ44" i="3"/>
  <c r="BB44" i="3"/>
  <c r="Q131" i="6"/>
  <c r="W131" i="6"/>
  <c r="AW44" i="3"/>
  <c r="AH94" i="6"/>
  <c r="BQ62" i="6"/>
  <c r="AV64" i="6"/>
  <c r="AP44" i="3"/>
  <c r="X73" i="6"/>
  <c r="X94" i="6" s="1"/>
  <c r="Z73" i="6"/>
  <c r="Z94" i="6" s="1"/>
  <c r="D122" i="6"/>
  <c r="I123" i="6" s="1"/>
  <c r="I129" i="6" s="1"/>
  <c r="W94" i="6"/>
  <c r="BR54" i="3"/>
  <c r="BC55" i="3"/>
  <c r="BF55" i="3" s="1"/>
  <c r="BR52" i="3" s="1"/>
  <c r="AO52" i="6"/>
  <c r="BI64" i="3"/>
  <c r="AI64" i="3"/>
  <c r="AK64" i="3"/>
  <c r="AX75" i="3"/>
  <c r="BR62" i="6"/>
  <c r="BC64" i="6"/>
  <c r="BF64" i="6" s="1"/>
  <c r="BJ64" i="6"/>
  <c r="BC62" i="6"/>
  <c r="BF62" i="6" s="1"/>
  <c r="BJ62" i="6"/>
  <c r="BD54" i="6"/>
  <c r="BD95" i="6" s="1"/>
  <c r="BR53" i="6"/>
  <c r="AK95" i="6"/>
  <c r="BK54" i="6"/>
  <c r="AN72" i="6"/>
  <c r="AN93" i="6" s="1"/>
  <c r="O72" i="6"/>
  <c r="AP72" i="6" s="1"/>
  <c r="N72" i="6"/>
  <c r="AO72" i="6" s="1"/>
  <c r="AJ74" i="3"/>
  <c r="BB74" i="3"/>
  <c r="AK72" i="6"/>
  <c r="AK93" i="6" s="1"/>
  <c r="BI72" i="6"/>
  <c r="AI72" i="6"/>
  <c r="AX53" i="6"/>
  <c r="C113" i="3"/>
  <c r="H114" i="3" s="1"/>
  <c r="H120" i="3" s="1"/>
  <c r="C14" i="3"/>
  <c r="N64" i="3"/>
  <c r="AO64" i="3" s="1"/>
  <c r="AN64" i="3"/>
  <c r="AN85" i="3" s="1"/>
  <c r="O64" i="3"/>
  <c r="AP64" i="3" s="1"/>
  <c r="AW52" i="6"/>
  <c r="AK85" i="3"/>
  <c r="BK44" i="3"/>
  <c r="BD44" i="3"/>
  <c r="Z95" i="6"/>
  <c r="AW54" i="6"/>
  <c r="AW95" i="6" s="1"/>
  <c r="BQ53" i="6"/>
  <c r="AJ53" i="6"/>
  <c r="BB53" i="6"/>
  <c r="AI94" i="6"/>
  <c r="BS83" i="6"/>
  <c r="AY64" i="6"/>
  <c r="BQ60" i="6" s="1"/>
  <c r="M85" i="3"/>
  <c r="I113" i="6"/>
  <c r="I111" i="6"/>
  <c r="I112" i="6"/>
  <c r="I130" i="6" s="1"/>
  <c r="N130" i="6" s="1"/>
  <c r="AJ45" i="3"/>
  <c r="BR43" i="3"/>
  <c r="BB45" i="3"/>
  <c r="W86" i="3"/>
  <c r="AH93" i="6"/>
  <c r="AX52" i="6"/>
  <c r="AI65" i="3"/>
  <c r="AK65" i="3"/>
  <c r="AK86" i="3" s="1"/>
  <c r="BI65" i="3"/>
  <c r="AY63" i="6"/>
  <c r="BL63" i="6" s="1"/>
  <c r="AR82" i="6"/>
  <c r="AX82" i="6"/>
  <c r="X131" i="6"/>
  <c r="R131" i="6"/>
  <c r="O73" i="6"/>
  <c r="N73" i="6"/>
  <c r="BP71" i="6"/>
  <c r="AN73" i="6"/>
  <c r="C122" i="6"/>
  <c r="H123" i="6" s="1"/>
  <c r="H129" i="6" s="1"/>
  <c r="BD74" i="3"/>
  <c r="BK74" i="3"/>
  <c r="M94" i="6"/>
  <c r="AU53" i="6"/>
  <c r="BE53" i="6" s="1"/>
  <c r="Y53" i="6"/>
  <c r="AX45" i="3"/>
  <c r="AP45" i="3"/>
  <c r="BP45" i="3"/>
  <c r="N65" i="3"/>
  <c r="BP63" i="3"/>
  <c r="BP84" i="3" s="1"/>
  <c r="O65" i="3"/>
  <c r="O86" i="3" s="1"/>
  <c r="AN65" i="3"/>
  <c r="AN95" i="6"/>
  <c r="AX54" i="6"/>
  <c r="AX95" i="6" s="1"/>
  <c r="AR64" i="6"/>
  <c r="BC83" i="6"/>
  <c r="BF83" i="6" s="1"/>
  <c r="BR80" i="6" s="1"/>
  <c r="BR82" i="6"/>
  <c r="BJ83" i="6"/>
  <c r="AY62" i="6"/>
  <c r="BJ54" i="3"/>
  <c r="BC54" i="3"/>
  <c r="BJ55" i="3"/>
  <c r="BQ54" i="3"/>
  <c r="AV55" i="3"/>
  <c r="AY55" i="3" s="1"/>
  <c r="BQ52" i="3" s="1"/>
  <c r="Y44" i="3"/>
  <c r="AU44" i="3"/>
  <c r="AY54" i="3"/>
  <c r="BS63" i="6"/>
  <c r="AX44" i="3"/>
  <c r="H102" i="3"/>
  <c r="H104" i="3"/>
  <c r="H103" i="3"/>
  <c r="H121" i="3" s="1"/>
  <c r="M121" i="3" s="1"/>
  <c r="AH86" i="3"/>
  <c r="X86" i="3"/>
  <c r="BQ43" i="3"/>
  <c r="Y45" i="3"/>
  <c r="AU45" i="3"/>
  <c r="AJ52" i="6"/>
  <c r="BB52" i="6"/>
  <c r="AI93" i="6"/>
  <c r="BQ82" i="6"/>
  <c r="AV83" i="6"/>
  <c r="AY83" i="6" s="1"/>
  <c r="AP52" i="6"/>
  <c r="AP93" i="6" s="1"/>
  <c r="O93" i="6"/>
  <c r="AP75" i="3"/>
  <c r="BP75" i="3"/>
  <c r="BS75" i="3" s="1"/>
  <c r="BE54" i="3"/>
  <c r="BP53" i="4"/>
  <c r="X86" i="4"/>
  <c r="W122" i="4"/>
  <c r="AP55" i="4"/>
  <c r="AP86" i="4" s="1"/>
  <c r="C114" i="4"/>
  <c r="H115" i="4" s="1"/>
  <c r="H122" i="4" s="1"/>
  <c r="M122" i="4" s="1"/>
  <c r="E114" i="4"/>
  <c r="J115" i="4" s="1"/>
  <c r="J122" i="4" s="1"/>
  <c r="O122" i="4" s="1"/>
  <c r="X122" i="4" s="1"/>
  <c r="BQ52" i="4"/>
  <c r="AU55" i="4"/>
  <c r="AU86" i="4" s="1"/>
  <c r="AI55" i="4"/>
  <c r="AI86" i="4" s="1"/>
  <c r="N86" i="4"/>
  <c r="BP54" i="4"/>
  <c r="BK55" i="4"/>
  <c r="BC64" i="4"/>
  <c r="BF64" i="4" s="1"/>
  <c r="BL65" i="4"/>
  <c r="C85" i="4"/>
  <c r="AV55" i="4"/>
  <c r="AV86" i="4" s="1"/>
  <c r="Y86" i="4"/>
  <c r="BQ53" i="4"/>
  <c r="V64" i="2"/>
  <c r="W64" i="2" s="1"/>
  <c r="V63" i="2"/>
  <c r="W63" i="2" s="1"/>
  <c r="D75" i="2"/>
  <c r="AX54" i="4"/>
  <c r="AW54" i="4"/>
  <c r="AX53" i="4"/>
  <c r="BS63" i="4"/>
  <c r="L73" i="4"/>
  <c r="M73" i="4" s="1"/>
  <c r="L74" i="4"/>
  <c r="M74" i="4" s="1"/>
  <c r="C113" i="4" s="1"/>
  <c r="C12" i="4" s="1"/>
  <c r="AW53" i="4"/>
  <c r="BK54" i="4"/>
  <c r="BD54" i="4"/>
  <c r="AP54" i="4"/>
  <c r="BE54" i="4"/>
  <c r="Y54" i="4"/>
  <c r="AP53" i="4"/>
  <c r="BJ63" i="4"/>
  <c r="BC63" i="4"/>
  <c r="L63" i="2"/>
  <c r="M63" i="2" s="1"/>
  <c r="M74" i="2" s="1"/>
  <c r="L64" i="2"/>
  <c r="M64" i="2" s="1"/>
  <c r="AY64" i="4"/>
  <c r="BD53" i="4"/>
  <c r="BK53" i="4"/>
  <c r="AO53" i="4"/>
  <c r="AG74" i="4"/>
  <c r="AH74" i="4" s="1"/>
  <c r="E113" i="4" s="1"/>
  <c r="AG73" i="4"/>
  <c r="AH73" i="4" s="1"/>
  <c r="E85" i="4"/>
  <c r="Y53" i="4"/>
  <c r="BE63" i="4"/>
  <c r="AY63" i="4"/>
  <c r="V74" i="4"/>
  <c r="W74" i="4" s="1"/>
  <c r="V73" i="4"/>
  <c r="W73" i="4" s="1"/>
  <c r="D85" i="4"/>
  <c r="AJ54" i="4"/>
  <c r="BB54" i="4"/>
  <c r="AJ53" i="4"/>
  <c r="BB53" i="4"/>
  <c r="AO54" i="4"/>
  <c r="AG64" i="2"/>
  <c r="AH64" i="2" s="1"/>
  <c r="AG63" i="2"/>
  <c r="AH63" i="2" s="1"/>
  <c r="AH74" i="2" s="1"/>
  <c r="BQ45" i="2"/>
  <c r="BR53" i="2"/>
  <c r="BC54" i="2"/>
  <c r="BI44" i="2"/>
  <c r="AK44" i="2"/>
  <c r="O45" i="2"/>
  <c r="AK45" i="2"/>
  <c r="BR45" i="2" s="1"/>
  <c r="AR54" i="2"/>
  <c r="BP51" i="2" s="1"/>
  <c r="BS52" i="2"/>
  <c r="AY54" i="2"/>
  <c r="BQ51" i="2" s="1"/>
  <c r="BQ53" i="2"/>
  <c r="AN45" i="2"/>
  <c r="BP43" i="2"/>
  <c r="I93" i="2"/>
  <c r="I91" i="2"/>
  <c r="I92" i="2"/>
  <c r="I110" i="2" s="1"/>
  <c r="BF53" i="2"/>
  <c r="BJ53" i="2"/>
  <c r="BI45" i="2"/>
  <c r="BF54" i="2"/>
  <c r="BR51" i="2" s="1"/>
  <c r="BJ54" i="2"/>
  <c r="X45" i="2"/>
  <c r="AW44" i="2"/>
  <c r="AW45" i="2"/>
  <c r="X44" i="2"/>
  <c r="N44" i="2"/>
  <c r="AN44" i="2"/>
  <c r="M75" i="2"/>
  <c r="C13" i="2" s="1"/>
  <c r="AI44" i="2"/>
  <c r="N45" i="2"/>
  <c r="AY53" i="2"/>
  <c r="AI45" i="2"/>
  <c r="BR43" i="2" s="1"/>
  <c r="Z93" i="6" l="1"/>
  <c r="BS51" i="6"/>
  <c r="AW93" i="6"/>
  <c r="AR53" i="6"/>
  <c r="AR44" i="3"/>
  <c r="BS54" i="3"/>
  <c r="AR75" i="3"/>
  <c r="BP72" i="3" s="1"/>
  <c r="BS82" i="6"/>
  <c r="BS73" i="3"/>
  <c r="E12" i="4"/>
  <c r="D46" i="1" s="1"/>
  <c r="AR45" i="3"/>
  <c r="BL62" i="6"/>
  <c r="BE54" i="6"/>
  <c r="BE95" i="6" s="1"/>
  <c r="BS62" i="6"/>
  <c r="AW85" i="3"/>
  <c r="BQ80" i="6"/>
  <c r="BS80" i="6" s="1"/>
  <c r="BL83" i="6"/>
  <c r="AO65" i="3"/>
  <c r="BP64" i="3"/>
  <c r="BP42" i="3"/>
  <c r="AV53" i="6"/>
  <c r="AY53" i="6" s="1"/>
  <c r="AO73" i="6"/>
  <c r="AO94" i="6" s="1"/>
  <c r="BP72" i="6"/>
  <c r="AJ65" i="3"/>
  <c r="AJ86" i="3" s="1"/>
  <c r="BR63" i="3"/>
  <c r="BB65" i="3"/>
  <c r="AI86" i="3"/>
  <c r="Q130" i="6"/>
  <c r="W130" i="6"/>
  <c r="AJ64" i="3"/>
  <c r="BB64" i="3"/>
  <c r="AO93" i="6"/>
  <c r="AP85" i="3"/>
  <c r="BS53" i="6"/>
  <c r="AJ73" i="6"/>
  <c r="BB73" i="6"/>
  <c r="BR71" i="6"/>
  <c r="BR92" i="6" s="1"/>
  <c r="AU64" i="3"/>
  <c r="AU85" i="3" s="1"/>
  <c r="Y64" i="3"/>
  <c r="AV64" i="3" s="1"/>
  <c r="AO85" i="3"/>
  <c r="N86" i="3"/>
  <c r="Y65" i="3"/>
  <c r="AU65" i="3"/>
  <c r="BQ63" i="3"/>
  <c r="BS63" i="3" s="1"/>
  <c r="BL55" i="3"/>
  <c r="BR60" i="6"/>
  <c r="BE45" i="3"/>
  <c r="E113" i="3"/>
  <c r="J114" i="3" s="1"/>
  <c r="J120" i="3" s="1"/>
  <c r="E14" i="3"/>
  <c r="E46" i="1" s="1"/>
  <c r="AV44" i="3"/>
  <c r="AR95" i="6"/>
  <c r="BP60" i="6"/>
  <c r="BL64" i="6"/>
  <c r="AX65" i="3"/>
  <c r="AN86" i="3"/>
  <c r="C22" i="3" s="1"/>
  <c r="M129" i="6"/>
  <c r="H132" i="6"/>
  <c r="BP73" i="6"/>
  <c r="BP94" i="6" s="1"/>
  <c r="AP73" i="6"/>
  <c r="AP94" i="6" s="1"/>
  <c r="BR84" i="3"/>
  <c r="BJ53" i="6"/>
  <c r="BC53" i="6"/>
  <c r="AJ94" i="6"/>
  <c r="BD72" i="6"/>
  <c r="BD93" i="6" s="1"/>
  <c r="BK72" i="6"/>
  <c r="I132" i="6"/>
  <c r="N129" i="6"/>
  <c r="O85" i="3"/>
  <c r="BB85" i="3"/>
  <c r="J121" i="3"/>
  <c r="O121" i="3" s="1"/>
  <c r="C143" i="3"/>
  <c r="C144" i="3" s="1"/>
  <c r="C145" i="3" s="1"/>
  <c r="C146" i="3" s="1"/>
  <c r="C148" i="3" s="1"/>
  <c r="BP50" i="6"/>
  <c r="BJ82" i="6"/>
  <c r="BC82" i="6"/>
  <c r="BF82" i="6" s="1"/>
  <c r="O94" i="6"/>
  <c r="BK73" i="6"/>
  <c r="BD73" i="6"/>
  <c r="BD94" i="6" s="1"/>
  <c r="BR73" i="6"/>
  <c r="BR94" i="6" s="1"/>
  <c r="Q121" i="3"/>
  <c r="W121" i="3"/>
  <c r="N85" i="3"/>
  <c r="BQ52" i="6"/>
  <c r="AV54" i="6"/>
  <c r="AY54" i="6" s="1"/>
  <c r="Y95" i="6"/>
  <c r="AO86" i="3"/>
  <c r="BQ65" i="3"/>
  <c r="AW65" i="3"/>
  <c r="AW86" i="3" s="1"/>
  <c r="BR52" i="6"/>
  <c r="BJ54" i="6"/>
  <c r="BC54" i="6"/>
  <c r="AJ95" i="6"/>
  <c r="BQ44" i="3"/>
  <c r="BS44" i="3" s="1"/>
  <c r="AV45" i="3"/>
  <c r="AY45" i="3" s="1"/>
  <c r="Y86" i="3"/>
  <c r="BF54" i="3"/>
  <c r="BL54" i="3" s="1"/>
  <c r="BP65" i="3"/>
  <c r="BP86" i="3" s="1"/>
  <c r="AP65" i="3"/>
  <c r="AR65" i="3" s="1"/>
  <c r="BS45" i="3"/>
  <c r="AX86" i="3"/>
  <c r="AX73" i="6"/>
  <c r="AX94" i="6" s="1"/>
  <c r="AR52" i="6"/>
  <c r="D14" i="3"/>
  <c r="D113" i="3"/>
  <c r="I114" i="3" s="1"/>
  <c r="I120" i="3" s="1"/>
  <c r="BR44" i="3"/>
  <c r="BC45" i="3"/>
  <c r="BF45" i="3" s="1"/>
  <c r="BJ45" i="3"/>
  <c r="H123" i="3"/>
  <c r="M120" i="3"/>
  <c r="AN94" i="6"/>
  <c r="C30" i="6" s="1"/>
  <c r="AX72" i="6"/>
  <c r="AX93" i="6" s="1"/>
  <c r="AR72" i="6"/>
  <c r="AW73" i="6"/>
  <c r="AW94" i="6" s="1"/>
  <c r="BQ73" i="6"/>
  <c r="Z85" i="3"/>
  <c r="AJ85" i="3"/>
  <c r="BJ44" i="3"/>
  <c r="BC44" i="3"/>
  <c r="BQ86" i="3"/>
  <c r="AU72" i="6"/>
  <c r="AU93" i="6" s="1"/>
  <c r="Y72" i="6"/>
  <c r="AV72" i="6" s="1"/>
  <c r="AP95" i="6"/>
  <c r="BP93" i="6"/>
  <c r="BJ75" i="3"/>
  <c r="BC75" i="3"/>
  <c r="BF75" i="3" s="1"/>
  <c r="BR72" i="3" s="1"/>
  <c r="BR74" i="3"/>
  <c r="N94" i="6"/>
  <c r="BC52" i="6"/>
  <c r="BF52" i="6" s="1"/>
  <c r="BJ52" i="6"/>
  <c r="P121" i="3"/>
  <c r="V121" i="3"/>
  <c r="BE44" i="3"/>
  <c r="BS52" i="3"/>
  <c r="AP86" i="3"/>
  <c r="BD65" i="3"/>
  <c r="BD86" i="3" s="1"/>
  <c r="BR65" i="3"/>
  <c r="BR86" i="3" s="1"/>
  <c r="BK65" i="3"/>
  <c r="BB86" i="3"/>
  <c r="E22" i="3" s="1"/>
  <c r="BP92" i="6"/>
  <c r="AX64" i="3"/>
  <c r="AX85" i="3" s="1"/>
  <c r="AR64" i="3"/>
  <c r="BE64" i="3"/>
  <c r="AJ72" i="6"/>
  <c r="AJ93" i="6" s="1"/>
  <c r="BB72" i="6"/>
  <c r="BJ74" i="3"/>
  <c r="BC74" i="3"/>
  <c r="BF74" i="3" s="1"/>
  <c r="BL74" i="3" s="1"/>
  <c r="BK64" i="3"/>
  <c r="BD64" i="3"/>
  <c r="BD85" i="3" s="1"/>
  <c r="N93" i="6"/>
  <c r="BQ71" i="6"/>
  <c r="BQ92" i="6" s="1"/>
  <c r="Y73" i="6"/>
  <c r="Y94" i="6" s="1"/>
  <c r="AU73" i="6"/>
  <c r="AI85" i="3"/>
  <c r="AV52" i="6"/>
  <c r="BS43" i="3"/>
  <c r="O129" i="6"/>
  <c r="V130" i="6"/>
  <c r="P130" i="6"/>
  <c r="C152" i="6"/>
  <c r="C153" i="6" s="1"/>
  <c r="C154" i="6" s="1"/>
  <c r="C155" i="6" s="1"/>
  <c r="C157" i="6" s="1"/>
  <c r="J130" i="6"/>
  <c r="O130" i="6" s="1"/>
  <c r="AV75" i="3"/>
  <c r="AY75" i="3" s="1"/>
  <c r="BQ72" i="3" s="1"/>
  <c r="BQ74" i="3"/>
  <c r="BP85" i="3"/>
  <c r="AY82" i="6"/>
  <c r="AR53" i="4"/>
  <c r="AR55" i="4"/>
  <c r="BP51" i="4" s="1"/>
  <c r="R122" i="4"/>
  <c r="D113" i="4"/>
  <c r="D12" i="4" s="1"/>
  <c r="BE55" i="4"/>
  <c r="BE86" i="4" s="1"/>
  <c r="AJ55" i="4"/>
  <c r="BB55" i="4"/>
  <c r="BB86" i="4" s="1"/>
  <c r="BR52" i="4"/>
  <c r="BS52" i="4" s="1"/>
  <c r="P122" i="4"/>
  <c r="V122" i="4"/>
  <c r="AY55" i="4"/>
  <c r="BQ51" i="4" s="1"/>
  <c r="BF63" i="4"/>
  <c r="BL63" i="4" s="1"/>
  <c r="AK64" i="2"/>
  <c r="AK75" i="2" s="1"/>
  <c r="BR75" i="2" s="1"/>
  <c r="AI64" i="2"/>
  <c r="AI75" i="2" s="1"/>
  <c r="BI64" i="2"/>
  <c r="BP72" i="4"/>
  <c r="BP83" i="4" s="1"/>
  <c r="N74" i="4"/>
  <c r="AN74" i="4"/>
  <c r="O74" i="4"/>
  <c r="M85" i="4"/>
  <c r="BE53" i="4"/>
  <c r="AH75" i="2"/>
  <c r="E102" i="2" s="1"/>
  <c r="X74" i="4"/>
  <c r="Z74" i="4"/>
  <c r="W85" i="4"/>
  <c r="AV53" i="4"/>
  <c r="AY53" i="4" s="1"/>
  <c r="AK73" i="4"/>
  <c r="AI73" i="4"/>
  <c r="BI73" i="4"/>
  <c r="AH84" i="4"/>
  <c r="BS61" i="4"/>
  <c r="BL64" i="4"/>
  <c r="AN73" i="4"/>
  <c r="N73" i="4"/>
  <c r="O73" i="4"/>
  <c r="M84" i="4"/>
  <c r="X73" i="4"/>
  <c r="Z73" i="4"/>
  <c r="W84" i="4"/>
  <c r="J104" i="4"/>
  <c r="J102" i="4"/>
  <c r="J103" i="4"/>
  <c r="BJ53" i="4"/>
  <c r="BC53" i="4"/>
  <c r="BJ54" i="4"/>
  <c r="BC54" i="4"/>
  <c r="BI74" i="4"/>
  <c r="AI74" i="4"/>
  <c r="AK74" i="4"/>
  <c r="AH85" i="4"/>
  <c r="O64" i="2"/>
  <c r="BP62" i="2"/>
  <c r="N64" i="2"/>
  <c r="N75" i="2" s="1"/>
  <c r="AN64" i="2"/>
  <c r="AV54" i="4"/>
  <c r="AY54" i="4" s="1"/>
  <c r="AR54" i="4"/>
  <c r="Z63" i="2"/>
  <c r="X63" i="2"/>
  <c r="W74" i="2"/>
  <c r="AK63" i="2"/>
  <c r="AK74" i="2" s="1"/>
  <c r="AI63" i="2"/>
  <c r="AI74" i="2" s="1"/>
  <c r="BI63" i="2"/>
  <c r="I104" i="4"/>
  <c r="I103" i="4"/>
  <c r="I121" i="4" s="1"/>
  <c r="N121" i="4" s="1"/>
  <c r="Q121" i="4" s="1"/>
  <c r="I102" i="4"/>
  <c r="O63" i="2"/>
  <c r="AP63" i="2" s="1"/>
  <c r="N63" i="2"/>
  <c r="AO63" i="2" s="1"/>
  <c r="AN63" i="2"/>
  <c r="BS54" i="4"/>
  <c r="H102" i="4"/>
  <c r="H103" i="4"/>
  <c r="H121" i="4" s="1"/>
  <c r="H104" i="4"/>
  <c r="X64" i="2"/>
  <c r="X75" i="2" s="1"/>
  <c r="Z64" i="2"/>
  <c r="W75" i="2"/>
  <c r="BS53" i="2"/>
  <c r="AX45" i="2"/>
  <c r="AO44" i="2"/>
  <c r="BP44" i="2"/>
  <c r="BS51" i="2"/>
  <c r="BP73" i="2"/>
  <c r="C102" i="2"/>
  <c r="N110" i="2"/>
  <c r="W110" i="2" s="1"/>
  <c r="BP45" i="2"/>
  <c r="BS45" i="2" s="1"/>
  <c r="Y45" i="2"/>
  <c r="AV45" i="2" s="1"/>
  <c r="BQ43" i="2"/>
  <c r="BS43" i="2" s="1"/>
  <c r="BK45" i="2"/>
  <c r="H91" i="2"/>
  <c r="H93" i="2"/>
  <c r="H92" i="2"/>
  <c r="H110" i="2" s="1"/>
  <c r="J93" i="2"/>
  <c r="J92" i="2"/>
  <c r="J91" i="2"/>
  <c r="BL53" i="2"/>
  <c r="AU45" i="2"/>
  <c r="BK44" i="2"/>
  <c r="BL54" i="2"/>
  <c r="AO45" i="2"/>
  <c r="AP45" i="2"/>
  <c r="AJ45" i="2"/>
  <c r="BC45" i="2" s="1"/>
  <c r="BB45" i="2"/>
  <c r="BD44" i="2"/>
  <c r="AX44" i="2"/>
  <c r="BD45" i="2"/>
  <c r="AJ44" i="2"/>
  <c r="BB44" i="2"/>
  <c r="AU44" i="2"/>
  <c r="Y44" i="2"/>
  <c r="AV44" i="2" s="1"/>
  <c r="O74" i="2"/>
  <c r="AP44" i="2"/>
  <c r="BQ84" i="3" l="1"/>
  <c r="BS84" i="3" s="1"/>
  <c r="BF54" i="6"/>
  <c r="BR50" i="6" s="1"/>
  <c r="BS74" i="3"/>
  <c r="AV85" i="3"/>
  <c r="AP74" i="2"/>
  <c r="AR85" i="3"/>
  <c r="BS52" i="6"/>
  <c r="Y85" i="3"/>
  <c r="BS73" i="6"/>
  <c r="AR73" i="6"/>
  <c r="AR94" i="6" s="1"/>
  <c r="AV95" i="6"/>
  <c r="BC95" i="6"/>
  <c r="BQ94" i="6"/>
  <c r="BS94" i="6" s="1"/>
  <c r="J132" i="6"/>
  <c r="BP62" i="3"/>
  <c r="AR86" i="3"/>
  <c r="BQ42" i="3"/>
  <c r="BL45" i="3"/>
  <c r="C16" i="6"/>
  <c r="D16" i="6"/>
  <c r="E16" i="6"/>
  <c r="F46" i="1" s="1"/>
  <c r="I16" i="1"/>
  <c r="N120" i="3"/>
  <c r="I123" i="3"/>
  <c r="BQ50" i="6"/>
  <c r="AY95" i="6"/>
  <c r="R121" i="3"/>
  <c r="X121" i="3"/>
  <c r="Q129" i="6"/>
  <c r="Q133" i="6" s="1"/>
  <c r="W129" i="6"/>
  <c r="BF53" i="6"/>
  <c r="J123" i="3"/>
  <c r="O120" i="3"/>
  <c r="BS92" i="6"/>
  <c r="BJ65" i="3"/>
  <c r="BC65" i="3"/>
  <c r="BC86" i="3" s="1"/>
  <c r="BR64" i="3"/>
  <c r="BS72" i="3"/>
  <c r="AR86" i="4"/>
  <c r="X130" i="6"/>
  <c r="R130" i="6"/>
  <c r="AV93" i="6"/>
  <c r="BQ72" i="6"/>
  <c r="BQ93" i="6" s="1"/>
  <c r="AV73" i="6"/>
  <c r="AY73" i="6" s="1"/>
  <c r="BR42" i="3"/>
  <c r="AY72" i="6"/>
  <c r="BE72" i="6"/>
  <c r="BE93" i="6" s="1"/>
  <c r="P120" i="3"/>
  <c r="P123" i="3" s="1"/>
  <c r="C17" i="3" s="1"/>
  <c r="C136" i="3" s="1"/>
  <c r="V120" i="3"/>
  <c r="BL54" i="6"/>
  <c r="BF44" i="3"/>
  <c r="AU94" i="6"/>
  <c r="D30" i="6" s="1"/>
  <c r="BE65" i="3"/>
  <c r="BF95" i="6"/>
  <c r="AV65" i="3"/>
  <c r="AY65" i="3" s="1"/>
  <c r="BQ64" i="3"/>
  <c r="BQ85" i="3" s="1"/>
  <c r="BJ64" i="3"/>
  <c r="BC64" i="3"/>
  <c r="BF64" i="3" s="1"/>
  <c r="R129" i="6"/>
  <c r="X129" i="6"/>
  <c r="Y93" i="6"/>
  <c r="BC72" i="6"/>
  <c r="BJ72" i="6"/>
  <c r="K6" i="1"/>
  <c r="BS71" i="6"/>
  <c r="BE85" i="3"/>
  <c r="AY52" i="6"/>
  <c r="BR85" i="3"/>
  <c r="AR93" i="6"/>
  <c r="BS65" i="3"/>
  <c r="BB93" i="6"/>
  <c r="BS50" i="6"/>
  <c r="I6" i="1"/>
  <c r="AU86" i="3"/>
  <c r="D22" i="3" s="1"/>
  <c r="AY64" i="3"/>
  <c r="BJ73" i="6"/>
  <c r="BC73" i="6"/>
  <c r="BC94" i="6" s="1"/>
  <c r="BR72" i="6"/>
  <c r="BR93" i="6" s="1"/>
  <c r="BB94" i="6"/>
  <c r="E30" i="6" s="1"/>
  <c r="BF65" i="3"/>
  <c r="BR62" i="3" s="1"/>
  <c r="BP83" i="3"/>
  <c r="BS42" i="3"/>
  <c r="AY44" i="3"/>
  <c r="BE73" i="6"/>
  <c r="BE94" i="6" s="1"/>
  <c r="BS86" i="3"/>
  <c r="BL82" i="6"/>
  <c r="V129" i="6"/>
  <c r="P129" i="6"/>
  <c r="P133" i="6" s="1"/>
  <c r="BS60" i="6"/>
  <c r="BE86" i="3"/>
  <c r="BL75" i="3"/>
  <c r="AO74" i="2"/>
  <c r="E13" i="2"/>
  <c r="C46" i="1" s="1"/>
  <c r="AY86" i="4"/>
  <c r="M121" i="4"/>
  <c r="P121" i="4" s="1"/>
  <c r="BJ55" i="4"/>
  <c r="BC55" i="4"/>
  <c r="BR53" i="4"/>
  <c r="BS53" i="4" s="1"/>
  <c r="AJ86" i="4"/>
  <c r="BF53" i="4"/>
  <c r="BL53" i="4" s="1"/>
  <c r="AX63" i="2"/>
  <c r="AX74" i="2" s="1"/>
  <c r="AR63" i="2"/>
  <c r="AU63" i="2"/>
  <c r="AU74" i="2" s="1"/>
  <c r="Y63" i="2"/>
  <c r="AV63" i="2" s="1"/>
  <c r="W121" i="4"/>
  <c r="BK63" i="2"/>
  <c r="BD63" i="2"/>
  <c r="BD74" i="2" s="1"/>
  <c r="AW63" i="2"/>
  <c r="AW74" i="2" s="1"/>
  <c r="Z74" i="2"/>
  <c r="AX64" i="2"/>
  <c r="AX75" i="2" s="1"/>
  <c r="J114" i="4"/>
  <c r="J120" i="4" s="1"/>
  <c r="AU73" i="4"/>
  <c r="BE73" i="4" s="1"/>
  <c r="BE84" i="4" s="1"/>
  <c r="Y73" i="4"/>
  <c r="X84" i="4"/>
  <c r="AX73" i="4"/>
  <c r="AX84" i="4" s="1"/>
  <c r="AN84" i="4"/>
  <c r="H114" i="4"/>
  <c r="H120" i="4" s="1"/>
  <c r="BR62" i="2"/>
  <c r="BB64" i="2"/>
  <c r="BB75" i="2" s="1"/>
  <c r="E21" i="2" s="1"/>
  <c r="E6" i="1" s="1"/>
  <c r="AJ64" i="2"/>
  <c r="AJ75" i="2" s="1"/>
  <c r="BR74" i="2" s="1"/>
  <c r="BB63" i="2"/>
  <c r="BB74" i="2" s="1"/>
  <c r="AJ63" i="2"/>
  <c r="AJ74" i="2" s="1"/>
  <c r="BP64" i="2"/>
  <c r="AP64" i="2"/>
  <c r="AP75" i="2" s="1"/>
  <c r="AW73" i="4"/>
  <c r="AW84" i="4" s="1"/>
  <c r="Z84" i="4"/>
  <c r="AN74" i="2"/>
  <c r="O75" i="2"/>
  <c r="BP75" i="2" s="1"/>
  <c r="D13" i="2"/>
  <c r="D102" i="2"/>
  <c r="BP63" i="2"/>
  <c r="AO64" i="2"/>
  <c r="AO75" i="2" s="1"/>
  <c r="BD74" i="4"/>
  <c r="BD85" i="4" s="1"/>
  <c r="BR74" i="4"/>
  <c r="BR85" i="4" s="1"/>
  <c r="BK74" i="4"/>
  <c r="AK85" i="4"/>
  <c r="AJ73" i="4"/>
  <c r="BB73" i="4"/>
  <c r="AI84" i="4"/>
  <c r="I114" i="4"/>
  <c r="I120" i="4" s="1"/>
  <c r="BP74" i="4"/>
  <c r="BP85" i="4" s="1"/>
  <c r="AP74" i="4"/>
  <c r="AP85" i="4" s="1"/>
  <c r="O85" i="4"/>
  <c r="BR64" i="2"/>
  <c r="BD64" i="2"/>
  <c r="BD75" i="2" s="1"/>
  <c r="BK64" i="2"/>
  <c r="BQ62" i="2"/>
  <c r="AU64" i="2"/>
  <c r="AU75" i="2" s="1"/>
  <c r="D21" i="2" s="1"/>
  <c r="D6" i="1" s="1"/>
  <c r="Y64" i="2"/>
  <c r="Y75" i="2" s="1"/>
  <c r="C144" i="4"/>
  <c r="C145" i="4" s="1"/>
  <c r="C146" i="4" s="1"/>
  <c r="C147" i="4" s="1"/>
  <c r="C149" i="4" s="1"/>
  <c r="J121" i="4"/>
  <c r="O121" i="4" s="1"/>
  <c r="R121" i="4" s="1"/>
  <c r="AO73" i="4"/>
  <c r="AO84" i="4" s="1"/>
  <c r="N84" i="4"/>
  <c r="BQ72" i="4"/>
  <c r="BQ83" i="4" s="1"/>
  <c r="AU74" i="4"/>
  <c r="Y74" i="4"/>
  <c r="X85" i="4"/>
  <c r="AO74" i="4"/>
  <c r="AO85" i="4" s="1"/>
  <c r="BP73" i="4"/>
  <c r="BP84" i="4" s="1"/>
  <c r="N85" i="4"/>
  <c r="X74" i="2"/>
  <c r="N74" i="2"/>
  <c r="BQ64" i="2"/>
  <c r="AW64" i="2"/>
  <c r="AW75" i="2" s="1"/>
  <c r="Z75" i="2"/>
  <c r="BQ75" i="2" s="1"/>
  <c r="BB74" i="4"/>
  <c r="BB85" i="4" s="1"/>
  <c r="E31" i="4" s="1"/>
  <c r="E16" i="1" s="1"/>
  <c r="AJ74" i="4"/>
  <c r="BR72" i="4"/>
  <c r="BR83" i="4" s="1"/>
  <c r="AI85" i="4"/>
  <c r="AP73" i="4"/>
  <c r="AP84" i="4" s="1"/>
  <c r="O84" i="4"/>
  <c r="BK73" i="4"/>
  <c r="BD73" i="4"/>
  <c r="BD84" i="4" s="1"/>
  <c r="AK84" i="4"/>
  <c r="BQ74" i="4"/>
  <c r="BQ85" i="4" s="1"/>
  <c r="AW74" i="4"/>
  <c r="AW85" i="4" s="1"/>
  <c r="Z85" i="4"/>
  <c r="AX74" i="4"/>
  <c r="AX85" i="4" s="1"/>
  <c r="AN85" i="4"/>
  <c r="C31" i="4" s="1"/>
  <c r="C16" i="1" s="1"/>
  <c r="BF54" i="4"/>
  <c r="BL54" i="4" s="1"/>
  <c r="AN75" i="2"/>
  <c r="C21" i="2" s="1"/>
  <c r="C6" i="1" s="1"/>
  <c r="BC44" i="2"/>
  <c r="J110" i="2"/>
  <c r="O110" i="2" s="1"/>
  <c r="X110" i="2" s="1"/>
  <c r="C132" i="2"/>
  <c r="C133" i="2" s="1"/>
  <c r="C134" i="2" s="1"/>
  <c r="BR44" i="2"/>
  <c r="BQ44" i="2"/>
  <c r="AV74" i="2"/>
  <c r="BP74" i="2"/>
  <c r="Q110" i="2"/>
  <c r="M110" i="2"/>
  <c r="V110" i="2" s="1"/>
  <c r="BQ73" i="2"/>
  <c r="BR73" i="2"/>
  <c r="BE45" i="2"/>
  <c r="BJ44" i="2"/>
  <c r="BJ45" i="2"/>
  <c r="AR45" i="2"/>
  <c r="AR44" i="2"/>
  <c r="BE44" i="2"/>
  <c r="AY45" i="2"/>
  <c r="BQ42" i="2" s="1"/>
  <c r="AV86" i="3" l="1"/>
  <c r="BF72" i="6"/>
  <c r="BP70" i="6"/>
  <c r="BP91" i="6" s="1"/>
  <c r="AY93" i="6"/>
  <c r="BC93" i="6"/>
  <c r="BS93" i="6"/>
  <c r="AV94" i="6"/>
  <c r="R133" i="6"/>
  <c r="AX131" i="6" s="1"/>
  <c r="BS72" i="6"/>
  <c r="BS85" i="3"/>
  <c r="BS64" i="3"/>
  <c r="BL72" i="6"/>
  <c r="BF93" i="6"/>
  <c r="BL64" i="3"/>
  <c r="BQ62" i="3"/>
  <c r="BQ83" i="3" s="1"/>
  <c r="AY86" i="3"/>
  <c r="BL65" i="3"/>
  <c r="BQ70" i="6"/>
  <c r="BQ91" i="6" s="1"/>
  <c r="AY94" i="6"/>
  <c r="AY85" i="3"/>
  <c r="BL44" i="3"/>
  <c r="K16" i="1"/>
  <c r="BF73" i="6"/>
  <c r="BR70" i="6" s="1"/>
  <c r="BR91" i="6" s="1"/>
  <c r="BF86" i="3"/>
  <c r="AV131" i="6"/>
  <c r="C18" i="6"/>
  <c r="AA129" i="6"/>
  <c r="AH129" i="6" s="1"/>
  <c r="S133" i="6"/>
  <c r="M132" i="6"/>
  <c r="J16" i="1"/>
  <c r="AV122" i="3"/>
  <c r="S123" i="3"/>
  <c r="M122" i="3"/>
  <c r="C16" i="3"/>
  <c r="AA120" i="3"/>
  <c r="BR83" i="3"/>
  <c r="D18" i="6"/>
  <c r="T133" i="6"/>
  <c r="N132" i="6"/>
  <c r="AW131" i="6"/>
  <c r="BC85" i="3"/>
  <c r="C149" i="3"/>
  <c r="C168" i="3"/>
  <c r="D168" i="3" s="1"/>
  <c r="E168" i="3" s="1"/>
  <c r="C139" i="3"/>
  <c r="BF85" i="3"/>
  <c r="R120" i="3"/>
  <c r="R123" i="3" s="1"/>
  <c r="X120" i="3"/>
  <c r="BL53" i="6"/>
  <c r="Q120" i="3"/>
  <c r="Q123" i="3" s="1"/>
  <c r="W120" i="3"/>
  <c r="J6" i="1"/>
  <c r="L6" i="1" s="1"/>
  <c r="E28" i="1" s="1"/>
  <c r="BL52" i="6"/>
  <c r="BS62" i="3"/>
  <c r="V121" i="4"/>
  <c r="F6" i="1"/>
  <c r="C28" i="1" s="1"/>
  <c r="Y74" i="2"/>
  <c r="BS62" i="2"/>
  <c r="AR64" i="2"/>
  <c r="BP61" i="2" s="1"/>
  <c r="BC86" i="4"/>
  <c r="BF55" i="4"/>
  <c r="BS72" i="4"/>
  <c r="AR74" i="4"/>
  <c r="AR85" i="4" s="1"/>
  <c r="BS75" i="2"/>
  <c r="BS64" i="2"/>
  <c r="BC74" i="4"/>
  <c r="BR73" i="4"/>
  <c r="BR84" i="4" s="1"/>
  <c r="BJ74" i="4"/>
  <c r="AJ85" i="4"/>
  <c r="AR73" i="4"/>
  <c r="AV74" i="4"/>
  <c r="BQ73" i="4"/>
  <c r="BQ84" i="4" s="1"/>
  <c r="Y85" i="4"/>
  <c r="AV64" i="2"/>
  <c r="AV75" i="2" s="1"/>
  <c r="BQ63" i="2"/>
  <c r="BC63" i="2"/>
  <c r="BC74" i="2" s="1"/>
  <c r="BJ63" i="2"/>
  <c r="J123" i="4"/>
  <c r="O120" i="4"/>
  <c r="R120" i="4" s="1"/>
  <c r="BE63" i="2"/>
  <c r="BE74" i="2" s="1"/>
  <c r="M120" i="4"/>
  <c r="P120" i="4" s="1"/>
  <c r="H123" i="4"/>
  <c r="BE74" i="4"/>
  <c r="BE85" i="4" s="1"/>
  <c r="AU85" i="4"/>
  <c r="D31" i="4" s="1"/>
  <c r="D16" i="1" s="1"/>
  <c r="X121" i="4"/>
  <c r="BE64" i="2"/>
  <c r="BE75" i="2" s="1"/>
  <c r="BS74" i="4"/>
  <c r="BB84" i="4"/>
  <c r="BS83" i="4"/>
  <c r="AV73" i="4"/>
  <c r="AV84" i="4" s="1"/>
  <c r="Y84" i="4"/>
  <c r="BS85" i="4"/>
  <c r="N120" i="4"/>
  <c r="Q120" i="4" s="1"/>
  <c r="I123" i="4"/>
  <c r="BJ73" i="4"/>
  <c r="BC73" i="4"/>
  <c r="BC84" i="4" s="1"/>
  <c r="AJ84" i="4"/>
  <c r="BC64" i="2"/>
  <c r="BJ64" i="2"/>
  <c r="BR63" i="2"/>
  <c r="AU84" i="4"/>
  <c r="AY63" i="2"/>
  <c r="C135" i="2"/>
  <c r="C137" i="2" s="1"/>
  <c r="AY44" i="2"/>
  <c r="BS44" i="2"/>
  <c r="P110" i="2"/>
  <c r="BQ74" i="2"/>
  <c r="BS74" i="2" s="1"/>
  <c r="R110" i="2"/>
  <c r="BS73" i="2"/>
  <c r="BF45" i="2"/>
  <c r="BR42" i="2" s="1"/>
  <c r="BP42" i="2"/>
  <c r="AR74" i="2"/>
  <c r="BF44" i="2"/>
  <c r="AO129" i="6" l="1"/>
  <c r="L16" i="1"/>
  <c r="F28" i="1" s="1"/>
  <c r="E18" i="6"/>
  <c r="F48" i="1" s="1"/>
  <c r="O132" i="6"/>
  <c r="O133" i="6" s="1"/>
  <c r="BL73" i="6"/>
  <c r="BS91" i="6"/>
  <c r="U133" i="6"/>
  <c r="AX132" i="6" s="1"/>
  <c r="BF94" i="6"/>
  <c r="BS83" i="3"/>
  <c r="U123" i="3"/>
  <c r="E16" i="3"/>
  <c r="E48" i="1" s="1"/>
  <c r="AX122" i="3"/>
  <c r="O122" i="3"/>
  <c r="AV123" i="3"/>
  <c r="AB120" i="3"/>
  <c r="C24" i="3" s="1"/>
  <c r="I8" i="1" s="1"/>
  <c r="BS70" i="6"/>
  <c r="W132" i="6"/>
  <c r="W133" i="6" s="1"/>
  <c r="N133" i="6"/>
  <c r="AH120" i="3"/>
  <c r="AO120" i="3" s="1"/>
  <c r="X132" i="6"/>
  <c r="X133" i="6" s="1"/>
  <c r="D16" i="3"/>
  <c r="N122" i="3"/>
  <c r="AW122" i="3"/>
  <c r="AY122" i="3" s="1"/>
  <c r="T123" i="3"/>
  <c r="Z129" i="6"/>
  <c r="V132" i="6"/>
  <c r="V133" i="6" s="1"/>
  <c r="M133" i="6"/>
  <c r="AY131" i="6"/>
  <c r="V122" i="3"/>
  <c r="V123" i="3" s="1"/>
  <c r="M123" i="3"/>
  <c r="Z120" i="3"/>
  <c r="AW132" i="6"/>
  <c r="AB129" i="6"/>
  <c r="C32" i="6" s="1"/>
  <c r="I18" i="1" s="1"/>
  <c r="AV132" i="6"/>
  <c r="F16" i="1"/>
  <c r="D28" i="1" s="1"/>
  <c r="AR75" i="2"/>
  <c r="BP72" i="2" s="1"/>
  <c r="BL55" i="4"/>
  <c r="BR51" i="4"/>
  <c r="BS51" i="4" s="1"/>
  <c r="BF86" i="4"/>
  <c r="BP71" i="4"/>
  <c r="BP82" i="4" s="1"/>
  <c r="BS73" i="4"/>
  <c r="BS63" i="2"/>
  <c r="AY74" i="2"/>
  <c r="AY73" i="4"/>
  <c r="AY84" i="4" s="1"/>
  <c r="BF63" i="2"/>
  <c r="BL63" i="2" s="1"/>
  <c r="W120" i="4"/>
  <c r="Q124" i="4"/>
  <c r="AY64" i="2"/>
  <c r="P124" i="4"/>
  <c r="V120" i="4"/>
  <c r="BS84" i="4"/>
  <c r="AR84" i="4"/>
  <c r="BF74" i="4"/>
  <c r="BC85" i="4"/>
  <c r="BF64" i="2"/>
  <c r="BR61" i="2" s="1"/>
  <c r="BC75" i="2"/>
  <c r="BF73" i="4"/>
  <c r="BF84" i="4" s="1"/>
  <c r="X120" i="4"/>
  <c r="R124" i="4"/>
  <c r="AY74" i="4"/>
  <c r="AV85" i="4"/>
  <c r="BL44" i="2"/>
  <c r="BL45" i="2"/>
  <c r="BS42" i="2"/>
  <c r="AV121" i="3" l="1"/>
  <c r="C15" i="3"/>
  <c r="AG129" i="6"/>
  <c r="AK129" i="6"/>
  <c r="D169" i="6" s="1"/>
  <c r="C31" i="6"/>
  <c r="W122" i="3"/>
  <c r="W123" i="3" s="1"/>
  <c r="AG120" i="3"/>
  <c r="N123" i="3"/>
  <c r="AX133" i="6"/>
  <c r="E164" i="6" s="1"/>
  <c r="AQ129" i="6"/>
  <c r="AW133" i="6"/>
  <c r="D164" i="6" s="1"/>
  <c r="AJ129" i="6"/>
  <c r="X122" i="3"/>
  <c r="X123" i="3" s="1"/>
  <c r="O123" i="3"/>
  <c r="AN120" i="3"/>
  <c r="AV124" i="3"/>
  <c r="AC120" i="3"/>
  <c r="AE120" i="3" s="1"/>
  <c r="AV120" i="3" s="1"/>
  <c r="AI129" i="6"/>
  <c r="C17" i="6"/>
  <c r="AV130" i="6"/>
  <c r="AW123" i="3"/>
  <c r="AI120" i="3"/>
  <c r="D24" i="3" s="1"/>
  <c r="J8" i="1" s="1"/>
  <c r="D17" i="3"/>
  <c r="D136" i="3" s="1"/>
  <c r="AY132" i="6"/>
  <c r="C19" i="6"/>
  <c r="C145" i="6" s="1"/>
  <c r="D19" i="6"/>
  <c r="D145" i="6" s="1"/>
  <c r="E19" i="6"/>
  <c r="AK120" i="3"/>
  <c r="D160" i="3" s="1"/>
  <c r="C23" i="3"/>
  <c r="AC129" i="6"/>
  <c r="AE129" i="6" s="1"/>
  <c r="AV129" i="6" s="1"/>
  <c r="AV133" i="6"/>
  <c r="E17" i="6"/>
  <c r="F47" i="1" s="1"/>
  <c r="AX130" i="6"/>
  <c r="D17" i="6"/>
  <c r="AW130" i="6"/>
  <c r="AX123" i="3"/>
  <c r="E17" i="3"/>
  <c r="BF74" i="2"/>
  <c r="BF75" i="2"/>
  <c r="BR72" i="2" s="1"/>
  <c r="I103" i="2" s="1"/>
  <c r="I109" i="2" s="1"/>
  <c r="I112" i="2" s="1"/>
  <c r="BL73" i="4"/>
  <c r="BQ71" i="4"/>
  <c r="BQ82" i="4" s="1"/>
  <c r="AY85" i="4"/>
  <c r="BL74" i="4"/>
  <c r="BR71" i="4"/>
  <c r="BR82" i="4" s="1"/>
  <c r="BF85" i="4"/>
  <c r="AV122" i="4"/>
  <c r="AA120" i="4"/>
  <c r="AH120" i="4" s="1"/>
  <c r="AO120" i="4" s="1"/>
  <c r="M123" i="4"/>
  <c r="Z120" i="4" s="1"/>
  <c r="C14" i="4"/>
  <c r="S124" i="4"/>
  <c r="T124" i="4"/>
  <c r="AW122" i="4"/>
  <c r="N123" i="4"/>
  <c r="D14" i="4"/>
  <c r="AX122" i="4"/>
  <c r="O123" i="4"/>
  <c r="U124" i="4"/>
  <c r="E14" i="4"/>
  <c r="D48" i="1" s="1"/>
  <c r="BQ61" i="2"/>
  <c r="BS61" i="2" s="1"/>
  <c r="BL64" i="2"/>
  <c r="AY75" i="2"/>
  <c r="BQ72" i="2" s="1"/>
  <c r="H103" i="2" s="1"/>
  <c r="H109" i="2" s="1"/>
  <c r="C15" i="12"/>
  <c r="E15" i="12" s="1"/>
  <c r="D165" i="6" l="1"/>
  <c r="D166" i="6" s="1"/>
  <c r="D59" i="1"/>
  <c r="E165" i="6"/>
  <c r="E166" i="6" s="1"/>
  <c r="E59" i="1"/>
  <c r="AP120" i="3"/>
  <c r="E24" i="3" s="1"/>
  <c r="K8" i="1" s="1"/>
  <c r="E145" i="6"/>
  <c r="F49" i="1"/>
  <c r="E136" i="3"/>
  <c r="E49" i="1"/>
  <c r="AY123" i="3"/>
  <c r="L8" i="1"/>
  <c r="E30" i="1" s="1"/>
  <c r="E23" i="3"/>
  <c r="D167" i="6"/>
  <c r="D35" i="6" s="1"/>
  <c r="D163" i="6"/>
  <c r="AR120" i="3"/>
  <c r="E160" i="3" s="1"/>
  <c r="D23" i="3"/>
  <c r="C158" i="6"/>
  <c r="C177" i="6"/>
  <c r="D177" i="6" s="1"/>
  <c r="E177" i="6" s="1"/>
  <c r="C148" i="6"/>
  <c r="D32" i="6"/>
  <c r="J18" i="1" s="1"/>
  <c r="AP129" i="6"/>
  <c r="E32" i="6" s="1"/>
  <c r="K18" i="1" s="1"/>
  <c r="AX121" i="3"/>
  <c r="E15" i="3"/>
  <c r="E47" i="1" s="1"/>
  <c r="AJ120" i="3"/>
  <c r="AL120" i="3" s="1"/>
  <c r="AW120" i="3" s="1"/>
  <c r="AW124" i="3"/>
  <c r="D155" i="3" s="1"/>
  <c r="AN129" i="6"/>
  <c r="AL129" i="6"/>
  <c r="AW129" i="6" s="1"/>
  <c r="D31" i="6"/>
  <c r="N15" i="7"/>
  <c r="O15" i="7" s="1"/>
  <c r="N16" i="14"/>
  <c r="O16" i="14" s="1"/>
  <c r="AQ120" i="3"/>
  <c r="AS120" i="3" s="1"/>
  <c r="AX120" i="3" s="1"/>
  <c r="AX124" i="3"/>
  <c r="E155" i="3" s="1"/>
  <c r="E167" i="6"/>
  <c r="E35" i="6" s="1"/>
  <c r="E163" i="6"/>
  <c r="AR129" i="6"/>
  <c r="E169" i="6" s="1"/>
  <c r="I7" i="1"/>
  <c r="C25" i="3"/>
  <c r="AY133" i="6"/>
  <c r="C164" i="6"/>
  <c r="AY130" i="6"/>
  <c r="C155" i="3"/>
  <c r="AW121" i="3"/>
  <c r="D15" i="3"/>
  <c r="I17" i="1"/>
  <c r="C33" i="6"/>
  <c r="AY121" i="3"/>
  <c r="AG120" i="4"/>
  <c r="AN120" i="4" s="1"/>
  <c r="N109" i="2"/>
  <c r="Q109" i="2" s="1"/>
  <c r="M109" i="2"/>
  <c r="H112" i="2"/>
  <c r="AX123" i="4"/>
  <c r="AW123" i="4"/>
  <c r="V123" i="4"/>
  <c r="V124" i="4" s="1"/>
  <c r="M124" i="4"/>
  <c r="X123" i="4"/>
  <c r="X124" i="4" s="1"/>
  <c r="O124" i="4"/>
  <c r="W123" i="4"/>
  <c r="W124" i="4" s="1"/>
  <c r="N124" i="4"/>
  <c r="AV123" i="4"/>
  <c r="AB120" i="4"/>
  <c r="C33" i="4" s="1"/>
  <c r="C18" i="1" s="1"/>
  <c r="AY122" i="4"/>
  <c r="BS72" i="2"/>
  <c r="J103" i="2" s="1"/>
  <c r="J109" i="2" s="1"/>
  <c r="O109" i="2" s="1"/>
  <c r="BS82" i="4"/>
  <c r="BS71" i="4"/>
  <c r="F15" i="12"/>
  <c r="D15" i="12"/>
  <c r="H6" i="14" s="1"/>
  <c r="E156" i="3" l="1"/>
  <c r="E157" i="3" s="1"/>
  <c r="E58" i="1"/>
  <c r="C156" i="3"/>
  <c r="C157" i="3" s="1"/>
  <c r="C58" i="1"/>
  <c r="D156" i="3"/>
  <c r="D157" i="3" s="1"/>
  <c r="D58" i="1"/>
  <c r="C165" i="6"/>
  <c r="C166" i="6" s="1"/>
  <c r="C59" i="1"/>
  <c r="AY120" i="3"/>
  <c r="L18" i="1"/>
  <c r="F30" i="1" s="1"/>
  <c r="C163" i="6"/>
  <c r="C167" i="6"/>
  <c r="C35" i="6" s="1"/>
  <c r="J17" i="1"/>
  <c r="J15" i="1" s="1"/>
  <c r="D33" i="6"/>
  <c r="K6" i="14"/>
  <c r="N6" i="14" s="1"/>
  <c r="I6" i="14"/>
  <c r="L6" i="14" s="1"/>
  <c r="J6" i="14"/>
  <c r="M6" i="14" s="1"/>
  <c r="N25" i="7"/>
  <c r="O25" i="7" s="1"/>
  <c r="N26" i="14"/>
  <c r="O26" i="14" s="1"/>
  <c r="AY124" i="3"/>
  <c r="C159" i="6"/>
  <c r="C147" i="6"/>
  <c r="I15" i="1"/>
  <c r="C158" i="3"/>
  <c r="C27" i="3" s="1"/>
  <c r="C154" i="3"/>
  <c r="K20" i="1"/>
  <c r="AS129" i="6"/>
  <c r="AX129" i="6" s="1"/>
  <c r="AY129" i="6" s="1"/>
  <c r="E31" i="6"/>
  <c r="J7" i="1"/>
  <c r="J5" i="1" s="1"/>
  <c r="D25" i="3"/>
  <c r="K7" i="1"/>
  <c r="K5" i="1" s="1"/>
  <c r="E25" i="3"/>
  <c r="I5" i="1"/>
  <c r="E154" i="3"/>
  <c r="E158" i="3"/>
  <c r="E27" i="3" s="1"/>
  <c r="D158" i="3"/>
  <c r="D27" i="3" s="1"/>
  <c r="D154" i="3"/>
  <c r="C15" i="4"/>
  <c r="C137" i="4" s="1"/>
  <c r="D15" i="4"/>
  <c r="D137" i="4" s="1"/>
  <c r="E15" i="4"/>
  <c r="W109" i="2"/>
  <c r="AY123" i="4"/>
  <c r="AR120" i="4"/>
  <c r="E161" i="4" s="1"/>
  <c r="D32" i="4"/>
  <c r="D17" i="1" s="1"/>
  <c r="AQ120" i="4"/>
  <c r="AX124" i="4"/>
  <c r="D13" i="4"/>
  <c r="AW121" i="4"/>
  <c r="AK120" i="4"/>
  <c r="D161" i="4" s="1"/>
  <c r="C32" i="4"/>
  <c r="AI120" i="4"/>
  <c r="J112" i="2"/>
  <c r="AW124" i="4"/>
  <c r="AJ120" i="4"/>
  <c r="C13" i="4"/>
  <c r="AV121" i="4"/>
  <c r="E13" i="4"/>
  <c r="D47" i="1" s="1"/>
  <c r="AX121" i="4"/>
  <c r="AC120" i="4"/>
  <c r="AE120" i="4" s="1"/>
  <c r="AV120" i="4" s="1"/>
  <c r="AV124" i="4"/>
  <c r="C156" i="4" s="1"/>
  <c r="C57" i="1" s="1"/>
  <c r="V109" i="2"/>
  <c r="P109" i="2"/>
  <c r="P112" i="2" s="1"/>
  <c r="X109" i="2"/>
  <c r="Q112" i="2"/>
  <c r="R109" i="2"/>
  <c r="R112" i="2" s="1"/>
  <c r="E15" i="2" s="1"/>
  <c r="C48" i="1" s="1"/>
  <c r="G15" i="12"/>
  <c r="H5" i="7"/>
  <c r="E137" i="4" l="1"/>
  <c r="D49" i="1"/>
  <c r="L7" i="1"/>
  <c r="K10" i="1"/>
  <c r="K17" i="1"/>
  <c r="E33" i="6"/>
  <c r="C138" i="3"/>
  <c r="C150" i="3"/>
  <c r="J20" i="1"/>
  <c r="O6" i="14"/>
  <c r="O36" i="14" s="1"/>
  <c r="L5" i="1"/>
  <c r="E29" i="1"/>
  <c r="I10" i="1"/>
  <c r="C150" i="6"/>
  <c r="C149" i="6"/>
  <c r="I20" i="1"/>
  <c r="J10" i="1"/>
  <c r="C34" i="4"/>
  <c r="C17" i="1"/>
  <c r="C140" i="4"/>
  <c r="C150" i="4"/>
  <c r="C169" i="4"/>
  <c r="D169" i="4" s="1"/>
  <c r="E169" i="4" s="1"/>
  <c r="AL120" i="4"/>
  <c r="AW120" i="4" s="1"/>
  <c r="D156" i="4"/>
  <c r="E156" i="4"/>
  <c r="AY121" i="4"/>
  <c r="AY124" i="4"/>
  <c r="C157" i="4"/>
  <c r="C158" i="4" s="1"/>
  <c r="M111" i="2"/>
  <c r="S112" i="2"/>
  <c r="C15" i="2"/>
  <c r="AV111" i="2"/>
  <c r="AA109" i="2"/>
  <c r="AH109" i="2" s="1"/>
  <c r="AO109" i="2" s="1"/>
  <c r="E32" i="4"/>
  <c r="E17" i="1" s="1"/>
  <c r="D33" i="4"/>
  <c r="AP120" i="4"/>
  <c r="E33" i="4" s="1"/>
  <c r="E18" i="1" s="1"/>
  <c r="C158" i="2"/>
  <c r="D15" i="2"/>
  <c r="T112" i="2"/>
  <c r="N111" i="2"/>
  <c r="AW111" i="2"/>
  <c r="AX111" i="2"/>
  <c r="O111" i="2"/>
  <c r="U112" i="2"/>
  <c r="J5" i="7"/>
  <c r="M5" i="7" s="1"/>
  <c r="I5" i="7"/>
  <c r="L5" i="7" s="1"/>
  <c r="K5" i="7"/>
  <c r="N5" i="7" s="1"/>
  <c r="D157" i="4" l="1"/>
  <c r="D158" i="4" s="1"/>
  <c r="D57" i="1"/>
  <c r="E157" i="4"/>
  <c r="E158" i="4" s="1"/>
  <c r="E159" i="4" s="1"/>
  <c r="E36" i="4" s="1"/>
  <c r="E57" i="1"/>
  <c r="C160" i="6"/>
  <c r="E170" i="6" s="1"/>
  <c r="K15" i="1"/>
  <c r="L17" i="1"/>
  <c r="L20" i="1"/>
  <c r="F31" i="1" s="1"/>
  <c r="L10" i="1"/>
  <c r="C141" i="3"/>
  <c r="C140" i="3"/>
  <c r="D34" i="4"/>
  <c r="D18" i="1"/>
  <c r="F17" i="1"/>
  <c r="D29" i="1" s="1"/>
  <c r="C15" i="1"/>
  <c r="E15" i="1"/>
  <c r="D159" i="4"/>
  <c r="D36" i="4" s="1"/>
  <c r="D155" i="4"/>
  <c r="AS120" i="4"/>
  <c r="AX120" i="4" s="1"/>
  <c r="AY120" i="4" s="1"/>
  <c r="E34" i="4"/>
  <c r="AV112" i="2"/>
  <c r="AB109" i="2"/>
  <c r="C23" i="2" s="1"/>
  <c r="C8" i="1" s="1"/>
  <c r="V111" i="2"/>
  <c r="V112" i="2" s="1"/>
  <c r="M112" i="2"/>
  <c r="Z109" i="2"/>
  <c r="AG109" i="2" s="1"/>
  <c r="C159" i="4"/>
  <c r="C36" i="4" s="1"/>
  <c r="C155" i="4"/>
  <c r="D158" i="2"/>
  <c r="C27" i="2"/>
  <c r="C11" i="1" s="1"/>
  <c r="X111" i="2"/>
  <c r="X112" i="2" s="1"/>
  <c r="W111" i="2"/>
  <c r="W112" i="2" s="1"/>
  <c r="AW112" i="2"/>
  <c r="AX112" i="2"/>
  <c r="O112" i="2"/>
  <c r="E14" i="2" s="1"/>
  <c r="C47" i="1" s="1"/>
  <c r="AY111" i="2"/>
  <c r="N112" i="2"/>
  <c r="O5" i="7"/>
  <c r="O37" i="7" s="1"/>
  <c r="E155" i="4" l="1"/>
  <c r="C139" i="4" s="1"/>
  <c r="C38" i="6"/>
  <c r="I23" i="1" s="1"/>
  <c r="L23" i="1" s="1"/>
  <c r="F34" i="1" s="1"/>
  <c r="C170" i="6"/>
  <c r="D170" i="6"/>
  <c r="D171" i="6" s="1"/>
  <c r="D179" i="6" s="1"/>
  <c r="C151" i="3"/>
  <c r="D161" i="3" s="1"/>
  <c r="E20" i="1"/>
  <c r="E161" i="3"/>
  <c r="E31" i="1"/>
  <c r="L15" i="1"/>
  <c r="F29" i="1"/>
  <c r="C20" i="1"/>
  <c r="C148" i="2"/>
  <c r="C168" i="6"/>
  <c r="C159" i="3"/>
  <c r="C160" i="4"/>
  <c r="D20" i="1"/>
  <c r="E171" i="6"/>
  <c r="E179" i="6" s="1"/>
  <c r="E37" i="6"/>
  <c r="F18" i="1"/>
  <c r="D15" i="1"/>
  <c r="C16" i="2"/>
  <c r="C125" i="2" s="1"/>
  <c r="D16" i="2"/>
  <c r="D125" i="2" s="1"/>
  <c r="E16" i="2"/>
  <c r="AI109" i="2"/>
  <c r="D23" i="2" s="1"/>
  <c r="D8" i="1" s="1"/>
  <c r="C151" i="4"/>
  <c r="C141" i="4"/>
  <c r="C142" i="4"/>
  <c r="AK109" i="2"/>
  <c r="D149" i="2" s="1"/>
  <c r="C22" i="2"/>
  <c r="C14" i="2"/>
  <c r="AV110" i="2"/>
  <c r="AC109" i="2"/>
  <c r="AE109" i="2" s="1"/>
  <c r="AV109" i="2" s="1"/>
  <c r="AV113" i="2"/>
  <c r="AN109" i="2"/>
  <c r="E22" i="2" s="1"/>
  <c r="E7" i="1" s="1"/>
  <c r="D22" i="2"/>
  <c r="D7" i="1" s="1"/>
  <c r="AP109" i="2"/>
  <c r="E23" i="2" s="1"/>
  <c r="E8" i="1" s="1"/>
  <c r="E158" i="2"/>
  <c r="E27" i="2" s="1"/>
  <c r="E11" i="1" s="1"/>
  <c r="D27" i="2"/>
  <c r="D11" i="1" s="1"/>
  <c r="AY112" i="2"/>
  <c r="AR109" i="2"/>
  <c r="E149" i="2" s="1"/>
  <c r="AW110" i="2"/>
  <c r="D14" i="2"/>
  <c r="AW113" i="2"/>
  <c r="D144" i="2" s="1"/>
  <c r="D56" i="1" s="1"/>
  <c r="AJ109" i="2"/>
  <c r="AX110" i="2"/>
  <c r="AX113" i="2"/>
  <c r="E144" i="2" s="1"/>
  <c r="E56" i="1" s="1"/>
  <c r="AQ109" i="2"/>
  <c r="C37" i="6" l="1"/>
  <c r="D37" i="6"/>
  <c r="C39" i="6"/>
  <c r="C40" i="6" s="1"/>
  <c r="C29" i="3"/>
  <c r="C31" i="3" s="1"/>
  <c r="C32" i="3" s="1"/>
  <c r="C161" i="3"/>
  <c r="C30" i="3"/>
  <c r="I13" i="1" s="1"/>
  <c r="L13" i="1" s="1"/>
  <c r="E34" i="1" s="1"/>
  <c r="E125" i="2"/>
  <c r="C49" i="1"/>
  <c r="K22" i="1"/>
  <c r="K19" i="1" s="1"/>
  <c r="E39" i="6"/>
  <c r="E40" i="6" s="1"/>
  <c r="J22" i="1"/>
  <c r="J19" i="1" s="1"/>
  <c r="D39" i="6"/>
  <c r="D40" i="6" s="1"/>
  <c r="C162" i="3"/>
  <c r="E162" i="3"/>
  <c r="E170" i="3" s="1"/>
  <c r="E29" i="3"/>
  <c r="C171" i="6"/>
  <c r="D162" i="3"/>
  <c r="D170" i="3" s="1"/>
  <c r="D29" i="3"/>
  <c r="F15" i="1"/>
  <c r="D30" i="1"/>
  <c r="F20" i="1"/>
  <c r="D31" i="1" s="1"/>
  <c r="F11" i="1"/>
  <c r="C32" i="1" s="1"/>
  <c r="D5" i="1"/>
  <c r="F8" i="1"/>
  <c r="C30" i="1" s="1"/>
  <c r="E5" i="1"/>
  <c r="C24" i="2"/>
  <c r="C7" i="1"/>
  <c r="C128" i="2"/>
  <c r="C138" i="2"/>
  <c r="C157" i="2"/>
  <c r="D157" i="2" s="1"/>
  <c r="E157" i="2" s="1"/>
  <c r="AL109" i="2"/>
  <c r="AW109" i="2" s="1"/>
  <c r="C144" i="2"/>
  <c r="C152" i="4"/>
  <c r="D24" i="2"/>
  <c r="E24" i="2"/>
  <c r="AY110" i="2"/>
  <c r="AS109" i="2"/>
  <c r="AX109" i="2" s="1"/>
  <c r="AY113" i="2"/>
  <c r="C145" i="2" l="1"/>
  <c r="C146" i="2" s="1"/>
  <c r="C56" i="1"/>
  <c r="B40" i="6"/>
  <c r="I22" i="1"/>
  <c r="C179" i="6"/>
  <c r="I12" i="1"/>
  <c r="C170" i="3"/>
  <c r="J12" i="1"/>
  <c r="J9" i="1" s="1"/>
  <c r="D31" i="3"/>
  <c r="D32" i="3" s="1"/>
  <c r="K12" i="1"/>
  <c r="K9" i="1" s="1"/>
  <c r="E31" i="3"/>
  <c r="E32" i="3" s="1"/>
  <c r="F7" i="1"/>
  <c r="C5" i="1"/>
  <c r="AY109" i="2"/>
  <c r="C162" i="4"/>
  <c r="E162" i="4"/>
  <c r="D162" i="4"/>
  <c r="C147" i="2"/>
  <c r="C26" i="2" s="1"/>
  <c r="C143" i="2"/>
  <c r="C39" i="4"/>
  <c r="C23" i="1" s="1"/>
  <c r="E145" i="2"/>
  <c r="E146" i="2" s="1"/>
  <c r="D145" i="2"/>
  <c r="D146" i="2" s="1"/>
  <c r="C163" i="4" l="1"/>
  <c r="C171" i="4" s="1"/>
  <c r="C38" i="4"/>
  <c r="L12" i="1"/>
  <c r="I9" i="1"/>
  <c r="D163" i="4"/>
  <c r="D171" i="4" s="1"/>
  <c r="D38" i="4"/>
  <c r="B32" i="3"/>
  <c r="E163" i="4"/>
  <c r="E171" i="4" s="1"/>
  <c r="E38" i="4"/>
  <c r="L22" i="1"/>
  <c r="I19" i="1"/>
  <c r="C10" i="1"/>
  <c r="F5" i="1"/>
  <c r="C29" i="1"/>
  <c r="F23" i="1"/>
  <c r="D147" i="2"/>
  <c r="D26" i="2" s="1"/>
  <c r="D143" i="2"/>
  <c r="E147" i="2"/>
  <c r="E26" i="2" s="1"/>
  <c r="E143" i="2"/>
  <c r="C139" i="2" l="1"/>
  <c r="C127" i="2"/>
  <c r="L19" i="1"/>
  <c r="H14" i="1" s="1"/>
  <c r="F33" i="1"/>
  <c r="E33" i="1"/>
  <c r="L9" i="1"/>
  <c r="H4" i="1" s="1"/>
  <c r="E22" i="1"/>
  <c r="E19" i="1" s="1"/>
  <c r="E40" i="4"/>
  <c r="E41" i="4" s="1"/>
  <c r="C22" i="1"/>
  <c r="C40" i="4"/>
  <c r="C41" i="4" s="1"/>
  <c r="D22" i="1"/>
  <c r="D19" i="1" s="1"/>
  <c r="D40" i="4"/>
  <c r="D41" i="4" s="1"/>
  <c r="D34" i="1"/>
  <c r="E10" i="1"/>
  <c r="D10" i="1"/>
  <c r="F10" i="1" l="1"/>
  <c r="C31" i="1" s="1"/>
  <c r="F22" i="1"/>
  <c r="C19" i="1"/>
  <c r="B41" i="4"/>
  <c r="C130" i="2"/>
  <c r="C129" i="2"/>
  <c r="D33" i="1" l="1"/>
  <c r="F19" i="1"/>
  <c r="B14" i="1" s="1"/>
  <c r="C140" i="2"/>
  <c r="E150" i="2" l="1"/>
  <c r="E28" i="2" s="1"/>
  <c r="E30" i="2" s="1"/>
  <c r="D150" i="2"/>
  <c r="C150" i="2"/>
  <c r="C28" i="2" s="1"/>
  <c r="C29" i="2"/>
  <c r="C13" i="1" s="1"/>
  <c r="F13" i="1" s="1"/>
  <c r="C34" i="1" s="1"/>
  <c r="C30" i="2" l="1"/>
  <c r="D151" i="2"/>
  <c r="D159" i="2" s="1"/>
  <c r="D28" i="2"/>
  <c r="D30" i="2" s="1"/>
  <c r="E151" i="2"/>
  <c r="E159" i="2" s="1"/>
  <c r="C151" i="2"/>
  <c r="C159" i="2" s="1"/>
  <c r="D32" i="2" l="1"/>
  <c r="D12" i="1"/>
  <c r="D9" i="1" s="1"/>
  <c r="C32" i="2" l="1"/>
  <c r="C12" i="1"/>
  <c r="C9" i="1" s="1"/>
  <c r="E32" i="2"/>
  <c r="E12" i="1"/>
  <c r="E9" i="1" s="1"/>
  <c r="B32" i="2" l="1"/>
  <c r="F12" i="1"/>
  <c r="F9" i="1" l="1"/>
  <c r="B4" i="1" s="1"/>
  <c r="C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C5" authorId="0" shapeId="0" xr:uid="{745B6000-D1E5-EB42-9FE5-74482525921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Determined by taking the the estimated peak %'s per day and averaging those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W41" authorId="0" shapeId="0" xr:uid="{889AB1CA-0453-3747-B724-3F72D48EA5B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41" authorId="0" shapeId="0" xr:uid="{C562B40D-9C5F-824B-8E46-346C9F1D38DC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50" authorId="0" shapeId="0" xr:uid="{57FADBE5-441B-0046-AC3B-9D7F796C1F9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50" authorId="0" shapeId="0" xr:uid="{A730C2C4-F85C-FF4F-B4DE-E78A60E9881A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60" authorId="0" shapeId="0" xr:uid="{1CD87CC6-49DE-F541-AA8C-7CF836081AD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60" authorId="0" shapeId="0" xr:uid="{91F05C06-063B-E544-9950-BDA94CF80E6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71" authorId="0" shapeId="0" xr:uid="{7E7E2EC8-0FA2-D74D-93E4-4D2F7844FBAE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71" authorId="0" shapeId="0" xr:uid="{2DB535D2-91D7-7841-86B3-B380E2D57C8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89" authorId="0" shapeId="0" xr:uid="{121A2A74-23B1-8241-92AA-465564725D72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01" authorId="0" shapeId="0" xr:uid="{55418A15-4CB9-D943-98C3-1A769ABAEDCB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# servers * # NICs per server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 servers has built-in-redundancy for BW</t>
        </r>
      </text>
    </comment>
    <comment ref="H107" authorId="0" shapeId="0" xr:uid="{41691629-2C9A-904F-B17B-4451BA61D567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</text>
    </comment>
    <comment ref="B125" authorId="0" shapeId="0" xr:uid="{1998F0BB-DEF7-1D4D-A9AF-D8029C766AB4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assumes a total square footage based on a per-rack sf estimate
</t>
        </r>
        <r>
          <rPr>
            <sz val="10"/>
            <color rgb="FF000000"/>
            <rFont val="Tahoma"/>
            <family val="2"/>
          </rPr>
          <t xml:space="preserve">For a Tier III, the standard is 1:1 add'l space compared to electrically active space
</t>
        </r>
      </text>
    </comment>
    <comment ref="B127" authorId="0" shapeId="0" xr:uid="{83DDE3F7-0256-7149-964E-7D41685140A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Uptime Institute figure of 23801 per kW of IT Load
</t>
        </r>
      </text>
    </comment>
    <comment ref="B129" authorId="0" shapeId="0" xr:uid="{20281F3B-E84A-C449-B7D7-9F177D8E1E32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on the Construction and Land Costs @ 2% real discount rate (assumed)</t>
        </r>
      </text>
    </comment>
    <comment ref="B130" authorId="0" shapeId="0" xr:uid="{BF094002-E2FB-884C-97B0-956D75A7120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Assumed at 5% of infrastructure and facility costs
</t>
        </r>
      </text>
    </comment>
    <comment ref="B131" authorId="0" shapeId="0" xr:uid="{464005A0-238D-AD48-A388-A11D31A4949C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a first year cost, since it is expensive to lay additional fiber later
</t>
        </r>
      </text>
    </comment>
    <comment ref="C132" authorId="0" shapeId="0" xr:uid="{090C6FB5-F097-744A-B581-9804DFBE977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Based on max number of internet-to-router OC-48 ports (1 strand per port)
</t>
        </r>
      </text>
    </comment>
    <comment ref="B136" authorId="0" shapeId="0" xr:uid="{67E9D0C9-78B8-4142-9B42-3F02BF6A451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just an approximation; too many variables to establish a basis estimate
</t>
        </r>
      </text>
    </comment>
    <comment ref="B138" authorId="0" shapeId="0" xr:uid="{2F3F6705-114F-FD4D-844B-92B1A6BA3F1E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the equivalent of $65/sf of electrically active space
</t>
        </r>
      </text>
    </comment>
    <comment ref="B139" authorId="0" shapeId="0" xr:uid="{77E9FEDB-359C-7843-B233-BBF96C86A25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$50/sf of electrically active area
</t>
        </r>
      </text>
    </comment>
    <comment ref="B145" authorId="0" shapeId="0" xr:uid="{DEB159B9-A5F5-2645-B930-C9FB60FE3651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Equal to the IT Load
</t>
        </r>
        <r>
          <rPr>
            <sz val="10"/>
            <color rgb="FF000000"/>
            <rFont val="Tahoma"/>
            <family val="2"/>
          </rPr>
          <t>(conservation of energy)</t>
        </r>
      </text>
    </comment>
    <comment ref="B148" authorId="0" shapeId="0" xr:uid="{180F0156-338C-0943-BB9B-90D924AADF82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calculated by taking the BW at year-end-BW at start and dividing by 2 as an approximate average bandwidth over the year, then multiplying by the IP transit cost (Mbps/month)
</t>
        </r>
      </text>
    </comment>
    <comment ref="B149" authorId="0" shapeId="0" xr:uid="{B6CD52B9-444E-E94B-B011-0161EAC2B34C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% of the cost of prior year total capacity (servers and routers)
</t>
        </r>
      </text>
    </comment>
    <comment ref="B150" authorId="0" shapeId="0" xr:uid="{E0D522E5-253C-A04A-BEBD-744549606EBC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1% of Capital Costs/year
</t>
        </r>
      </text>
    </comment>
    <comment ref="A152" authorId="0" shapeId="0" xr:uid="{825C6DE6-8F60-2F4E-9241-0B6AE53DD5F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3% per annum COLA; Maintenance grows to 4 in year 3 due to increased capacity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W50" authorId="0" shapeId="0" xr:uid="{D5450AF2-3A3B-124A-B717-2A59974560B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50" authorId="0" shapeId="0" xr:uid="{BA7BFE66-8BA4-6648-AF47-D0BC8053FF4B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60" authorId="0" shapeId="0" xr:uid="{17E4D81E-A2BC-3441-93A1-7C4E060DCE8E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60" authorId="0" shapeId="0" xr:uid="{152836CD-A9D4-5B4E-A2E5-B5FBA1F1C4FA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70" authorId="0" shapeId="0" xr:uid="{CADEFA93-DA8D-414F-9BD4-DAC2A86F260C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70" authorId="0" shapeId="0" xr:uid="{A018FA0F-5C9A-6B42-A80B-EF1A2008B044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81" authorId="0" shapeId="0" xr:uid="{C300D992-1A4E-8E43-B6E1-052407625404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81" authorId="0" shapeId="0" xr:uid="{14A10552-5CEA-1D41-9D5F-D9CB9AE8244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00" authorId="0" shapeId="0" xr:uid="{46CD0DA7-24BC-6D42-92F7-60828FDEFB8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12" authorId="0" shapeId="0" xr:uid="{09929C39-6D89-744D-9161-37B05FB89E31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# servers * # NICs per server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 servers has built-in-redundancy for BW</t>
        </r>
      </text>
    </comment>
    <comment ref="H118" authorId="0" shapeId="0" xr:uid="{BD7680F6-2A96-B24C-ACCE-993F73810AA7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</text>
    </comment>
    <comment ref="B137" authorId="0" shapeId="0" xr:uid="{7E0E55C6-5BDE-9E4F-B8BB-06A66F587541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assumes a total square footage based on a per-rack sf estimate
</t>
        </r>
        <r>
          <rPr>
            <sz val="10"/>
            <color rgb="FF000000"/>
            <rFont val="Tahoma"/>
            <family val="2"/>
          </rPr>
          <t xml:space="preserve">For a Tier III, the standard is 1:1 add'l space compared to electrically active space
</t>
        </r>
      </text>
    </comment>
    <comment ref="B139" authorId="0" shapeId="0" xr:uid="{A0FD6491-626C-B44B-AEB4-40A8AD0081A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Uptime Institute figure of 23801 per kW of IT Load
</t>
        </r>
      </text>
    </comment>
    <comment ref="B141" authorId="0" shapeId="0" xr:uid="{8DD2FB4A-57E3-1449-9267-3F2113A8FFA2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on the Construction and Land Costs @ 2% real discount rate (assumed)</t>
        </r>
      </text>
    </comment>
    <comment ref="B142" authorId="0" shapeId="0" xr:uid="{94C4549F-35FA-5848-AF2D-3C540AFC3AB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Assumed at 5% of infrastructure and facility costs
</t>
        </r>
      </text>
    </comment>
    <comment ref="B143" authorId="0" shapeId="0" xr:uid="{6714D532-44A5-D54C-8E06-05B479F3B85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a first year cost, since it is expensive to lay additional fiber later
</t>
        </r>
      </text>
    </comment>
    <comment ref="C144" authorId="0" shapeId="0" xr:uid="{A15CA282-A432-BA47-ABED-3849B5FD0FE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Based on max number of internet-to-router OC-48 ports (1 strand per port)
</t>
        </r>
      </text>
    </comment>
    <comment ref="B148" authorId="0" shapeId="0" xr:uid="{B46965CE-B014-8042-ABD4-4785A00C7A8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just an approximation; too many variables to establish a basis estimate
</t>
        </r>
      </text>
    </comment>
    <comment ref="B150" authorId="0" shapeId="0" xr:uid="{B6A6C24A-E1E1-8E49-B9E9-BEDC79AD1EC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the equivalent of $65/sf of electrically active space
</t>
        </r>
      </text>
    </comment>
    <comment ref="B151" authorId="0" shapeId="0" xr:uid="{120BA233-38BE-6742-985B-CCA6BCC4968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$50/sf of electrically active area
</t>
        </r>
      </text>
    </comment>
    <comment ref="B157" authorId="0" shapeId="0" xr:uid="{DCB0A7C9-39C2-1B4C-A9BD-961A54FDB89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Equal to the IT Load
</t>
        </r>
        <r>
          <rPr>
            <sz val="10"/>
            <color rgb="FF000000"/>
            <rFont val="Tahoma"/>
            <family val="2"/>
          </rPr>
          <t>(conservation of energy)</t>
        </r>
      </text>
    </comment>
    <comment ref="B160" authorId="0" shapeId="0" xr:uid="{6CC0803F-3C2D-8F40-AD0C-B49A30B8A10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calculated by taking the BW at year-end-BW at start and dividing by 2 as an approximate average bandwidth over the year, then multiplying by the IP transit cost (Mbps/month)
</t>
        </r>
      </text>
    </comment>
    <comment ref="B161" authorId="0" shapeId="0" xr:uid="{04FD10A2-7827-FA48-BA0D-BDE5E4F4D01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% of the cost of prior year total capacity (servers and routers)
</t>
        </r>
      </text>
    </comment>
    <comment ref="B162" authorId="0" shapeId="0" xr:uid="{E5035EB7-366A-BD42-A5D9-4BAAA0272E7E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1% of Capital Costs/year
</t>
        </r>
      </text>
    </comment>
    <comment ref="A164" authorId="0" shapeId="0" xr:uid="{4693209C-1BBC-A444-B10A-050A54F8F2B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3% per annum COLA; Maintenance grows to 4 in year 3 due to increased capacity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W41" authorId="0" shapeId="0" xr:uid="{9938EDA0-83C6-9146-AE7D-CBAFFB52A8E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41" authorId="0" shapeId="0" xr:uid="{4147E16E-0755-7D43-8BC9-3F235E66DA3C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51" authorId="0" shapeId="0" xr:uid="{83D27C23-1636-5E4C-BADB-578E39B0393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51" authorId="0" shapeId="0" xr:uid="{AF09978E-D9C4-FF4C-A16A-1AAAC263D2AC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61" authorId="0" shapeId="0" xr:uid="{EE44648D-3743-2540-890C-4819ACD7344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61" authorId="0" shapeId="0" xr:uid="{DED422C1-4F97-844F-A487-E7BF13F9741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71" authorId="0" shapeId="0" xr:uid="{BDFC2F6D-BC98-7448-B549-64D4DC505BD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71" authorId="0" shapeId="0" xr:uid="{C24426D1-B2EF-E241-8C8E-18BCEDFA134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82" authorId="0" shapeId="0" xr:uid="{98840868-0E81-9646-9BA7-B7EE8095DAE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82" authorId="0" shapeId="0" xr:uid="{3435136A-11CD-C44D-A03E-1FAA1F488192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00" authorId="0" shapeId="0" xr:uid="{EA030920-22C8-2B41-8EBF-1707279B0D6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12" authorId="0" shapeId="0" xr:uid="{7B8C4E34-B515-AE40-8A20-0E9744B396E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# servers * # NICs per server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 servers has built-in-redundancy for BW</t>
        </r>
      </text>
    </comment>
    <comment ref="H118" authorId="0" shapeId="0" xr:uid="{63204A2F-2DC0-354B-802E-D2BCC09B3A9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</text>
    </comment>
    <comment ref="B136" authorId="0" shapeId="0" xr:uid="{A91ECBF3-4B79-7A48-A157-032F0C45E34A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assumes a total square footage based on a per-rack sf estimate
</t>
        </r>
        <r>
          <rPr>
            <sz val="10"/>
            <color rgb="FF000000"/>
            <rFont val="Tahoma"/>
            <family val="2"/>
          </rPr>
          <t xml:space="preserve">For a Tier III, the standard is 1:1 add'l space compared to electrically active space
</t>
        </r>
      </text>
    </comment>
    <comment ref="B138" authorId="0" shapeId="0" xr:uid="{1FDBC00A-5591-DD4F-9042-006F4FEE4C7C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Uptime Institute figure of 23801 per kW of IT Load
</t>
        </r>
      </text>
    </comment>
    <comment ref="B140" authorId="0" shapeId="0" xr:uid="{436CA777-C84D-0F4B-8DE5-7DBF27C1D4B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on the Construction and Land Costs @ 2% real discount rate (assumed)</t>
        </r>
      </text>
    </comment>
    <comment ref="B141" authorId="0" shapeId="0" xr:uid="{89672AB6-DE62-AA4B-A8BB-AD32C7E2557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Assumed at 5% of infrastructure and facility costs
</t>
        </r>
      </text>
    </comment>
    <comment ref="B142" authorId="0" shapeId="0" xr:uid="{5957E33F-8CF7-694D-9007-EAF44DF0811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a first year cost, since it is expensive to lay additional fiber later
</t>
        </r>
      </text>
    </comment>
    <comment ref="C143" authorId="0" shapeId="0" xr:uid="{4F50808F-2637-894D-BAF3-C43C8C291842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Based on max number of internet-to-router OC-48 ports (1 strand per port)
</t>
        </r>
      </text>
    </comment>
    <comment ref="B147" authorId="0" shapeId="0" xr:uid="{4FD7757E-B1BE-0345-9C40-02951BA4D22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just an approximation; too many variables to establish a basis estimate
</t>
        </r>
      </text>
    </comment>
    <comment ref="B149" authorId="0" shapeId="0" xr:uid="{6BDB59C8-D057-BF42-B5F8-8F948346B0F7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the equivalent of $65/sf of electrically active space
</t>
        </r>
      </text>
    </comment>
    <comment ref="B150" authorId="0" shapeId="0" xr:uid="{561A4B1B-C7E2-8F40-BD55-34B0861539CA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$50/sf of electrically active area
</t>
        </r>
      </text>
    </comment>
    <comment ref="B156" authorId="0" shapeId="0" xr:uid="{69E93788-2F92-0043-B160-9FB318B1564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Equal to the IT Load
</t>
        </r>
        <r>
          <rPr>
            <sz val="10"/>
            <color rgb="FF000000"/>
            <rFont val="Tahoma"/>
            <family val="2"/>
          </rPr>
          <t>(conservation of energy)</t>
        </r>
      </text>
    </comment>
    <comment ref="B159" authorId="0" shapeId="0" xr:uid="{76B4D6F9-5446-E547-9743-3C71EB4597E1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calculated by taking the BW at year-end-BW at start and dividing by 2 as an approximate average bandwidth over the year, then multiplying by the IP transit cost (Mbps/month)
</t>
        </r>
      </text>
    </comment>
    <comment ref="B160" authorId="0" shapeId="0" xr:uid="{E04BD76B-E4B6-954A-BF71-16AD605FEEE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% of the cost of prior year total capacity (servers and routers)
</t>
        </r>
      </text>
    </comment>
    <comment ref="B161" authorId="0" shapeId="0" xr:uid="{1AC4875A-24EE-354F-8367-73BEC6C7B626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1% of Capital Costs/year
</t>
        </r>
      </text>
    </comment>
    <comment ref="A163" authorId="0" shapeId="0" xr:uid="{9D8AADF1-700B-1B49-8495-451B02B1E44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3% per annum COLA; Maintenance grows to 4 in year 3 due to increased capacity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W49" authorId="0" shapeId="0" xr:uid="{C38DA5A7-9652-F740-95B2-6151EE72686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49" authorId="0" shapeId="0" xr:uid="{AC62CA9B-69C4-0B42-BC2E-9D5725F99F4B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59" authorId="0" shapeId="0" xr:uid="{F1FD2FD4-206D-9843-8748-E04ED065693E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59" authorId="0" shapeId="0" xr:uid="{61B7983B-D571-9343-8ED2-44F25891F85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69" authorId="0" shapeId="0" xr:uid="{F6516A55-AFE8-3042-B783-D4EFF9EDE39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69" authorId="0" shapeId="0" xr:uid="{9C63BFC7-2871-7749-A041-24DB19C8DACA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79" authorId="0" shapeId="0" xr:uid="{BFF285DF-C525-DC4B-835F-E006E2A8F3A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79" authorId="0" shapeId="0" xr:uid="{E1FAEB5A-A9D2-A848-B5A3-7C00523B865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90" authorId="0" shapeId="0" xr:uid="{472FA8CA-35B1-0543-910E-26B0A6CADD8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to the Storage Servers per assumption</t>
        </r>
      </text>
    </comment>
    <comment ref="AQ90" authorId="0" shapeId="0" xr:uid="{FA732433-9E10-F54E-95CD-84BAAE5BBB48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is not HW support costs in year 1 as most HW includes 1 yr support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09" authorId="0" shapeId="0" xr:uid="{34FE4C8C-8CC1-2D4B-A582-4FE9E19C162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21" authorId="0" shapeId="0" xr:uid="{A0E6A007-DF6A-FD4F-8821-0CDAAEFE009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# servers * # NICs per server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 servers has built-in-redundancy for BW</t>
        </r>
      </text>
    </comment>
    <comment ref="H127" authorId="0" shapeId="0" xr:uid="{8B06F4CE-AFF5-0C48-945C-BD2070E075C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total bw needed /usable bw per card port *2 (for redundancy)
</t>
        </r>
      </text>
    </comment>
    <comment ref="B145" authorId="0" shapeId="0" xr:uid="{B826B770-59D6-FD44-8F35-B9953F38F86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assumes a total square footage based on a per-rack sf estimate
</t>
        </r>
        <r>
          <rPr>
            <sz val="10"/>
            <color rgb="FF000000"/>
            <rFont val="Tahoma"/>
            <family val="2"/>
          </rPr>
          <t xml:space="preserve">For a Tier III, the standard is 1:1 add'l space compared to electrically active space
</t>
        </r>
      </text>
    </comment>
    <comment ref="B147" authorId="0" shapeId="0" xr:uid="{6E033DAD-8868-4843-9C88-9D79E967B822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Uptime Institute figure of 23801 per kW of IT Load
</t>
        </r>
      </text>
    </comment>
    <comment ref="B149" authorId="0" shapeId="0" xr:uid="{D539EC4B-14F4-9248-891D-29D71B52113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on the Construction and Land Costs @ 2% real discount rate (assumed)</t>
        </r>
      </text>
    </comment>
    <comment ref="B150" authorId="0" shapeId="0" xr:uid="{297D928C-53F3-0A44-B044-930B4CA9DD9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Assumed at 5% of infrastructure and facility costs
</t>
        </r>
      </text>
    </comment>
    <comment ref="B151" authorId="0" shapeId="0" xr:uid="{A7428550-FF61-0047-888A-61E37026B284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a first year cost, since it is expensive to lay additional fiber later
</t>
        </r>
      </text>
    </comment>
    <comment ref="C152" authorId="0" shapeId="0" xr:uid="{657F7393-8B1E-4146-A613-C186129342B1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Based on max number of internet-to-router OC-48 ports (1 strand per port)
</t>
        </r>
      </text>
    </comment>
    <comment ref="B156" authorId="0" shapeId="0" xr:uid="{FAC35EED-8D99-A546-8360-3D9CEFC0000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just an approximation; too many variables to establish a basis estimate
</t>
        </r>
      </text>
    </comment>
    <comment ref="B158" authorId="0" shapeId="0" xr:uid="{5CB18F66-F774-764A-9FC4-3C44B50D183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the equivalent of $65/sf of electrically active space
</t>
        </r>
      </text>
    </comment>
    <comment ref="B159" authorId="0" shapeId="0" xr:uid="{2EA12A8C-9D24-F842-86BD-9C625DB49E54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$50/sf of electrically active area
</t>
        </r>
      </text>
    </comment>
    <comment ref="B165" authorId="0" shapeId="0" xr:uid="{05A2A1F1-372A-164E-AC83-B6ABD8D099B9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Equal to the IT Load
</t>
        </r>
        <r>
          <rPr>
            <sz val="10"/>
            <color rgb="FF000000"/>
            <rFont val="Tahoma"/>
            <family val="2"/>
          </rPr>
          <t>(conservation of energy)</t>
        </r>
      </text>
    </comment>
    <comment ref="B168" authorId="0" shapeId="0" xr:uid="{A9FA5D32-0609-A745-BE1D-F49FE9C5D26E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calculated by taking the BW at year-end-BW at start and dividing by 2 as an approximate average bandwidth over the year, then multiplying by the IP transit cost (Mbps/month)
</t>
        </r>
      </text>
    </comment>
    <comment ref="B169" authorId="0" shapeId="0" xr:uid="{32CC7E80-DFC4-1241-9E34-5047C969CCED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% of the cost of prior year total capacity (servers and routers)
</t>
        </r>
      </text>
    </comment>
    <comment ref="B170" authorId="0" shapeId="0" xr:uid="{F803E2D1-C5F4-014A-A576-EAD77EFF597B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Estimated at 1% of Capital Costs/year
</t>
        </r>
      </text>
    </comment>
    <comment ref="A172" authorId="0" shapeId="0" xr:uid="{CDC12524-603B-284F-9B4C-4D9BB05DD3E7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3% per annum COLA; Maintenance grows to 4 in year 3 due to increased capacity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S6" authorId="0" shapeId="0" xr:uid="{B4294E4B-388A-D344-899F-EFBA7464F8A3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include HW Support (included in purchase cost)
</t>
        </r>
      </text>
    </comment>
    <comment ref="S13" authorId="0" shapeId="0" xr:uid="{B40B593F-926C-714D-96D4-B364809E1137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include HW Support (included in purchase cost)
</t>
        </r>
      </text>
    </comment>
    <comment ref="S20" authorId="0" shapeId="0" xr:uid="{7D56DAFE-3FEB-C94D-BF1C-FD25FD04DCD0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include HW Support (included in purchase cost)
</t>
        </r>
      </text>
    </comment>
    <comment ref="S32" authorId="0" shapeId="0" xr:uid="{C31DCA55-C786-744C-9994-029CEB01B35F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include HW Support (included in purchase cost)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Crash Davis</author>
  </authors>
  <commentList>
    <comment ref="F24" authorId="0" shapeId="0" xr:uid="{582B766E-D060-7F45-A288-1AE831D59AE5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Server BW based on 1:1 redundancy, so total bandwidth is halved then limited to 75% efficiency
</t>
        </r>
      </text>
    </comment>
    <comment ref="T24" authorId="0" shapeId="0" xr:uid="{3C11FE55-E6DA-E441-A9BE-BBC0C920A7D7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the rounded DOWN minimum between power-based and RU-based calculations at each level
</t>
        </r>
      </text>
    </comment>
    <comment ref="D33" authorId="0" shapeId="0" xr:uid="{D382873E-E8CF-1840-BCFB-CDD76252B5EE}">
      <text>
        <r>
          <rPr>
            <b/>
            <sz val="10"/>
            <color rgb="FF000000"/>
            <rFont val="Tahoma"/>
            <family val="2"/>
          </rPr>
          <t>Crash Davis: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Total slots are 32; however, 4 are reserved for inter-shelf connectivity for redundancy/availability
</t>
        </r>
      </text>
    </comment>
  </commentList>
</comments>
</file>

<file path=xl/sharedStrings.xml><?xml version="1.0" encoding="utf-8"?>
<sst xmlns="http://schemas.openxmlformats.org/spreadsheetml/2006/main" count="2826" uniqueCount="392">
  <si>
    <t>Memory</t>
  </si>
  <si>
    <t>Song Duration (s)</t>
  </si>
  <si>
    <t>Low Rate</t>
  </si>
  <si>
    <t>Kbps</t>
  </si>
  <si>
    <t>% of stream</t>
  </si>
  <si>
    <t>Streaming Music</t>
  </si>
  <si>
    <t>Song Rates</t>
  </si>
  <si>
    <t>Low</t>
  </si>
  <si>
    <t>High</t>
  </si>
  <si>
    <t>Bandwidth Calculations</t>
  </si>
  <si>
    <t>Song Size (Kb)</t>
  </si>
  <si>
    <t>Standard</t>
  </si>
  <si>
    <t>Downloading Music</t>
  </si>
  <si>
    <t>Downloads/Hr/Active User</t>
  </si>
  <si>
    <t>Requests/Hr/Active User</t>
  </si>
  <si>
    <t>Playback Authorization (Request-Respond)</t>
  </si>
  <si>
    <t>Total Number of Songs in Library</t>
  </si>
  <si>
    <t>Similar to Spotify and iTunes; remains consistent (new songs replace old songs)</t>
  </si>
  <si>
    <t xml:space="preserve">All servers are general purpose servers; no mixing </t>
  </si>
  <si>
    <t>Streaming Storage</t>
  </si>
  <si>
    <t>Low Bit-Rate</t>
  </si>
  <si>
    <t>Standard Bit-Rate</t>
  </si>
  <si>
    <t>Duration (s)</t>
  </si>
  <si>
    <t>High Bit-Rate</t>
  </si>
  <si>
    <t>Song Size (GB)</t>
  </si>
  <si>
    <t>Download Storage</t>
  </si>
  <si>
    <t>Bit Rate (Kbps)</t>
  </si>
  <si>
    <t>Storage Calculations</t>
  </si>
  <si>
    <t>Server Type (Large, X-Large) selected per capability/feature; all servers for a given capability/feature are homogenous</t>
  </si>
  <si>
    <t>CPU</t>
  </si>
  <si>
    <t>Disk</t>
  </si>
  <si>
    <t>Bandwidth</t>
  </si>
  <si>
    <t>Large</t>
  </si>
  <si>
    <t>#RUs</t>
  </si>
  <si>
    <t>General Purpose Server Specifications</t>
  </si>
  <si>
    <t>40% CPU</t>
  </si>
  <si>
    <t>60% CPU</t>
  </si>
  <si>
    <t>80% CPU</t>
  </si>
  <si>
    <t>100% CPU</t>
  </si>
  <si>
    <t>Power Consumption (kW)</t>
  </si>
  <si>
    <t>Cost ($)</t>
  </si>
  <si>
    <t>Xlarge</t>
  </si>
  <si>
    <t># Cores</t>
  </si>
  <si>
    <t>With no rate adaptation, all songs at all bit rates must be stored</t>
  </si>
  <si>
    <t>General Notes on Architecture</t>
  </si>
  <si>
    <t>Assume a user always streams the same bit-rate songs (i.e., the user distribution matches the bit-rate distribution of 20/60/20)</t>
  </si>
  <si>
    <t>Scale on an annual basis not on intermediate 6 month numbers</t>
  </si>
  <si>
    <t>Storage</t>
  </si>
  <si>
    <t>Storage (GB)</t>
  </si>
  <si>
    <t xml:space="preserve">Bandwidth (Gbps) </t>
  </si>
  <si>
    <t>Year 1</t>
  </si>
  <si>
    <t>Year 2</t>
  </si>
  <si>
    <t>Year 3</t>
  </si>
  <si>
    <t>Server Type</t>
  </si>
  <si>
    <t>Power Cost ($/kwh)</t>
  </si>
  <si>
    <t>Number of Servers (Based on Demand Type)</t>
  </si>
  <si>
    <t>Server Cost</t>
  </si>
  <si>
    <t># racks</t>
  </si>
  <si>
    <t>Rack Cost</t>
  </si>
  <si>
    <t>Servers/Rack</t>
  </si>
  <si>
    <t>HW Support Costs</t>
  </si>
  <si>
    <t>HW/IT Support (% of original cost)</t>
  </si>
  <si>
    <t>Download</t>
  </si>
  <si>
    <t>Permission Storage</t>
  </si>
  <si>
    <t>Data Constants</t>
  </si>
  <si>
    <t>Permission Request Service</t>
  </si>
  <si>
    <t>Scenario 1:  General Servers - Encryption Only (no Rate Adaptation)</t>
  </si>
  <si>
    <t># Songs in Library</t>
  </si>
  <si>
    <t>Active Users</t>
  </si>
  <si>
    <t>Streaming</t>
  </si>
  <si>
    <t>Server Limits</t>
  </si>
  <si>
    <t>Permission Percent of Requests</t>
  </si>
  <si>
    <t># Add'l Servers</t>
  </si>
  <si>
    <t>Add'l Server Cost</t>
  </si>
  <si>
    <t># Add'l Racks</t>
  </si>
  <si>
    <t>Add'l Rack Cost</t>
  </si>
  <si>
    <t>Total Cost Summary</t>
  </si>
  <si>
    <t>3-year 
Total</t>
  </si>
  <si>
    <t>Total Servers Needed</t>
  </si>
  <si>
    <t>Total Number of Servers Needed (Based on Demand Type)</t>
  </si>
  <si>
    <t>Total # Servers</t>
  </si>
  <si>
    <t>User Interaction</t>
  </si>
  <si>
    <t>Servers</t>
  </si>
  <si>
    <t>Assume active rate is consistent over entire day 24x7x365</t>
  </si>
  <si>
    <t>Totals</t>
  </si>
  <si>
    <t>Routers</t>
  </si>
  <si>
    <t>Router/Switch Specifications</t>
  </si>
  <si>
    <t>Shelf Cost</t>
  </si>
  <si>
    <t>Shelf RUs</t>
  </si>
  <si>
    <t>Line Cards</t>
  </si>
  <si>
    <t>Gig-E</t>
  </si>
  <si>
    <t>Cost</t>
  </si>
  <si>
    <t>OC-48</t>
  </si>
  <si>
    <t>OC-192</t>
  </si>
  <si>
    <t>Card Type</t>
  </si>
  <si>
    <t>Ports/Card</t>
  </si>
  <si>
    <t>Power (kW)</t>
  </si>
  <si>
    <t>Total Year Cost</t>
  </si>
  <si>
    <t>Total # Shelves</t>
  </si>
  <si>
    <t xml:space="preserve">Total </t>
  </si>
  <si>
    <t>Assumed to be a percentage of original purchase cost from year 2 on (1st year support included in purchase price)</t>
  </si>
  <si>
    <t>Data Center Costs</t>
  </si>
  <si>
    <t>Data Center Cost Constants</t>
  </si>
  <si>
    <t>Square Feet per rack</t>
  </si>
  <si>
    <t>Total # Servers Needed</t>
  </si>
  <si>
    <t>Gig-E Ports</t>
  </si>
  <si>
    <t>Sum of all Servers</t>
  </si>
  <si>
    <t xml:space="preserve">Total # Cards </t>
  </si>
  <si>
    <t>Equipment Costs</t>
  </si>
  <si>
    <t>Racks</t>
  </si>
  <si>
    <t>Labor</t>
  </si>
  <si>
    <t>Scenario 2:  Dedicated Storage Servers - Encryption Only (no Rate Adaptation)</t>
  </si>
  <si>
    <t>Scale on an annual basis not on intermediate 6 month numbers (provides in-rack scalability and redundancy); additional capacity arrives just-in-time</t>
  </si>
  <si>
    <t>Some songs may be cached in memory based on Pareto Principle</t>
  </si>
  <si>
    <t>Scenario 3:  General Servers - Encryption and Rate Adaptation</t>
  </si>
  <si>
    <t>Scenario 4:  Dedicated Storage Servers - Encryption and Rate Adaptation</t>
  </si>
  <si>
    <t>Usable RAM (GB)</t>
  </si>
  <si>
    <t>Usable Disk (GB)</t>
  </si>
  <si>
    <t>Usable BW (Gbps)</t>
  </si>
  <si>
    <t>Library Storage Needs (GB)</t>
  </si>
  <si>
    <t>Assumption: All songs in library available for streaming and download</t>
  </si>
  <si>
    <t>No significant storage;  requests and responses are assumed fire and forget; nothing stored (all in-memory processing)</t>
  </si>
  <si>
    <t>Units/Rack</t>
  </si>
  <si>
    <t xml:space="preserve">#RUs </t>
  </si>
  <si>
    <t>Rack Constants (these are maximums)</t>
  </si>
  <si>
    <t>Cost (est)</t>
  </si>
  <si>
    <t>% Total Reqs</t>
  </si>
  <si>
    <t>Low Bit Rate (kbps)</t>
  </si>
  <si>
    <t>Std Bit Rate (kbps)</t>
  </si>
  <si>
    <t>High Bit Rate (kbps)</t>
  </si>
  <si>
    <t>% Std 
Bit Rate</t>
  </si>
  <si>
    <t>% High 
Bit Rate</t>
  </si>
  <si>
    <t>% Low 
Bit Rate</t>
  </si>
  <si>
    <t>Requests
(/user/hr)</t>
  </si>
  <si>
    <t>Total Requests/User</t>
  </si>
  <si>
    <t>Per Hour</t>
  </si>
  <si>
    <t>Per Second</t>
  </si>
  <si>
    <t>Streaming Service Constants</t>
  </si>
  <si>
    <t>Download Service Constants</t>
  </si>
  <si>
    <t>Request Size (GB)</t>
  </si>
  <si>
    <t>Total Needed Bandwidth (Gbps)</t>
  </si>
  <si>
    <t>Peak-to-Average Ratio</t>
  </si>
  <si>
    <t>Peak Hrs/day</t>
  </si>
  <si>
    <t>Average peak percent of activity/day</t>
  </si>
  <si>
    <t>Average percent of activity/day</t>
  </si>
  <si>
    <t>Equivalent Peak Hours</t>
  </si>
  <si>
    <t>TPS</t>
  </si>
  <si>
    <t>Permission</t>
  </si>
  <si>
    <t>Total</t>
  </si>
  <si>
    <t>CPU (Active Workload) Calculations</t>
  </si>
  <si>
    <t>Transactions per Second (Workload)</t>
  </si>
  <si>
    <t>Max Active Users (Capacity)</t>
  </si>
  <si>
    <t>Required TPS</t>
  </si>
  <si>
    <t>Request Rates (per User/per Hour)</t>
  </si>
  <si>
    <t>NOTE: Based on playback curve in graph</t>
  </si>
  <si>
    <t>User Profile Calculations</t>
  </si>
  <si>
    <t>TPS by Bit Rate</t>
  </si>
  <si>
    <t>Gbps</t>
  </si>
  <si>
    <t>(1 TPS is equivalent to streaming 1 full song/sec)</t>
  </si>
  <si>
    <t>Download TPS</t>
  </si>
  <si>
    <t>Permission Request TPS</t>
  </si>
  <si>
    <t>Total Streaming TPS</t>
  </si>
  <si>
    <t>(1 TPS is equivalent to downloading 1 full song/sec)</t>
  </si>
  <si>
    <t>Workload (TPS)</t>
  </si>
  <si>
    <t>Needed Resources</t>
  </si>
  <si>
    <t>Usable Ports/Card</t>
  </si>
  <si>
    <t>Server Type (Large, X-Large) selected per service; all servers for a given service are homogenous</t>
  </si>
  <si>
    <t>Single Tier Network</t>
  </si>
  <si>
    <t>Use Gig-E to connect all servers to routers</t>
  </si>
  <si>
    <t>Use fiber (OC-48 or OC-192) to connect router-to-router and router-to-internet</t>
  </si>
  <si>
    <t>Card Cost</t>
  </si>
  <si>
    <t>For Power, assume 9W/Gbps</t>
  </si>
  <si>
    <t>Annual Power Consumption (kWh) (@80%)</t>
  </si>
  <si>
    <t>Annual Power Cost</t>
  </si>
  <si>
    <t>Usable Storage (GB)</t>
  </si>
  <si>
    <t>Cost/Server</t>
  </si>
  <si>
    <t># servers needed</t>
  </si>
  <si>
    <t># racks needed</t>
  </si>
  <si>
    <t>Total kWh/yr</t>
  </si>
  <si>
    <t>Annual HW Support Costs</t>
  </si>
  <si>
    <t>Total Purchase Costs</t>
  </si>
  <si>
    <t>Total Server Cost</t>
  </si>
  <si>
    <t>Total Rack Cost</t>
  </si>
  <si>
    <t>Lifetime Costs</t>
  </si>
  <si>
    <t>Annual (Recurring) Costs</t>
  </si>
  <si>
    <t>Initial (Non-Recurring) Costs</t>
  </si>
  <si>
    <t>GB</t>
  </si>
  <si>
    <t>Total Annual Costs</t>
  </si>
  <si>
    <t>Cost for Storage (@80% utilization)</t>
  </si>
  <si>
    <t>Cost Bandwidth (Gbps)</t>
  </si>
  <si>
    <t>General Server Cost Analysis</t>
  </si>
  <si>
    <t># TPS</t>
  </si>
  <si>
    <t>Cost per Transaction per Second (CPU)  (@80% utilization)</t>
  </si>
  <si>
    <t>2000 GB is break-even between servers; any storage needs greater than 2000 favor Xlarge servers</t>
  </si>
  <si>
    <t>2000 TPS is break-even between servers; any TPS needs greater than 2000 favor the Xlarge servers</t>
  </si>
  <si>
    <t>Router Cards needed</t>
  </si>
  <si>
    <t>NA</t>
  </si>
  <si>
    <t>Total Router Card Cost</t>
  </si>
  <si>
    <t>Servers are largely interchangeable cost-wise</t>
  </si>
  <si>
    <t>Total Aggregate Bandwidth</t>
  </si>
  <si>
    <t>Router Cost Analysis</t>
  </si>
  <si>
    <t>Cost/Card</t>
  </si>
  <si>
    <t>Cost per Gbps</t>
  </si>
  <si>
    <t>Usable BW/card</t>
  </si>
  <si>
    <t># cards needed</t>
  </si>
  <si>
    <t>Total Card Cost</t>
  </si>
  <si>
    <t>Any bandwidths greater than 7 Gbps favor OC-48; Gig-E should be used for bandwidths below this; OC-192s may be used to limit port use for inter-switch connections for redundancy</t>
  </si>
  <si>
    <t>Usable BW (Gbps) / port</t>
  </si>
  <si>
    <t>Assume perfect load-balancing between connectivity</t>
  </si>
  <si>
    <t># Ports Required</t>
  </si>
  <si>
    <t># Ports needed determined by the MAX of ports needed based on BW (*2) vs physical NICs on each server</t>
  </si>
  <si>
    <t>Other transactional messaging (e.g. IPC messages, etc. between servers) is considered negligible and not estimated</t>
  </si>
  <si>
    <t>Resource Needs</t>
  </si>
  <si>
    <t>Total Costs</t>
  </si>
  <si>
    <t>Total Pwr Consumed</t>
  </si>
  <si>
    <t>Total Racks</t>
  </si>
  <si>
    <t>Use XL servers</t>
  </si>
  <si>
    <t>Total Servers</t>
  </si>
  <si>
    <t>Use XL Servers</t>
  </si>
  <si>
    <t>Since the servers only have Gig-E NICs, all connections with servers are via Gig-E router cards</t>
  </si>
  <si>
    <t>These are inbound from servers</t>
  </si>
  <si>
    <t>Router-to-Internet</t>
  </si>
  <si>
    <t>Router-to-Server</t>
  </si>
  <si>
    <t>Router-to-Router (for redundancy and further failover)</t>
  </si>
  <si>
    <t>Assume 1:1 redundancy between shelves (set up as a ring), so a total of four card slots reserved for inter-shelf redundancy; means 4 cards per shelf total.   Use OC-192s to maximize the number of in-shelf card failures it can handle.</t>
  </si>
  <si>
    <t>Usable Shelf Slots</t>
  </si>
  <si>
    <t>Total Router Traffic</t>
  </si>
  <si>
    <t>Per Cost Analysis, OC48's are most cost-effective for non-server interconnects, so these are factored</t>
  </si>
  <si>
    <t>Assume following Shelf Configuration: 20 GigE, 8 OC48 and 4 OC192 cards</t>
  </si>
  <si>
    <t>Assume at any time only 50% of ports are active (fully 1:1 redundancy)</t>
  </si>
  <si>
    <t>Total # racks</t>
  </si>
  <si>
    <t>Total # Ports Required</t>
  </si>
  <si>
    <t>Resource Calculations</t>
  </si>
  <si>
    <t>Cost Calculations</t>
  </si>
  <si>
    <t>Power</t>
  </si>
  <si>
    <t>New Servers</t>
  </si>
  <si>
    <t>New Racks</t>
  </si>
  <si>
    <t>New Cards</t>
  </si>
  <si>
    <t>New Shelves</t>
  </si>
  <si>
    <t>Infrastructure</t>
  </si>
  <si>
    <t>Square Footage</t>
  </si>
  <si>
    <t>Power Consumption  (kwh/yr)</t>
  </si>
  <si>
    <t>IT Power Cost (yr)</t>
  </si>
  <si>
    <t>Power Consumption kWh (total per year)</t>
  </si>
  <si>
    <t>Assume a Tier III Data Center for availability/reliability</t>
  </si>
  <si>
    <t>Internet Transit Costs ($/Mbps/month)</t>
  </si>
  <si>
    <t>Number of Cables (144 strands/cable)</t>
  </si>
  <si>
    <t>Internet Fiber Run (distance, ft)</t>
  </si>
  <si>
    <t>Total Cable Length (# cables * fiber run * 110%)</t>
  </si>
  <si>
    <t>Cable Cost</t>
  </si>
  <si>
    <t>Internet Fiber Cable Cost (per foot)</t>
  </si>
  <si>
    <t>Number of Single-Mode Fiber Strands</t>
  </si>
  <si>
    <t>Installation Costs</t>
  </si>
  <si>
    <t>TOTAL Internet Last Mile</t>
  </si>
  <si>
    <t>Land Cost / acre (commercial, Dallas-area)</t>
  </si>
  <si>
    <t>IT site</t>
  </si>
  <si>
    <t>Facilities site</t>
  </si>
  <si>
    <t>Mgmt</t>
  </si>
  <si>
    <t>Maintenance</t>
  </si>
  <si>
    <t xml:space="preserve">Security </t>
  </si>
  <si>
    <t>Salary per person</t>
  </si>
  <si>
    <t>k$/year</t>
  </si>
  <si>
    <t>People per shift</t>
  </si>
  <si>
    <t>#</t>
  </si>
  <si>
    <t>Shifts per day</t>
  </si>
  <si>
    <t>benefits percentage</t>
  </si>
  <si>
    <t>%</t>
  </si>
  <si>
    <t>Total cost per year</t>
  </si>
  <si>
    <t>Janitorial and Landscaping Costs</t>
  </si>
  <si>
    <t>per square foot</t>
  </si>
  <si>
    <t>Acres of Land</t>
  </si>
  <si>
    <t>Fire Suppression ($/sf)</t>
  </si>
  <si>
    <t>Property Taxes</t>
  </si>
  <si>
    <t>Labor Costs</t>
  </si>
  <si>
    <t>IT site management staff</t>
  </si>
  <si>
    <t>Facilities site management staff</t>
  </si>
  <si>
    <t>Janitorial and landscaping</t>
  </si>
  <si>
    <t>Security</t>
  </si>
  <si>
    <t>Total Labor Costs</t>
  </si>
  <si>
    <t>Land Costs (assume 5 acres @ $100K/acre)</t>
  </si>
  <si>
    <t>kW-Related Infrastructure Costs</t>
  </si>
  <si>
    <t>Other Facility Costs</t>
  </si>
  <si>
    <t>Energy and Power Use/Costs</t>
  </si>
  <si>
    <t>Labor Estimates</t>
  </si>
  <si>
    <t>Total Consumption (kWh/yr)</t>
  </si>
  <si>
    <t>IT Load (kWh/yr)</t>
  </si>
  <si>
    <t>Cooling and Auxiliaries (kWh/yr)</t>
  </si>
  <si>
    <t>Capital Costs</t>
  </si>
  <si>
    <t>Facility Construction Costs</t>
  </si>
  <si>
    <t>Total Electricity Use (kW)</t>
  </si>
  <si>
    <t>Interest</t>
  </si>
  <si>
    <t>Architecture/Engineering Fees</t>
  </si>
  <si>
    <t>Internet Fiber Last Mile Cost</t>
  </si>
  <si>
    <t>Fire Suppression</t>
  </si>
  <si>
    <t>Most of this approach came from Uptime Institute True TCO Calculator</t>
  </si>
  <si>
    <t>Annual Energy Cost</t>
  </si>
  <si>
    <t>Annual Internet Transit Cost</t>
  </si>
  <si>
    <t>Total Capital Costs</t>
  </si>
  <si>
    <t>Total Annual Operating Expenses</t>
  </si>
  <si>
    <t>Annual Operating Expenses</t>
  </si>
  <si>
    <t>Internal Cabling Cost</t>
  </si>
  <si>
    <t>Total Data Center Costs</t>
  </si>
  <si>
    <t xml:space="preserve">This includes costs not directly tied to server/switch equipment.  </t>
  </si>
  <si>
    <t>Total Capacity (Cum)</t>
  </si>
  <si>
    <t xml:space="preserve">Annual HW Vendor Support Costs </t>
  </si>
  <si>
    <t>Total Infrastructure Capacity Summary</t>
  </si>
  <si>
    <t>Equipment Costs (Annual)</t>
  </si>
  <si>
    <t>Operating Costs</t>
  </si>
  <si>
    <t>Total Lifecycle Cost</t>
  </si>
  <si>
    <t>Total Operating Costs</t>
  </si>
  <si>
    <t>Total Equipment Costs</t>
  </si>
  <si>
    <t>Capital Costs (Land and Facility Construction)</t>
  </si>
  <si>
    <t>Web/App Servers</t>
  </si>
  <si>
    <t>Download Storage Servers</t>
  </si>
  <si>
    <t>Streaming Storage Servers</t>
  </si>
  <si>
    <t xml:space="preserve">Property Tax Rate </t>
  </si>
  <si>
    <t>NAS Servers are replaced for streaming and download servers</t>
  </si>
  <si>
    <t>NAS</t>
  </si>
  <si>
    <t>NAS Specifications (Dell EMC Isilon H400)</t>
  </si>
  <si>
    <t>10 GbE Ports</t>
  </si>
  <si>
    <t>Use NAS</t>
  </si>
  <si>
    <t>Xlarge Servers</t>
  </si>
  <si>
    <t>NAS Servers</t>
  </si>
  <si>
    <t>XLarge Servers</t>
  </si>
  <si>
    <t>These are inbound from NAS</t>
  </si>
  <si>
    <t>OC-192 (NAS)</t>
  </si>
  <si>
    <t>OC-192 (R2R)</t>
  </si>
  <si>
    <t>Assume following Shelf Configuration: 14 GigE, 12 OC48 and 6 OC192 cards</t>
  </si>
  <si>
    <t>Memory Calculations</t>
  </si>
  <si>
    <t>Assume that DRM-on-the-fly is performed in memory</t>
  </si>
  <si>
    <t>GB RAM</t>
  </si>
  <si>
    <t>Total Needed Memory (GB)</t>
  </si>
  <si>
    <t>Total Streaming TPS (Songs)</t>
  </si>
  <si>
    <t>High Rate Songs / sec</t>
  </si>
  <si>
    <t>Low Rate Songs / sec</t>
  </si>
  <si>
    <t>Standard Rate Songs / sec</t>
  </si>
  <si>
    <t>TPS (Songs) per Bit Rate Type</t>
  </si>
  <si>
    <t>Download TPS (# Songs)</t>
  </si>
  <si>
    <t>Memory in this scenario (used for encryption)was not evaluated since needed memory volumes are easily satisfied with the number of storage and/or bandwidth-based server quantities</t>
  </si>
  <si>
    <t>These handle all the incoming requests (transactions) and route the outbound responses; they handle all the permission requests directly (ie., no routing to storage server clusters); transactions performed in memory</t>
  </si>
  <si>
    <t>With rate adaptation, streaming bit rate songs don't need to be stored.  The downloadable file can be stored and rate adapted for all streaming requests.</t>
  </si>
  <si>
    <t>Assume Rate adaptation is possible on and encrypted file (since, per the project logical architecture, encryption is first</t>
  </si>
  <si>
    <t>Streaming and Download Servers</t>
  </si>
  <si>
    <t>Memory in this scenario (used for encryption) was not evaluated since needed memory volumes are easily satisfied with the number of storage and/or bandwidth-based server quantities</t>
  </si>
  <si>
    <t>Rate Adaptation performed in memory;  since high-rates don't require adaptation they pass through.  So, the CPU penalty on 20% of the transactions doesn't apply.   High-rate song bandwidth in; normal streaming bandwidth out; memory not an issue (BW drives)</t>
  </si>
  <si>
    <t>These handle all the incoming requests (transactions) and route the outbound responses (downloading files only in this scenario) ; they handle all the permission requests directly (ie., no routing to storage server clusters and in memory)</t>
  </si>
  <si>
    <t>The total of all inbound and outbound from/to internet</t>
  </si>
  <si>
    <t>Assume following Shelf Configuration: 22 GigE, 6 OC48 and 4 OC192 cards</t>
  </si>
  <si>
    <t>Scenario</t>
  </si>
  <si>
    <t>Measure</t>
  </si>
  <si>
    <t xml:space="preserve">Routers (Shelves </t>
  </si>
  <si>
    <t xml:space="preserve">COST Summary </t>
  </si>
  <si>
    <t>Operations Cost</t>
  </si>
  <si>
    <t>Facility</t>
  </si>
  <si>
    <t>Expenses</t>
  </si>
  <si>
    <t>NAS cannot perform the encryption; so, it is moved to the rate adaptation servers;  bandwidth based on sending high-rate songs</t>
  </si>
  <si>
    <t>Rate Adaptation / Encryption Servers</t>
  </si>
  <si>
    <t>Servers do not perform the high bit-rate song before sending to rate adaptation; both rate adaptation and encryption occur (in that order) on those servers; bandwidth based on sending high-rate songs</t>
  </si>
  <si>
    <t>Rate Adaptation and Ecryption performed in memory;  since high-rates don't require adaptation they are encrypted only.  Since the Rate Adapters are serving user requests (only transforming files), user capacity is assumed 2x.  High-rate song bandwidth in; normal streaming bandwidth out; memory not an issue (BW drives)</t>
  </si>
  <si>
    <t>Scenario 1</t>
  </si>
  <si>
    <t>Scenario 2</t>
  </si>
  <si>
    <t>Scenario 3</t>
  </si>
  <si>
    <t>Scenario 4</t>
  </si>
  <si>
    <t>Other Expenses</t>
  </si>
  <si>
    <t>1 
(G, E)</t>
  </si>
  <si>
    <t>Scenario Comparison - (3-Year)Total Cost</t>
  </si>
  <si>
    <t>Scenario Comparison - Total (3-Year) Total Equipment Needs</t>
  </si>
  <si>
    <t>Router Cards</t>
  </si>
  <si>
    <t>Router Shelves</t>
  </si>
  <si>
    <t>3
(G, E+R)</t>
  </si>
  <si>
    <t>2
(G+D, E)</t>
  </si>
  <si>
    <t>4
(G+D, E+R)</t>
  </si>
  <si>
    <t>Period</t>
  </si>
  <si>
    <t>-</t>
  </si>
  <si>
    <t>Active User Growth</t>
  </si>
  <si>
    <t xml:space="preserve">
Active User Growth Rate (%)</t>
  </si>
  <si>
    <t>User 
Growth Rate (%)</t>
  </si>
  <si>
    <t xml:space="preserve">User Growth </t>
  </si>
  <si>
    <t>Total Users</t>
  </si>
  <si>
    <t>Average Active Users</t>
  </si>
  <si>
    <t xml:space="preserve">% Total Active Users </t>
  </si>
  <si>
    <t>Downloads</t>
  </si>
  <si>
    <t>Permission Requests</t>
  </si>
  <si>
    <t>Servers and NAS</t>
  </si>
  <si>
    <t>Encryption and rate adaptation occurs on same server (at normal user capacity, since not processing transactions)</t>
  </si>
  <si>
    <t xml:space="preserve">With rate adaptation, the high-bit rate songs must be stored only;  others are adapted and stored in memory </t>
  </si>
  <si>
    <t xml:space="preserve">3-year </t>
  </si>
  <si>
    <t>Power Use Comparison</t>
  </si>
  <si>
    <t>scenario 1</t>
  </si>
  <si>
    <t>scenario 2</t>
  </si>
  <si>
    <t>scenario 3</t>
  </si>
  <si>
    <t>scenario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</si>
</sst>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&quot;$&quot;* #,##0_);_(&quot;$&quot;* \(#,##0\);_(&quot;$&quot;* &quot;-&quot;??_);_(@_)"/>
    <numFmt numFmtId="167" formatCode="_(&quot;$&quot;* #,##0.000_);_(&quot;$&quot;* \(#,##0.000\);_(&quot;$&quot;* &quot;-&quot;??_);_(@_)"/>
    <numFmt numFmtId="168" formatCode="0.0000000"/>
    <numFmt numFmtId="169" formatCode="0.000"/>
    <numFmt numFmtId="170" formatCode="_(* #,##0.0000_);_(* \(#,##0.0000\);_(* &quot;-&quot;??_);_(@_)"/>
    <numFmt numFmtId="171" formatCode="0.00000"/>
    <numFmt numFmtId="172" formatCode="_(* #,##0.0_);_(* \(#,##0.0\);_(* &quot;-&quot;??_);_(@_)"/>
    <numFmt numFmtId="173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 style="medium">
        <color rgb="FFC00000"/>
      </top>
      <bottom style="medium">
        <color rgb="FFC00000"/>
      </bottom>
      <diagonal/>
    </border>
    <border>
      <left style="thin">
        <color rgb="FF002060"/>
      </left>
      <right style="thin">
        <color rgb="FF002060"/>
      </right>
      <top style="medium">
        <color rgb="FFC00000"/>
      </top>
      <bottom style="medium">
        <color rgb="FFC00000"/>
      </bottom>
      <diagonal/>
    </border>
    <border>
      <left style="thin">
        <color rgb="FF002060"/>
      </left>
      <right style="medium">
        <color rgb="FF002060"/>
      </right>
      <top style="medium">
        <color rgb="FFC00000"/>
      </top>
      <bottom style="medium">
        <color rgb="FFC00000"/>
      </bottom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C0000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C0000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C00000"/>
      </top>
      <bottom style="medium">
        <color rgb="FF002060"/>
      </bottom>
      <diagonal/>
    </border>
    <border>
      <left style="medium">
        <color indexed="64"/>
      </left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5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2" fillId="0" borderId="0" xfId="0" applyFont="1" applyAlignment="1">
      <alignment horizontal="center" wrapText="1"/>
    </xf>
    <xf numFmtId="17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164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164" fontId="0" fillId="0" borderId="0" xfId="1" applyNumberFormat="1" applyFont="1" applyBorder="1"/>
    <xf numFmtId="0" fontId="3" fillId="0" borderId="0" xfId="0" applyFont="1"/>
    <xf numFmtId="0" fontId="0" fillId="0" borderId="0" xfId="0" applyAlignment="1">
      <alignment horizontal="left" indent="1"/>
    </xf>
    <xf numFmtId="0" fontId="0" fillId="0" borderId="0" xfId="0" applyBorder="1"/>
    <xf numFmtId="17" fontId="0" fillId="0" borderId="0" xfId="0" applyNumberFormat="1" applyBorder="1" applyAlignment="1">
      <alignment horizontal="center"/>
    </xf>
    <xf numFmtId="0" fontId="0" fillId="0" borderId="0" xfId="0" applyFont="1"/>
    <xf numFmtId="43" fontId="0" fillId="0" borderId="0" xfId="0" applyNumberFormat="1" applyBorder="1"/>
    <xf numFmtId="43" fontId="2" fillId="0" borderId="0" xfId="0" applyNumberFormat="1" applyFont="1" applyBorder="1"/>
    <xf numFmtId="43" fontId="2" fillId="0" borderId="3" xfId="0" applyNumberFormat="1" applyFont="1" applyBorder="1"/>
    <xf numFmtId="0" fontId="2" fillId="0" borderId="1" xfId="0" applyFont="1" applyBorder="1" applyAlignment="1">
      <alignment horizontal="center" wrapText="1"/>
    </xf>
    <xf numFmtId="9" fontId="0" fillId="0" borderId="0" xfId="0" applyNumberFormat="1"/>
    <xf numFmtId="164" fontId="2" fillId="0" borderId="3" xfId="1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/>
    <xf numFmtId="44" fontId="0" fillId="0" borderId="0" xfId="3" applyFont="1"/>
    <xf numFmtId="0" fontId="2" fillId="0" borderId="0" xfId="0" applyFont="1" applyAlignment="1">
      <alignment horizontal="left" indent="1"/>
    </xf>
    <xf numFmtId="43" fontId="0" fillId="0" borderId="0" xfId="1" applyFont="1"/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0" fontId="2" fillId="0" borderId="0" xfId="0" quotePrefix="1" applyFont="1" applyAlignment="1">
      <alignment horizontal="center"/>
    </xf>
    <xf numFmtId="6" fontId="0" fillId="0" borderId="0" xfId="0" applyNumberFormat="1"/>
    <xf numFmtId="0" fontId="0" fillId="0" borderId="11" xfId="0" applyBorder="1"/>
    <xf numFmtId="166" fontId="0" fillId="0" borderId="0" xfId="3" applyNumberFormat="1" applyFont="1" applyBorder="1"/>
    <xf numFmtId="166" fontId="0" fillId="0" borderId="12" xfId="0" applyNumberFormat="1" applyBorder="1"/>
    <xf numFmtId="0" fontId="0" fillId="0" borderId="12" xfId="0" applyBorder="1"/>
    <xf numFmtId="0" fontId="0" fillId="0" borderId="13" xfId="0" applyBorder="1"/>
    <xf numFmtId="166" fontId="0" fillId="0" borderId="14" xfId="3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3" fontId="0" fillId="0" borderId="14" xfId="1" applyFont="1" applyBorder="1"/>
    <xf numFmtId="43" fontId="0" fillId="0" borderId="15" xfId="1" applyFont="1" applyBorder="1"/>
    <xf numFmtId="0" fontId="0" fillId="0" borderId="8" xfId="0" applyBorder="1" applyAlignment="1">
      <alignment horizontal="left" indent="1"/>
    </xf>
    <xf numFmtId="0" fontId="0" fillId="2" borderId="0" xfId="0" applyFill="1"/>
    <xf numFmtId="0" fontId="0" fillId="0" borderId="0" xfId="0" applyAlignment="1">
      <alignment horizontal="left" indent="2"/>
    </xf>
    <xf numFmtId="164" fontId="0" fillId="2" borderId="0" xfId="1" applyNumberFormat="1" applyFont="1" applyFill="1"/>
    <xf numFmtId="9" fontId="0" fillId="2" borderId="0" xfId="2" applyFont="1" applyFill="1"/>
    <xf numFmtId="0" fontId="6" fillId="0" borderId="0" xfId="0" applyFont="1"/>
    <xf numFmtId="0" fontId="7" fillId="0" borderId="0" xfId="0" applyFont="1"/>
    <xf numFmtId="1" fontId="0" fillId="2" borderId="0" xfId="0" applyNumberFormat="1" applyFill="1"/>
    <xf numFmtId="164" fontId="2" fillId="2" borderId="0" xfId="1" applyNumberFormat="1" applyFont="1" applyFill="1"/>
    <xf numFmtId="164" fontId="1" fillId="0" borderId="0" xfId="1" applyNumberFormat="1" applyFont="1" applyBorder="1"/>
    <xf numFmtId="17" fontId="0" fillId="3" borderId="5" xfId="0" applyNumberFormat="1" applyFill="1" applyBorder="1" applyAlignment="1">
      <alignment horizontal="center"/>
    </xf>
    <xf numFmtId="43" fontId="0" fillId="3" borderId="6" xfId="0" applyNumberFormat="1" applyFill="1" applyBorder="1"/>
    <xf numFmtId="43" fontId="2" fillId="3" borderId="7" xfId="0" applyNumberFormat="1" applyFont="1" applyFill="1" applyBorder="1"/>
    <xf numFmtId="0" fontId="0" fillId="0" borderId="0" xfId="0" applyFill="1"/>
    <xf numFmtId="0" fontId="0" fillId="0" borderId="0" xfId="0" applyBorder="1" applyAlignment="1">
      <alignment horizontal="center" wrapText="1"/>
    </xf>
    <xf numFmtId="0" fontId="2" fillId="0" borderId="0" xfId="0" applyFont="1" applyAlignment="1">
      <alignment horizontal="center"/>
    </xf>
    <xf numFmtId="167" fontId="0" fillId="0" borderId="0" xfId="3" applyNumberFormat="1" applyFont="1"/>
    <xf numFmtId="10" fontId="0" fillId="0" borderId="0" xfId="2" applyNumberFormat="1" applyFont="1"/>
    <xf numFmtId="0" fontId="0" fillId="0" borderId="0" xfId="0" applyFont="1" applyAlignment="1">
      <alignment horizontal="left" indent="2"/>
    </xf>
    <xf numFmtId="17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166" fontId="0" fillId="0" borderId="20" xfId="0" applyNumberFormat="1" applyBorder="1"/>
    <xf numFmtId="164" fontId="0" fillId="0" borderId="21" xfId="0" applyNumberFormat="1" applyBorder="1"/>
    <xf numFmtId="0" fontId="0" fillId="0" borderId="0" xfId="0" applyAlignment="1">
      <alignment wrapText="1"/>
    </xf>
    <xf numFmtId="0" fontId="0" fillId="0" borderId="19" xfId="0" applyBorder="1"/>
    <xf numFmtId="166" fontId="0" fillId="0" borderId="25" xfId="0" applyNumberFormat="1" applyBorder="1"/>
    <xf numFmtId="0" fontId="0" fillId="0" borderId="20" xfId="0" applyBorder="1"/>
    <xf numFmtId="164" fontId="0" fillId="0" borderId="21" xfId="1" applyNumberFormat="1" applyFont="1" applyBorder="1"/>
    <xf numFmtId="166" fontId="0" fillId="0" borderId="21" xfId="3" applyNumberFormat="1" applyFont="1" applyBorder="1"/>
    <xf numFmtId="164" fontId="0" fillId="0" borderId="25" xfId="0" applyNumberFormat="1" applyBorder="1"/>
    <xf numFmtId="164" fontId="0" fillId="0" borderId="26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8" fillId="0" borderId="0" xfId="0" applyFont="1"/>
    <xf numFmtId="0" fontId="9" fillId="0" borderId="0" xfId="0" applyFont="1"/>
    <xf numFmtId="168" fontId="0" fillId="0" borderId="0" xfId="0" applyNumberFormat="1"/>
    <xf numFmtId="0" fontId="0" fillId="0" borderId="27" xfId="0" applyBorder="1"/>
    <xf numFmtId="0" fontId="0" fillId="4" borderId="0" xfId="0" applyFill="1"/>
    <xf numFmtId="166" fontId="0" fillId="0" borderId="0" xfId="3" applyNumberFormat="1" applyFont="1"/>
    <xf numFmtId="169" fontId="0" fillId="0" borderId="0" xfId="0" applyNumberFormat="1"/>
    <xf numFmtId="0" fontId="10" fillId="0" borderId="0" xfId="0" applyFont="1"/>
    <xf numFmtId="43" fontId="0" fillId="0" borderId="21" xfId="0" applyNumberFormat="1" applyBorder="1"/>
    <xf numFmtId="44" fontId="0" fillId="0" borderId="21" xfId="3" applyFont="1" applyBorder="1"/>
    <xf numFmtId="0" fontId="0" fillId="0" borderId="2" xfId="0" applyBorder="1"/>
    <xf numFmtId="0" fontId="0" fillId="0" borderId="4" xfId="0" applyBorder="1"/>
    <xf numFmtId="0" fontId="2" fillId="0" borderId="28" xfId="0" applyFont="1" applyBorder="1" applyAlignment="1"/>
    <xf numFmtId="0" fontId="2" fillId="0" borderId="29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22" xfId="0" applyFont="1" applyBorder="1" applyAlignment="1"/>
    <xf numFmtId="0" fontId="2" fillId="0" borderId="23" xfId="0" applyFont="1" applyBorder="1" applyAlignment="1"/>
    <xf numFmtId="0" fontId="2" fillId="0" borderId="24" xfId="0" applyFont="1" applyBorder="1" applyAlignment="1"/>
    <xf numFmtId="164" fontId="0" fillId="5" borderId="0" xfId="1" applyNumberFormat="1" applyFont="1" applyFill="1" applyBorder="1"/>
    <xf numFmtId="164" fontId="0" fillId="5" borderId="0" xfId="0" applyNumberFormat="1" applyFill="1" applyBorder="1"/>
    <xf numFmtId="164" fontId="0" fillId="5" borderId="21" xfId="1" applyNumberFormat="1" applyFont="1" applyFill="1" applyBorder="1"/>
    <xf numFmtId="164" fontId="0" fillId="5" borderId="21" xfId="0" applyNumberFormat="1" applyFill="1" applyBorder="1"/>
    <xf numFmtId="0" fontId="2" fillId="0" borderId="0" xfId="0" applyFont="1" applyBorder="1" applyAlignment="1"/>
    <xf numFmtId="0" fontId="2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20" xfId="0" applyNumberFormat="1" applyBorder="1"/>
    <xf numFmtId="0" fontId="0" fillId="4" borderId="0" xfId="0" applyFill="1" applyBorder="1"/>
    <xf numFmtId="0" fontId="0" fillId="0" borderId="11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6" borderId="0" xfId="0" quotePrefix="1" applyFont="1" applyFill="1" applyAlignment="1">
      <alignment horizontal="center"/>
    </xf>
    <xf numFmtId="164" fontId="0" fillId="6" borderId="0" xfId="1" applyNumberFormat="1" applyFont="1" applyFill="1"/>
    <xf numFmtId="2" fontId="0" fillId="0" borderId="0" xfId="0" applyNumberFormat="1"/>
    <xf numFmtId="165" fontId="0" fillId="6" borderId="0" xfId="1" applyNumberFormat="1" applyFont="1" applyFill="1"/>
    <xf numFmtId="1" fontId="0" fillId="6" borderId="0" xfId="0" applyNumberFormat="1" applyFill="1"/>
    <xf numFmtId="164" fontId="0" fillId="0" borderId="0" xfId="1" applyNumberFormat="1" applyFont="1" applyAlignment="1">
      <alignment wrapText="1"/>
    </xf>
    <xf numFmtId="166" fontId="0" fillId="0" borderId="0" xfId="3" applyNumberFormat="1" applyFont="1" applyAlignment="1">
      <alignment wrapText="1"/>
    </xf>
    <xf numFmtId="0" fontId="2" fillId="0" borderId="0" xfId="0" applyFont="1" applyAlignment="1">
      <alignment horizontal="left" vertical="top" indent="1"/>
    </xf>
    <xf numFmtId="170" fontId="0" fillId="2" borderId="0" xfId="1" applyNumberFormat="1" applyFont="1" applyFill="1"/>
    <xf numFmtId="170" fontId="0" fillId="2" borderId="0" xfId="1" applyNumberFormat="1" applyFont="1" applyFill="1" applyAlignment="1">
      <alignment horizontal="right"/>
    </xf>
    <xf numFmtId="17" fontId="0" fillId="0" borderId="0" xfId="0" applyNumberFormat="1" applyFill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64" fontId="0" fillId="0" borderId="0" xfId="1" applyNumberFormat="1" applyFont="1" applyFill="1" applyBorder="1"/>
    <xf numFmtId="164" fontId="0" fillId="0" borderId="0" xfId="0" applyNumberFormat="1" applyFill="1" applyBorder="1"/>
    <xf numFmtId="43" fontId="0" fillId="0" borderId="0" xfId="0" applyNumberFormat="1" applyFill="1" applyBorder="1"/>
    <xf numFmtId="43" fontId="2" fillId="0" borderId="0" xfId="0" applyNumberFormat="1" applyFont="1" applyFill="1" applyBorder="1"/>
    <xf numFmtId="43" fontId="2" fillId="0" borderId="0" xfId="0" applyNumberFormat="1" applyFont="1"/>
    <xf numFmtId="164" fontId="2" fillId="0" borderId="0" xfId="1" applyNumberFormat="1" applyFont="1" applyAlignment="1">
      <alignment horizontal="center"/>
    </xf>
    <xf numFmtId="43" fontId="0" fillId="3" borderId="6" xfId="1" applyFont="1" applyFill="1" applyBorder="1"/>
    <xf numFmtId="0" fontId="13" fillId="0" borderId="0" xfId="0" applyFont="1"/>
    <xf numFmtId="43" fontId="0" fillId="0" borderId="0" xfId="1" applyNumberFormat="1" applyFont="1" applyBorder="1"/>
    <xf numFmtId="43" fontId="0" fillId="0" borderId="0" xfId="1" applyFont="1" applyBorder="1"/>
    <xf numFmtId="164" fontId="0" fillId="0" borderId="0" xfId="1" applyNumberFormat="1" applyFont="1" applyFill="1"/>
    <xf numFmtId="43" fontId="0" fillId="0" borderId="12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1" fontId="0" fillId="0" borderId="0" xfId="0" applyNumberFormat="1"/>
    <xf numFmtId="0" fontId="2" fillId="0" borderId="0" xfId="0" applyFont="1" applyAlignment="1">
      <alignment horizontal="center"/>
    </xf>
    <xf numFmtId="173" fontId="0" fillId="0" borderId="0" xfId="0" applyNumberFormat="1"/>
    <xf numFmtId="0" fontId="0" fillId="0" borderId="0" xfId="0" quotePrefix="1"/>
    <xf numFmtId="0" fontId="2" fillId="0" borderId="0" xfId="0" applyFont="1" applyAlignment="1"/>
    <xf numFmtId="172" fontId="0" fillId="0" borderId="19" xfId="1" applyNumberFormat="1" applyFont="1" applyBorder="1"/>
    <xf numFmtId="44" fontId="0" fillId="0" borderId="25" xfId="3" applyFont="1" applyBorder="1"/>
    <xf numFmtId="172" fontId="0" fillId="0" borderId="20" xfId="1" applyNumberFormat="1" applyFont="1" applyBorder="1"/>
    <xf numFmtId="44" fontId="0" fillId="0" borderId="26" xfId="3" applyFont="1" applyBorder="1"/>
    <xf numFmtId="44" fontId="0" fillId="0" borderId="3" xfId="3" applyFont="1" applyBorder="1"/>
    <xf numFmtId="44" fontId="0" fillId="0" borderId="4" xfId="3" applyFont="1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72" fontId="0" fillId="0" borderId="3" xfId="1" applyNumberFormat="1" applyFont="1" applyBorder="1"/>
    <xf numFmtId="172" fontId="0" fillId="0" borderId="4" xfId="1" applyNumberFormat="1" applyFont="1" applyBorder="1"/>
    <xf numFmtId="44" fontId="0" fillId="0" borderId="0" xfId="0" applyNumberFormat="1"/>
    <xf numFmtId="44" fontId="0" fillId="0" borderId="25" xfId="0" applyNumberFormat="1" applyBorder="1"/>
    <xf numFmtId="44" fontId="0" fillId="0" borderId="26" xfId="0" applyNumberFormat="1" applyBorder="1"/>
    <xf numFmtId="0" fontId="2" fillId="0" borderId="1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4" fontId="0" fillId="0" borderId="19" xfId="3" applyFont="1" applyBorder="1"/>
    <xf numFmtId="44" fontId="0" fillId="0" borderId="0" xfId="3" applyFont="1" applyBorder="1"/>
    <xf numFmtId="44" fontId="0" fillId="0" borderId="20" xfId="3" applyFont="1" applyBorder="1"/>
    <xf numFmtId="44" fontId="0" fillId="0" borderId="0" xfId="0" applyNumberFormat="1" applyBorder="1"/>
    <xf numFmtId="44" fontId="0" fillId="0" borderId="21" xfId="0" applyNumberFormat="1" applyBorder="1"/>
    <xf numFmtId="0" fontId="0" fillId="0" borderId="23" xfId="0" applyBorder="1" applyAlignment="1">
      <alignment horizontal="center" wrapText="1"/>
    </xf>
    <xf numFmtId="164" fontId="2" fillId="0" borderId="22" xfId="1" applyNumberFormat="1" applyFont="1" applyBorder="1" applyAlignment="1"/>
    <xf numFmtId="164" fontId="2" fillId="0" borderId="24" xfId="1" applyNumberFormat="1" applyFont="1" applyBorder="1" applyAlignment="1"/>
    <xf numFmtId="43" fontId="0" fillId="0" borderId="19" xfId="1" applyNumberFormat="1" applyFont="1" applyBorder="1"/>
    <xf numFmtId="43" fontId="0" fillId="0" borderId="20" xfId="1" applyNumberFormat="1" applyFont="1" applyBorder="1"/>
    <xf numFmtId="164" fontId="2" fillId="0" borderId="23" xfId="1" applyNumberFormat="1" applyFont="1" applyBorder="1" applyAlignment="1"/>
    <xf numFmtId="0" fontId="2" fillId="0" borderId="23" xfId="0" applyFont="1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1" xfId="0" applyBorder="1" applyAlignment="1">
      <alignment horizontal="center" wrapText="1"/>
    </xf>
    <xf numFmtId="44" fontId="0" fillId="0" borderId="3" xfId="0" applyNumberFormat="1" applyBorder="1"/>
    <xf numFmtId="44" fontId="0" fillId="0" borderId="4" xfId="0" applyNumberFormat="1" applyBorder="1"/>
    <xf numFmtId="43" fontId="0" fillId="0" borderId="3" xfId="1" applyFont="1" applyBorder="1"/>
    <xf numFmtId="43" fontId="0" fillId="0" borderId="4" xfId="0" applyNumberFormat="1" applyBorder="1"/>
    <xf numFmtId="0" fontId="2" fillId="0" borderId="1" xfId="0" applyFont="1" applyBorder="1" applyAlignment="1">
      <alignment wrapText="1"/>
    </xf>
    <xf numFmtId="43" fontId="0" fillId="0" borderId="3" xfId="1" applyFont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164" fontId="2" fillId="0" borderId="23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7" borderId="23" xfId="0" applyFont="1" applyFill="1" applyBorder="1" applyAlignment="1">
      <alignment horizontal="center" wrapText="1"/>
    </xf>
    <xf numFmtId="44" fontId="0" fillId="7" borderId="0" xfId="3" applyFont="1" applyFill="1" applyBorder="1"/>
    <xf numFmtId="0" fontId="2" fillId="0" borderId="20" xfId="0" applyFont="1" applyBorder="1" applyAlignment="1"/>
    <xf numFmtId="0" fontId="2" fillId="0" borderId="21" xfId="0" applyFont="1" applyBorder="1" applyAlignment="1"/>
    <xf numFmtId="0" fontId="2" fillId="0" borderId="26" xfId="0" applyFont="1" applyBorder="1" applyAlignment="1"/>
    <xf numFmtId="44" fontId="0" fillId="0" borderId="3" xfId="3" applyNumberFormat="1" applyFont="1" applyBorder="1"/>
    <xf numFmtId="44" fontId="0" fillId="0" borderId="4" xfId="3" applyNumberFormat="1" applyFont="1" applyBorder="1"/>
    <xf numFmtId="43" fontId="0" fillId="0" borderId="4" xfId="1" applyFont="1" applyBorder="1"/>
    <xf numFmtId="0" fontId="0" fillId="0" borderId="21" xfId="0" applyBorder="1"/>
    <xf numFmtId="0" fontId="0" fillId="0" borderId="26" xfId="0" applyBorder="1"/>
    <xf numFmtId="43" fontId="0" fillId="0" borderId="3" xfId="0" applyNumberFormat="1" applyBorder="1"/>
    <xf numFmtId="0" fontId="0" fillId="7" borderId="21" xfId="0" applyFill="1" applyBorder="1"/>
    <xf numFmtId="44" fontId="0" fillId="0" borderId="2" xfId="3" applyNumberFormat="1" applyFont="1" applyBorder="1"/>
    <xf numFmtId="43" fontId="0" fillId="0" borderId="2" xfId="1" applyFont="1" applyBorder="1"/>
    <xf numFmtId="164" fontId="0" fillId="0" borderId="2" xfId="0" applyNumberFormat="1" applyBorder="1"/>
    <xf numFmtId="43" fontId="0" fillId="0" borderId="2" xfId="0" applyNumberFormat="1" applyBorder="1"/>
    <xf numFmtId="0" fontId="0" fillId="7" borderId="17" xfId="0" applyFill="1" applyBorder="1"/>
    <xf numFmtId="172" fontId="0" fillId="0" borderId="16" xfId="1" applyNumberFormat="1" applyFont="1" applyBorder="1"/>
    <xf numFmtId="44" fontId="0" fillId="0" borderId="16" xfId="3" applyFont="1" applyBorder="1"/>
    <xf numFmtId="44" fontId="0" fillId="0" borderId="17" xfId="3" applyFont="1" applyBorder="1"/>
    <xf numFmtId="44" fontId="0" fillId="7" borderId="17" xfId="3" applyFont="1" applyFill="1" applyBorder="1"/>
    <xf numFmtId="44" fontId="0" fillId="0" borderId="18" xfId="3" applyFont="1" applyBorder="1"/>
    <xf numFmtId="44" fontId="0" fillId="0" borderId="17" xfId="0" applyNumberFormat="1" applyBorder="1"/>
    <xf numFmtId="44" fontId="0" fillId="0" borderId="18" xfId="0" applyNumberFormat="1" applyBorder="1"/>
    <xf numFmtId="0" fontId="0" fillId="7" borderId="0" xfId="0" applyFill="1" applyBorder="1"/>
    <xf numFmtId="44" fontId="0" fillId="7" borderId="21" xfId="3" applyFont="1" applyFill="1" applyBorder="1"/>
    <xf numFmtId="0" fontId="2" fillId="0" borderId="23" xfId="0" applyFont="1" applyBorder="1"/>
    <xf numFmtId="0" fontId="2" fillId="0" borderId="24" xfId="0" applyFont="1" applyBorder="1"/>
    <xf numFmtId="0" fontId="2" fillId="7" borderId="21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3" fontId="2" fillId="0" borderId="23" xfId="1" applyNumberFormat="1" applyFont="1" applyBorder="1"/>
    <xf numFmtId="43" fontId="2" fillId="0" borderId="24" xfId="1" applyNumberFormat="1" applyFont="1" applyBorder="1"/>
    <xf numFmtId="0" fontId="0" fillId="0" borderId="3" xfId="0" applyBorder="1"/>
    <xf numFmtId="0" fontId="0" fillId="0" borderId="1" xfId="0" applyFill="1" applyBorder="1" applyAlignment="1">
      <alignment horizontal="center" wrapText="1"/>
    </xf>
    <xf numFmtId="44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164" fontId="2" fillId="0" borderId="23" xfId="1" applyNumberFormat="1" applyFont="1" applyBorder="1"/>
    <xf numFmtId="164" fontId="2" fillId="0" borderId="24" xfId="1" applyNumberFormat="1" applyFont="1" applyBorder="1"/>
    <xf numFmtId="0" fontId="0" fillId="0" borderId="17" xfId="0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2" fillId="0" borderId="1" xfId="0" applyFont="1" applyBorder="1"/>
    <xf numFmtId="166" fontId="0" fillId="0" borderId="4" xfId="0" applyNumberFormat="1" applyBorder="1"/>
    <xf numFmtId="166" fontId="0" fillId="0" borderId="3" xfId="3" applyNumberFormat="1" applyFont="1" applyBorder="1"/>
    <xf numFmtId="166" fontId="0" fillId="0" borderId="4" xfId="3" applyNumberFormat="1" applyFont="1" applyBorder="1"/>
    <xf numFmtId="0" fontId="0" fillId="0" borderId="17" xfId="0" applyFill="1" applyBorder="1" applyAlignment="1"/>
    <xf numFmtId="0" fontId="0" fillId="0" borderId="16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24" xfId="0" applyFill="1" applyBorder="1" applyAlignment="1"/>
    <xf numFmtId="164" fontId="0" fillId="0" borderId="23" xfId="0" applyNumberFormat="1" applyBorder="1"/>
    <xf numFmtId="164" fontId="0" fillId="0" borderId="24" xfId="0" applyNumberFormat="1" applyBorder="1"/>
    <xf numFmtId="164" fontId="0" fillId="0" borderId="1" xfId="0" applyNumberFormat="1" applyBorder="1"/>
    <xf numFmtId="0" fontId="0" fillId="0" borderId="1" xfId="0" applyBorder="1"/>
    <xf numFmtId="164" fontId="0" fillId="0" borderId="19" xfId="0" applyNumberFormat="1" applyBorder="1"/>
    <xf numFmtId="0" fontId="0" fillId="0" borderId="20" xfId="0" applyBorder="1" applyAlignment="1">
      <alignment horizontal="center"/>
    </xf>
    <xf numFmtId="164" fontId="0" fillId="0" borderId="22" xfId="0" applyNumberFormat="1" applyBorder="1"/>
    <xf numFmtId="0" fontId="0" fillId="0" borderId="0" xfId="0" applyFill="1" applyBorder="1"/>
    <xf numFmtId="164" fontId="0" fillId="7" borderId="0" xfId="0" applyNumberFormat="1" applyFill="1" applyBorder="1"/>
    <xf numFmtId="166" fontId="0" fillId="0" borderId="23" xfId="0" applyNumberFormat="1" applyBorder="1"/>
    <xf numFmtId="164" fontId="0" fillId="0" borderId="19" xfId="0" applyNumberFormat="1" applyFill="1" applyBorder="1"/>
    <xf numFmtId="164" fontId="0" fillId="0" borderId="25" xfId="0" applyNumberFormat="1" applyFill="1" applyBorder="1"/>
    <xf numFmtId="0" fontId="2" fillId="0" borderId="17" xfId="0" applyFont="1" applyBorder="1" applyAlignment="1"/>
    <xf numFmtId="9" fontId="0" fillId="0" borderId="21" xfId="0" applyNumberFormat="1" applyBorder="1"/>
    <xf numFmtId="0" fontId="2" fillId="0" borderId="18" xfId="0" applyFont="1" applyBorder="1" applyAlignment="1"/>
    <xf numFmtId="0" fontId="2" fillId="0" borderId="2" xfId="0" applyFont="1" applyBorder="1" applyAlignment="1"/>
    <xf numFmtId="9" fontId="0" fillId="0" borderId="20" xfId="0" applyNumberFormat="1" applyBorder="1"/>
    <xf numFmtId="0" fontId="2" fillId="0" borderId="30" xfId="0" applyFont="1" applyBorder="1" applyAlignment="1"/>
    <xf numFmtId="166" fontId="0" fillId="3" borderId="1" xfId="0" applyNumberFormat="1" applyFill="1" applyBorder="1"/>
    <xf numFmtId="164" fontId="0" fillId="0" borderId="17" xfId="0" applyNumberFormat="1" applyBorder="1"/>
    <xf numFmtId="0" fontId="0" fillId="0" borderId="0" xfId="0" applyBorder="1" applyAlignment="1"/>
    <xf numFmtId="166" fontId="0" fillId="0" borderId="0" xfId="0" applyNumberForma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6" fontId="0" fillId="0" borderId="0" xfId="3" applyNumberFormat="1" applyFont="1" applyFill="1" applyBorder="1"/>
    <xf numFmtId="164" fontId="0" fillId="0" borderId="19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25" xfId="0" applyNumberFormat="1" applyBorder="1" applyAlignment="1">
      <alignment horizontal="right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6" fontId="0" fillId="0" borderId="1" xfId="3" applyNumberFormat="1" applyFont="1" applyBorder="1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left" indent="3"/>
    </xf>
    <xf numFmtId="1" fontId="0" fillId="0" borderId="0" xfId="0" applyNumberFormat="1" applyAlignment="1">
      <alignment horizontal="center"/>
    </xf>
    <xf numFmtId="3" fontId="0" fillId="0" borderId="0" xfId="1" applyNumberFormat="1" applyFont="1" applyAlignment="1">
      <alignment horizontal="center"/>
    </xf>
    <xf numFmtId="44" fontId="0" fillId="0" borderId="0" xfId="0" applyNumberFormat="1" applyAlignment="1">
      <alignment wrapText="1"/>
    </xf>
    <xf numFmtId="0" fontId="2" fillId="0" borderId="0" xfId="0" applyFont="1" applyAlignment="1">
      <alignment horizontal="left" indent="3"/>
    </xf>
    <xf numFmtId="166" fontId="2" fillId="0" borderId="0" xfId="3" applyNumberFormat="1" applyFont="1"/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/>
    <xf numFmtId="9" fontId="0" fillId="8" borderId="0" xfId="0" applyNumberFormat="1" applyFill="1"/>
    <xf numFmtId="44" fontId="2" fillId="0" borderId="0" xfId="0" applyNumberFormat="1" applyFont="1"/>
    <xf numFmtId="0" fontId="0" fillId="0" borderId="0" xfId="0" applyFont="1" applyAlignment="1">
      <alignment horizontal="left" indent="3"/>
    </xf>
    <xf numFmtId="44" fontId="2" fillId="0" borderId="0" xfId="3" applyFont="1"/>
    <xf numFmtId="0" fontId="0" fillId="0" borderId="0" xfId="0" applyFont="1" applyAlignment="1">
      <alignment horizontal="left" indent="1"/>
    </xf>
    <xf numFmtId="166" fontId="1" fillId="0" borderId="0" xfId="3" applyNumberFormat="1" applyFont="1"/>
    <xf numFmtId="44" fontId="1" fillId="0" borderId="0" xfId="3" applyFont="1"/>
    <xf numFmtId="0" fontId="0" fillId="0" borderId="0" xfId="0" applyFont="1" applyAlignment="1">
      <alignment horizontal="left"/>
    </xf>
    <xf numFmtId="166" fontId="2" fillId="0" borderId="0" xfId="0" applyNumberFormat="1" applyFont="1"/>
    <xf numFmtId="166" fontId="15" fillId="0" borderId="0" xfId="3" applyNumberFormat="1" applyFont="1"/>
    <xf numFmtId="0" fontId="15" fillId="0" borderId="0" xfId="0" applyFont="1"/>
    <xf numFmtId="0" fontId="16" fillId="0" borderId="0" xfId="0" applyFont="1" applyAlignment="1">
      <alignment horizontal="left" indent="1"/>
    </xf>
    <xf numFmtId="166" fontId="16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left"/>
    </xf>
    <xf numFmtId="166" fontId="0" fillId="0" borderId="26" xfId="0" applyNumberFormat="1" applyBorder="1"/>
    <xf numFmtId="166" fontId="15" fillId="0" borderId="0" xfId="0" applyNumberFormat="1" applyFont="1" applyAlignment="1">
      <alignment horizontal="left"/>
    </xf>
    <xf numFmtId="164" fontId="0" fillId="0" borderId="24" xfId="1" applyNumberFormat="1" applyFont="1" applyBorder="1"/>
    <xf numFmtId="0" fontId="0" fillId="0" borderId="1" xfId="0" applyFill="1" applyBorder="1"/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164" fontId="2" fillId="0" borderId="24" xfId="0" applyNumberFormat="1" applyFont="1" applyBorder="1"/>
    <xf numFmtId="164" fontId="2" fillId="0" borderId="23" xfId="0" applyNumberFormat="1" applyFont="1" applyBorder="1"/>
    <xf numFmtId="164" fontId="0" fillId="0" borderId="16" xfId="0" applyNumberFormat="1" applyBorder="1"/>
    <xf numFmtId="164" fontId="0" fillId="0" borderId="20" xfId="0" applyNumberFormat="1" applyBorder="1" applyAlignment="1">
      <alignment horizontal="right"/>
    </xf>
    <xf numFmtId="0" fontId="0" fillId="0" borderId="0" xfId="0" applyFont="1" applyAlignment="1"/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6" fontId="15" fillId="9" borderId="17" xfId="0" applyNumberFormat="1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166" fontId="15" fillId="9" borderId="18" xfId="0" applyNumberFormat="1" applyFont="1" applyFill="1" applyBorder="1" applyAlignment="1">
      <alignment horizontal="center"/>
    </xf>
    <xf numFmtId="0" fontId="17" fillId="9" borderId="0" xfId="0" applyFont="1" applyFill="1" applyBorder="1"/>
    <xf numFmtId="166" fontId="17" fillId="9" borderId="0" xfId="3" applyNumberFormat="1" applyFont="1" applyFill="1" applyBorder="1"/>
    <xf numFmtId="166" fontId="17" fillId="9" borderId="25" xfId="3" applyNumberFormat="1" applyFont="1" applyFill="1" applyBorder="1"/>
    <xf numFmtId="0" fontId="0" fillId="9" borderId="0" xfId="0" applyFill="1" applyBorder="1" applyAlignment="1">
      <alignment horizontal="left" indent="1"/>
    </xf>
    <xf numFmtId="166" fontId="0" fillId="9" borderId="0" xfId="3" applyNumberFormat="1" applyFont="1" applyFill="1" applyBorder="1"/>
    <xf numFmtId="166" fontId="0" fillId="9" borderId="25" xfId="3" applyNumberFormat="1" applyFont="1" applyFill="1" applyBorder="1"/>
    <xf numFmtId="0" fontId="17" fillId="9" borderId="0" xfId="0" applyFont="1" applyFill="1" applyBorder="1" applyAlignment="1">
      <alignment horizontal="left"/>
    </xf>
    <xf numFmtId="0" fontId="0" fillId="9" borderId="21" xfId="0" applyFill="1" applyBorder="1" applyAlignment="1">
      <alignment horizontal="left" indent="1"/>
    </xf>
    <xf numFmtId="166" fontId="0" fillId="9" borderId="21" xfId="3" applyNumberFormat="1" applyFont="1" applyFill="1" applyBorder="1"/>
    <xf numFmtId="166" fontId="0" fillId="9" borderId="26" xfId="3" applyNumberFormat="1" applyFont="1" applyFill="1" applyBorder="1"/>
    <xf numFmtId="166" fontId="15" fillId="9" borderId="33" xfId="0" applyNumberFormat="1" applyFont="1" applyFill="1" applyBorder="1" applyAlignment="1">
      <alignment horizontal="center"/>
    </xf>
    <xf numFmtId="166" fontId="15" fillId="9" borderId="34" xfId="0" applyNumberFormat="1" applyFont="1" applyFill="1" applyBorder="1" applyAlignment="1">
      <alignment horizontal="center"/>
    </xf>
    <xf numFmtId="166" fontId="17" fillId="9" borderId="36" xfId="3" applyNumberFormat="1" applyFont="1" applyFill="1" applyBorder="1"/>
    <xf numFmtId="166" fontId="0" fillId="9" borderId="36" xfId="3" applyNumberFormat="1" applyFont="1" applyFill="1" applyBorder="1"/>
    <xf numFmtId="0" fontId="0" fillId="9" borderId="38" xfId="0" applyFill="1" applyBorder="1" applyAlignment="1">
      <alignment horizontal="left" indent="1"/>
    </xf>
    <xf numFmtId="166" fontId="0" fillId="9" borderId="38" xfId="3" applyNumberFormat="1" applyFont="1" applyFill="1" applyBorder="1"/>
    <xf numFmtId="166" fontId="0" fillId="9" borderId="39" xfId="3" applyNumberFormat="1" applyFont="1" applyFill="1" applyBorder="1"/>
    <xf numFmtId="0" fontId="18" fillId="10" borderId="0" xfId="0" applyFont="1" applyFill="1" applyAlignment="1"/>
    <xf numFmtId="0" fontId="18" fillId="10" borderId="0" xfId="0" applyFont="1" applyFill="1" applyAlignment="1">
      <alignment horizontal="center"/>
    </xf>
    <xf numFmtId="17" fontId="2" fillId="9" borderId="43" xfId="0" applyNumberFormat="1" applyFont="1" applyFill="1" applyBorder="1" applyAlignment="1">
      <alignment horizontal="center"/>
    </xf>
    <xf numFmtId="164" fontId="0" fillId="9" borderId="44" xfId="1" applyNumberFormat="1" applyFont="1" applyFill="1" applyBorder="1"/>
    <xf numFmtId="0" fontId="0" fillId="9" borderId="44" xfId="0" quotePrefix="1" applyFill="1" applyBorder="1" applyAlignment="1">
      <alignment horizontal="right" indent="1"/>
    </xf>
    <xf numFmtId="9" fontId="0" fillId="9" borderId="44" xfId="2" applyNumberFormat="1" applyFont="1" applyFill="1" applyBorder="1" applyAlignment="1">
      <alignment horizontal="center"/>
    </xf>
    <xf numFmtId="164" fontId="0" fillId="9" borderId="44" xfId="1" applyNumberFormat="1" applyFont="1" applyFill="1" applyBorder="1" applyAlignment="1">
      <alignment horizontal="right"/>
    </xf>
    <xf numFmtId="0" fontId="0" fillId="9" borderId="45" xfId="0" quotePrefix="1" applyFill="1" applyBorder="1" applyAlignment="1">
      <alignment horizontal="right" indent="1"/>
    </xf>
    <xf numFmtId="17" fontId="2" fillId="9" borderId="46" xfId="0" applyNumberFormat="1" applyFont="1" applyFill="1" applyBorder="1" applyAlignment="1">
      <alignment horizontal="center"/>
    </xf>
    <xf numFmtId="164" fontId="0" fillId="9" borderId="47" xfId="1" applyNumberFormat="1" applyFont="1" applyFill="1" applyBorder="1"/>
    <xf numFmtId="164" fontId="0" fillId="9" borderId="47" xfId="0" applyNumberFormat="1" applyFill="1" applyBorder="1" applyAlignment="1">
      <alignment horizontal="left"/>
    </xf>
    <xf numFmtId="10" fontId="0" fillId="9" borderId="47" xfId="2" applyNumberFormat="1" applyFont="1" applyFill="1" applyBorder="1" applyAlignment="1">
      <alignment horizontal="center"/>
    </xf>
    <xf numFmtId="9" fontId="0" fillId="9" borderId="47" xfId="2" applyNumberFormat="1" applyFont="1" applyFill="1" applyBorder="1" applyAlignment="1">
      <alignment horizontal="center"/>
    </xf>
    <xf numFmtId="164" fontId="0" fillId="9" borderId="47" xfId="1" applyNumberFormat="1" applyFont="1" applyFill="1" applyBorder="1" applyAlignment="1">
      <alignment horizontal="right"/>
    </xf>
    <xf numFmtId="10" fontId="0" fillId="9" borderId="48" xfId="2" applyNumberFormat="1" applyFont="1" applyFill="1" applyBorder="1" applyAlignment="1">
      <alignment horizontal="center"/>
    </xf>
    <xf numFmtId="17" fontId="2" fillId="9" borderId="52" xfId="0" applyNumberFormat="1" applyFont="1" applyFill="1" applyBorder="1" applyAlignment="1">
      <alignment horizontal="center"/>
    </xf>
    <xf numFmtId="164" fontId="0" fillId="9" borderId="53" xfId="1" applyNumberFormat="1" applyFont="1" applyFill="1" applyBorder="1"/>
    <xf numFmtId="164" fontId="0" fillId="9" borderId="53" xfId="0" applyNumberFormat="1" applyFill="1" applyBorder="1" applyAlignment="1">
      <alignment horizontal="left"/>
    </xf>
    <xf numFmtId="10" fontId="0" fillId="9" borderId="53" xfId="2" applyNumberFormat="1" applyFont="1" applyFill="1" applyBorder="1" applyAlignment="1">
      <alignment horizontal="center"/>
    </xf>
    <xf numFmtId="9" fontId="0" fillId="9" borderId="53" xfId="2" applyNumberFormat="1" applyFont="1" applyFill="1" applyBorder="1" applyAlignment="1">
      <alignment horizontal="center"/>
    </xf>
    <xf numFmtId="164" fontId="0" fillId="9" borderId="53" xfId="1" applyNumberFormat="1" applyFont="1" applyFill="1" applyBorder="1" applyAlignment="1">
      <alignment horizontal="right"/>
    </xf>
    <xf numFmtId="10" fontId="0" fillId="9" borderId="54" xfId="2" applyNumberFormat="1" applyFont="1" applyFill="1" applyBorder="1" applyAlignment="1">
      <alignment horizontal="center"/>
    </xf>
    <xf numFmtId="0" fontId="18" fillId="4" borderId="40" xfId="0" applyFont="1" applyFill="1" applyBorder="1" applyAlignment="1">
      <alignment horizontal="center"/>
    </xf>
    <xf numFmtId="0" fontId="18" fillId="4" borderId="41" xfId="0" applyFont="1" applyFill="1" applyBorder="1" applyAlignment="1">
      <alignment horizontal="center"/>
    </xf>
    <xf numFmtId="0" fontId="18" fillId="4" borderId="41" xfId="0" applyFont="1" applyFill="1" applyBorder="1" applyAlignment="1">
      <alignment horizontal="center" wrapText="1"/>
    </xf>
    <xf numFmtId="0" fontId="18" fillId="4" borderId="42" xfId="0" applyFont="1" applyFill="1" applyBorder="1" applyAlignment="1">
      <alignment horizontal="center" wrapText="1"/>
    </xf>
    <xf numFmtId="17" fontId="2" fillId="11" borderId="49" xfId="0" applyNumberFormat="1" applyFont="1" applyFill="1" applyBorder="1" applyAlignment="1">
      <alignment horizontal="center"/>
    </xf>
    <xf numFmtId="164" fontId="0" fillId="11" borderId="50" xfId="1" applyNumberFormat="1" applyFont="1" applyFill="1" applyBorder="1"/>
    <xf numFmtId="164" fontId="0" fillId="11" borderId="50" xfId="0" applyNumberFormat="1" applyFill="1" applyBorder="1" applyAlignment="1">
      <alignment horizontal="left"/>
    </xf>
    <xf numFmtId="10" fontId="0" fillId="11" borderId="50" xfId="2" applyNumberFormat="1" applyFont="1" applyFill="1" applyBorder="1" applyAlignment="1">
      <alignment horizontal="center"/>
    </xf>
    <xf numFmtId="9" fontId="0" fillId="11" borderId="50" xfId="2" applyNumberFormat="1" applyFont="1" applyFill="1" applyBorder="1" applyAlignment="1">
      <alignment horizontal="center"/>
    </xf>
    <xf numFmtId="164" fontId="0" fillId="11" borderId="50" xfId="1" applyNumberFormat="1" applyFont="1" applyFill="1" applyBorder="1" applyAlignment="1">
      <alignment horizontal="right"/>
    </xf>
    <xf numFmtId="10" fontId="0" fillId="11" borderId="51" xfId="2" applyNumberFormat="1" applyFont="1" applyFill="1" applyBorder="1" applyAlignment="1">
      <alignment horizontal="center"/>
    </xf>
    <xf numFmtId="164" fontId="0" fillId="9" borderId="47" xfId="1" applyNumberFormat="1" applyFont="1" applyFill="1" applyBorder="1" applyAlignment="1">
      <alignment horizontal="center"/>
    </xf>
    <xf numFmtId="43" fontId="0" fillId="9" borderId="47" xfId="1" applyFont="1" applyFill="1" applyBorder="1"/>
    <xf numFmtId="43" fontId="0" fillId="9" borderId="48" xfId="0" applyNumberFormat="1" applyFill="1" applyBorder="1"/>
    <xf numFmtId="0" fontId="18" fillId="4" borderId="58" xfId="0" applyFont="1" applyFill="1" applyBorder="1" applyAlignment="1">
      <alignment horizontal="center" vertical="center"/>
    </xf>
    <xf numFmtId="0" fontId="18" fillId="4" borderId="59" xfId="0" applyFont="1" applyFill="1" applyBorder="1" applyAlignment="1">
      <alignment horizontal="center" vertical="center" wrapText="1"/>
    </xf>
    <xf numFmtId="0" fontId="18" fillId="4" borderId="59" xfId="0" applyFont="1" applyFill="1" applyBorder="1" applyAlignment="1">
      <alignment horizontal="center" vertical="center"/>
    </xf>
    <xf numFmtId="0" fontId="18" fillId="4" borderId="60" xfId="0" applyFont="1" applyFill="1" applyBorder="1" applyAlignment="1">
      <alignment horizontal="center" vertical="center"/>
    </xf>
    <xf numFmtId="17" fontId="2" fillId="3" borderId="49" xfId="0" applyNumberFormat="1" applyFont="1" applyFill="1" applyBorder="1" applyAlignment="1">
      <alignment horizontal="center"/>
    </xf>
    <xf numFmtId="164" fontId="0" fillId="3" borderId="50" xfId="1" applyNumberFormat="1" applyFont="1" applyFill="1" applyBorder="1" applyAlignment="1">
      <alignment horizontal="center"/>
    </xf>
    <xf numFmtId="43" fontId="0" fillId="3" borderId="50" xfId="1" applyFont="1" applyFill="1" applyBorder="1"/>
    <xf numFmtId="43" fontId="0" fillId="3" borderId="51" xfId="0" applyNumberFormat="1" applyFill="1" applyBorder="1"/>
    <xf numFmtId="17" fontId="2" fillId="3" borderId="55" xfId="0" applyNumberFormat="1" applyFont="1" applyFill="1" applyBorder="1" applyAlignment="1">
      <alignment horizontal="center"/>
    </xf>
    <xf numFmtId="164" fontId="0" fillId="3" borderId="56" xfId="1" applyNumberFormat="1" applyFont="1" applyFill="1" applyBorder="1" applyAlignment="1">
      <alignment horizontal="center"/>
    </xf>
    <xf numFmtId="43" fontId="0" fillId="3" borderId="56" xfId="1" applyFont="1" applyFill="1" applyBorder="1"/>
    <xf numFmtId="43" fontId="0" fillId="3" borderId="57" xfId="0" applyNumberFormat="1" applyFill="1" applyBorder="1"/>
    <xf numFmtId="17" fontId="2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15" fillId="9" borderId="16" xfId="0" applyFont="1" applyFill="1" applyBorder="1" applyAlignment="1">
      <alignment horizontal="center" vertical="top" wrapText="1"/>
    </xf>
    <xf numFmtId="0" fontId="15" fillId="9" borderId="19" xfId="0" applyFont="1" applyFill="1" applyBorder="1" applyAlignment="1">
      <alignment horizontal="center" vertical="top" wrapText="1"/>
    </xf>
    <xf numFmtId="0" fontId="15" fillId="9" borderId="20" xfId="0" applyFont="1" applyFill="1" applyBorder="1" applyAlignment="1">
      <alignment horizontal="center" vertical="top" wrapText="1"/>
    </xf>
    <xf numFmtId="0" fontId="15" fillId="9" borderId="32" xfId="0" applyFont="1" applyFill="1" applyBorder="1" applyAlignment="1">
      <alignment horizontal="center" vertical="top" wrapText="1"/>
    </xf>
    <xf numFmtId="0" fontId="15" fillId="9" borderId="35" xfId="0" applyFont="1" applyFill="1" applyBorder="1" applyAlignment="1">
      <alignment horizontal="center" vertical="top" wrapText="1"/>
    </xf>
    <xf numFmtId="0" fontId="15" fillId="9" borderId="37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4" xfId="0" applyBorder="1" applyAlignment="1">
      <alignment horizontal="left" vertical="top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Total (3-Year) 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Summary!$B$28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Summary!$C$27:$F$27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Summary!$C$28:$F$28</c:f>
              <c:numCache>
                <c:formatCode>_("$"* #,##0_);_("$"* \(#,##0\);_("$"* "-"??_);_(@_)</c:formatCode>
                <c:ptCount val="4"/>
                <c:pt idx="0">
                  <c:v>5177265.26</c:v>
                </c:pt>
                <c:pt idx="1">
                  <c:v>5171437.26</c:v>
                </c:pt>
                <c:pt idx="2">
                  <c:v>4205626.74</c:v>
                </c:pt>
                <c:pt idx="3">
                  <c:v>4205626.74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1-AF47-B777-DE3F6C503B86}"/>
            </c:ext>
          </c:extLst>
        </c:ser>
        <c:ser>
          <c:idx val="1"/>
          <c:order val="1"/>
          <c:tx>
            <c:strRef>
              <c:f>Summary!$B$29</c:f>
              <c:strCache>
                <c:ptCount val="1"/>
                <c:pt idx="0">
                  <c:v>Routers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Summary!$C$27:$F$27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Summary!$C$29:$F$29</c:f>
              <c:numCache>
                <c:formatCode>_("$"* #,##0_);_("$"* \(#,##0\);_("$"* "-"??_);_(@_)</c:formatCode>
                <c:ptCount val="4"/>
                <c:pt idx="0">
                  <c:v>9622000</c:v>
                </c:pt>
                <c:pt idx="1">
                  <c:v>8629000</c:v>
                </c:pt>
                <c:pt idx="2">
                  <c:v>7800000</c:v>
                </c:pt>
                <c:pt idx="3">
                  <c:v>7428000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1-AF47-B777-DE3F6C503B86}"/>
            </c:ext>
          </c:extLst>
        </c:ser>
        <c:ser>
          <c:idx val="2"/>
          <c:order val="2"/>
          <c:tx>
            <c:strRef>
              <c:f>Summary!$B$30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Summary!$C$27:$F$27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Summary!$C$30:$F$30</c:f>
              <c:numCache>
                <c:formatCode>_("$"* #,##0_);_("$"* \(#,##0\);_("$"* "-"??_);_(@_)</c:formatCode>
                <c:ptCount val="4"/>
                <c:pt idx="0">
                  <c:v>1825000</c:v>
                </c:pt>
                <c:pt idx="1">
                  <c:v>1785000</c:v>
                </c:pt>
                <c:pt idx="2">
                  <c:v>1470000</c:v>
                </c:pt>
                <c:pt idx="3">
                  <c:v>1455000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1-AF47-B777-DE3F6C503B86}"/>
            </c:ext>
          </c:extLst>
        </c:ser>
        <c:ser>
          <c:idx val="3"/>
          <c:order val="3"/>
          <c:tx>
            <c:strRef>
              <c:f>Summary!$B$31</c:f>
              <c:strCache>
                <c:ptCount val="1"/>
                <c:pt idx="0">
                  <c:v>Power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Summary!$C$27:$F$27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Summary!$C$31:$F$31</c:f>
              <c:numCache>
                <c:formatCode>_("$"* #,##0_);_("$"* \(#,##0\);_("$"* "-"??_);_(@_)</c:formatCode>
                <c:ptCount val="4"/>
                <c:pt idx="0">
                  <c:v>1246075.294</c:v>
                </c:pt>
                <c:pt idx="1">
                  <c:v>889138.58240000007</c:v>
                </c:pt>
                <c:pt idx="2">
                  <c:v>1028783.2332</c:v>
                </c:pt>
                <c:pt idx="3">
                  <c:v>827918.92080000008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F1-AF47-B777-DE3F6C503B86}"/>
            </c:ext>
          </c:extLst>
        </c:ser>
        <c:ser>
          <c:idx val="4"/>
          <c:order val="4"/>
          <c:tx>
            <c:strRef>
              <c:f>Summary!$B$32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Summary!$C$27:$F$27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Summary!$C$32:$F$32</c:f>
              <c:numCache>
                <c:formatCode>_("$"* #,##0_);_("$"* \(#,##0\);_("$"* "-"??_);_(@_)</c:formatCode>
                <c:ptCount val="4"/>
                <c:pt idx="0">
                  <c:v>6268345.2000000002</c:v>
                </c:pt>
                <c:pt idx="1">
                  <c:v>6268345.2000000002</c:v>
                </c:pt>
                <c:pt idx="2">
                  <c:v>6268345.2000000002</c:v>
                </c:pt>
                <c:pt idx="3">
                  <c:v>6268345.2000000002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F1-AF47-B777-DE3F6C503B86}"/>
            </c:ext>
          </c:extLst>
        </c:ser>
        <c:ser>
          <c:idx val="5"/>
          <c:order val="5"/>
          <c:tx>
            <c:strRef>
              <c:f>Summary!$B$33</c:f>
              <c:strCache>
                <c:ptCount val="1"/>
                <c:pt idx="0">
                  <c:v>Other Expenses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Summary!$C$27:$F$27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Summary!$C$33:$F$33</c:f>
              <c:numCache>
                <c:formatCode>_("$"* #,##0_);_("$"* \(#,##0\);_("$"* "-"??_);_(@_)</c:formatCode>
                <c:ptCount val="4"/>
                <c:pt idx="0">
                  <c:v>7436157.1551719308</c:v>
                </c:pt>
                <c:pt idx="1">
                  <c:v>6986855.2206918625</c:v>
                </c:pt>
                <c:pt idx="2">
                  <c:v>6859506.5398979923</c:v>
                </c:pt>
                <c:pt idx="3">
                  <c:v>6494523.410670286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F1-AF47-B777-DE3F6C503B86}"/>
            </c:ext>
          </c:extLst>
        </c:ser>
        <c:ser>
          <c:idx val="6"/>
          <c:order val="6"/>
          <c:tx>
            <c:strRef>
              <c:f>Summary!$B$34</c:f>
              <c:strCache>
                <c:ptCount val="1"/>
                <c:pt idx="0">
                  <c:v>Facility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Summary!$C$27:$F$27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Summary!$C$34:$F$34</c:f>
              <c:numCache>
                <c:formatCode>_("$"* #,##0_);_("$"* \(#,##0\);_("$"* "-"??_);_(@_)</c:formatCode>
                <c:ptCount val="4"/>
                <c:pt idx="0">
                  <c:v>20447081.720664378</c:v>
                </c:pt>
                <c:pt idx="1">
                  <c:v>15475870.571328769</c:v>
                </c:pt>
                <c:pt idx="2">
                  <c:v>16826334.544866439</c:v>
                </c:pt>
                <c:pt idx="3">
                  <c:v>14553563.57060959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F1-AF47-B777-DE3F6C50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872960"/>
        <c:axId val="658074256"/>
      </c:barChart>
      <c:catAx>
        <c:axId val="6868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4256"/>
        <c:crosses val="autoZero"/>
        <c:auto val="1"/>
        <c:lblAlgn val="ctr"/>
        <c:lblOffset val="100"/>
        <c:noMultiLvlLbl val="0"/>
      </c:catAx>
      <c:valAx>
        <c:axId val="6580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Scenario 2 - Annual Cost (Equip + Ops)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'Scenario 2'!$B$31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2'!$C$30:$E$30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2'!$C$31:$E$31</c:f>
              <c:numCache>
                <c:formatCode>_("$"* #,##0_);_("$"* \(#,##0\);_("$"* "-"??_);_(@_)</c:formatCode>
                <c:ptCount val="3"/>
                <c:pt idx="0">
                  <c:v>1880000</c:v>
                </c:pt>
                <c:pt idx="1">
                  <c:v>1142335</c:v>
                </c:pt>
                <c:pt idx="2">
                  <c:v>2149102.2599999998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5-694B-945F-CD1D7F9C087C}"/>
            </c:ext>
          </c:extLst>
        </c:ser>
        <c:ser>
          <c:idx val="1"/>
          <c:order val="1"/>
          <c:tx>
            <c:strRef>
              <c:f>'Scenario 2'!$B$32</c:f>
              <c:strCache>
                <c:ptCount val="1"/>
                <c:pt idx="0">
                  <c:v>Routers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2'!$C$30:$E$30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2'!$C$32:$E$32</c:f>
              <c:numCache>
                <c:formatCode>_("$"* #,##0_);_("$"* \(#,##0\);_("$"* "-"??_);_(@_)</c:formatCode>
                <c:ptCount val="3"/>
                <c:pt idx="0">
                  <c:v>2714000</c:v>
                </c:pt>
                <c:pt idx="1">
                  <c:v>2168000</c:v>
                </c:pt>
                <c:pt idx="2">
                  <c:v>3747000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5-694B-945F-CD1D7F9C087C}"/>
            </c:ext>
          </c:extLst>
        </c:ser>
        <c:ser>
          <c:idx val="2"/>
          <c:order val="2"/>
          <c:tx>
            <c:strRef>
              <c:f>'Scenario 2'!$B$33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2'!$C$30:$E$30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2'!$C$33:$E$33</c:f>
              <c:numCache>
                <c:formatCode>_("$"* #,##0_);_("$"* \(#,##0\);_("$"* "-"??_);_(@_)</c:formatCode>
                <c:ptCount val="3"/>
                <c:pt idx="0">
                  <c:v>685000</c:v>
                </c:pt>
                <c:pt idx="1">
                  <c:v>365000</c:v>
                </c:pt>
                <c:pt idx="2">
                  <c:v>735000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5-694B-945F-CD1D7F9C087C}"/>
            </c:ext>
          </c:extLst>
        </c:ser>
        <c:ser>
          <c:idx val="3"/>
          <c:order val="3"/>
          <c:tx>
            <c:strRef>
              <c:f>'Scenario 2'!$B$36</c:f>
              <c:strCache>
                <c:ptCount val="1"/>
                <c:pt idx="0">
                  <c:v>Power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2'!$C$30:$E$30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2'!$C$36:$E$36</c:f>
              <c:numCache>
                <c:formatCode>_("$"* #,##0_);_("$"* \(#,##0\);_("$"* "-"??_);_(@_)</c:formatCode>
                <c:ptCount val="3"/>
                <c:pt idx="0">
                  <c:v>127568.94040000001</c:v>
                </c:pt>
                <c:pt idx="1">
                  <c:v>275168.15240000002</c:v>
                </c:pt>
                <c:pt idx="2">
                  <c:v>486401.48960000003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C5-694B-945F-CD1D7F9C087C}"/>
            </c:ext>
          </c:extLst>
        </c:ser>
        <c:ser>
          <c:idx val="4"/>
          <c:order val="4"/>
          <c:tx>
            <c:strRef>
              <c:f>'Scenario 2'!$B$37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2'!$C$30:$E$30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2'!$C$37:$E$37</c:f>
              <c:numCache>
                <c:formatCode>_("$"* #,##0_);_("$"* \(#,##0\);_("$"* "-"??_);_(@_)</c:formatCode>
                <c:ptCount val="3"/>
                <c:pt idx="0">
                  <c:v>2028000</c:v>
                </c:pt>
                <c:pt idx="1">
                  <c:v>2088840</c:v>
                </c:pt>
                <c:pt idx="2">
                  <c:v>2151505.2000000002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C5-694B-945F-CD1D7F9C087C}"/>
            </c:ext>
          </c:extLst>
        </c:ser>
        <c:ser>
          <c:idx val="5"/>
          <c:order val="5"/>
          <c:tx>
            <c:strRef>
              <c:f>'Scenario 2'!$B$38</c:f>
              <c:strCache>
                <c:ptCount val="1"/>
                <c:pt idx="0">
                  <c:v>Other Expenses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2'!$C$30:$E$30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2'!$C$38:$E$38</c:f>
              <c:numCache>
                <c:formatCode>_("$"* #,##0_);_("$"* \(#,##0\);_("$"* "-"??_);_(@_)</c:formatCode>
                <c:ptCount val="3"/>
                <c:pt idx="0">
                  <c:v>809916.4310572875</c:v>
                </c:pt>
                <c:pt idx="1">
                  <c:v>2509246.2706092875</c:v>
                </c:pt>
                <c:pt idx="2">
                  <c:v>3667692.5190252876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C5-694B-945F-CD1D7F9C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499968"/>
        <c:axId val="686465488"/>
      </c:barChart>
      <c:catAx>
        <c:axId val="6614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65488"/>
        <c:crosses val="autoZero"/>
        <c:auto val="1"/>
        <c:lblAlgn val="ctr"/>
        <c:lblOffset val="100"/>
        <c:noMultiLvlLbl val="0"/>
      </c:catAx>
      <c:valAx>
        <c:axId val="686465488"/>
        <c:scaling>
          <c:orientation val="minMax"/>
          <c:max val="1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9968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Scenario 2 - Total</a:t>
            </a:r>
            <a:r>
              <a:rPr lang="en-US" sz="1200" baseline="0"/>
              <a:t> (CUM) Resources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'Scenario 2'!$B$12</c:f>
              <c:strCache>
                <c:ptCount val="1"/>
                <c:pt idx="0">
                  <c:v>Servers and NAS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2'!$C$11:$E$11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2'!$C$12:$E$12</c:f>
              <c:numCache>
                <c:formatCode>#,##0</c:formatCode>
                <c:ptCount val="3"/>
                <c:pt idx="0">
                  <c:v>281</c:v>
                </c:pt>
                <c:pt idx="1">
                  <c:v>665</c:v>
                </c:pt>
                <c:pt idx="2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3-2841-B1BD-4AFBDBF7299F}"/>
            </c:ext>
          </c:extLst>
        </c:ser>
        <c:ser>
          <c:idx val="1"/>
          <c:order val="1"/>
          <c:tx>
            <c:strRef>
              <c:f>'Scenario 2'!$B$13</c:f>
              <c:strCache>
                <c:ptCount val="1"/>
                <c:pt idx="0">
                  <c:v>Router Cards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2'!$C$11:$E$11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2'!$C$13:$E$13</c:f>
              <c:numCache>
                <c:formatCode>#,##0</c:formatCode>
                <c:ptCount val="3"/>
                <c:pt idx="0">
                  <c:v>314</c:v>
                </c:pt>
                <c:pt idx="1">
                  <c:v>636</c:v>
                </c:pt>
                <c:pt idx="2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3-2841-B1BD-4AFBDBF7299F}"/>
            </c:ext>
          </c:extLst>
        </c:ser>
        <c:ser>
          <c:idx val="2"/>
          <c:order val="2"/>
          <c:tx>
            <c:strRef>
              <c:f>'Scenario 2'!$B$14</c:f>
              <c:strCache>
                <c:ptCount val="1"/>
                <c:pt idx="0">
                  <c:v>Router Shelves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2'!$C$11:$E$11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2'!$C$14:$E$14</c:f>
              <c:numCache>
                <c:formatCode>#,##0</c:formatCode>
                <c:ptCount val="3"/>
                <c:pt idx="0">
                  <c:v>22</c:v>
                </c:pt>
                <c:pt idx="1">
                  <c:v>26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3-2841-B1BD-4AFBDBF7299F}"/>
            </c:ext>
          </c:extLst>
        </c:ser>
        <c:ser>
          <c:idx val="3"/>
          <c:order val="3"/>
          <c:tx>
            <c:strRef>
              <c:f>'Scenario 2'!$B$15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2'!$C$11:$E$11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2'!$C$15:$E$15</c:f>
              <c:numCache>
                <c:formatCode>#,##0</c:formatCode>
                <c:ptCount val="3"/>
                <c:pt idx="0">
                  <c:v>71</c:v>
                </c:pt>
                <c:pt idx="1">
                  <c:v>141</c:v>
                </c:pt>
                <c:pt idx="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3-2841-B1BD-4AFBDBF7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283584"/>
        <c:axId val="680498128"/>
      </c:barChart>
      <c:catAx>
        <c:axId val="6802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128"/>
        <c:crosses val="autoZero"/>
        <c:auto val="1"/>
        <c:lblAlgn val="ctr"/>
        <c:lblOffset val="100"/>
        <c:noMultiLvlLbl val="0"/>
      </c:catAx>
      <c:valAx>
        <c:axId val="68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quantities</a:t>
                </a:r>
              </a:p>
            </c:rich>
          </c:tx>
          <c:layout>
            <c:manualLayout>
              <c:xMode val="edge"/>
              <c:yMode val="edge"/>
              <c:x val="7.098765432098765E-2"/>
              <c:y val="0.23086759988334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35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Scenario 3 - Annual Cost (Equip</a:t>
            </a:r>
            <a:r>
              <a:rPr lang="en-US" sz="1200" baseline="0"/>
              <a:t> + Ops)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'Scenario 3'!$B$22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3'!$C$21:$E$21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3'!$C$22:$E$22</c:f>
              <c:numCache>
                <c:formatCode>_("$"* #,##0_);_("$"* \(#,##0\);_("$"* "-"??_);_(@_)</c:formatCode>
                <c:ptCount val="3"/>
                <c:pt idx="0">
                  <c:v>1543950</c:v>
                </c:pt>
                <c:pt idx="1">
                  <c:v>1021122</c:v>
                </c:pt>
                <c:pt idx="2">
                  <c:v>1640554.7400000002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D-784F-8FA5-6E64101B853A}"/>
            </c:ext>
          </c:extLst>
        </c:ser>
        <c:ser>
          <c:idx val="1"/>
          <c:order val="1"/>
          <c:tx>
            <c:strRef>
              <c:f>'Scenario 3'!$B$23</c:f>
              <c:strCache>
                <c:ptCount val="1"/>
                <c:pt idx="0">
                  <c:v>Routers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3'!$C$21:$E$21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3'!$C$23:$E$23</c:f>
              <c:numCache>
                <c:formatCode>_("$"* #,##0_);_("$"* \(#,##0\);_("$"* "-"??_);_(@_)</c:formatCode>
                <c:ptCount val="3"/>
                <c:pt idx="0">
                  <c:v>2775000</c:v>
                </c:pt>
                <c:pt idx="1">
                  <c:v>2000000</c:v>
                </c:pt>
                <c:pt idx="2">
                  <c:v>3025000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D-784F-8FA5-6E64101B853A}"/>
            </c:ext>
          </c:extLst>
        </c:ser>
        <c:ser>
          <c:idx val="2"/>
          <c:order val="2"/>
          <c:tx>
            <c:strRef>
              <c:f>'Scenario 3'!$B$24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3'!$C$21:$E$21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3'!$C$24:$E$24</c:f>
              <c:numCache>
                <c:formatCode>_("$"* #,##0_);_("$"* \(#,##0\);_("$"* "-"??_);_(@_)</c:formatCode>
                <c:ptCount val="3"/>
                <c:pt idx="0">
                  <c:v>550000</c:v>
                </c:pt>
                <c:pt idx="1">
                  <c:v>360000</c:v>
                </c:pt>
                <c:pt idx="2">
                  <c:v>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D-784F-8FA5-6E64101B853A}"/>
            </c:ext>
          </c:extLst>
        </c:ser>
        <c:ser>
          <c:idx val="3"/>
          <c:order val="3"/>
          <c:tx>
            <c:strRef>
              <c:f>'Scenario 3'!$B$27</c:f>
              <c:strCache>
                <c:ptCount val="1"/>
                <c:pt idx="0">
                  <c:v>Power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3'!$C$21:$E$21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3'!$C$27:$E$27</c:f>
              <c:numCache>
                <c:formatCode>_("$"* #,##0_);_("$"* \(#,##0\);_("$"* "-"??_);_(@_)</c:formatCode>
                <c:ptCount val="3"/>
                <c:pt idx="0">
                  <c:v>190737.38159999999</c:v>
                </c:pt>
                <c:pt idx="1">
                  <c:v>319194.8224</c:v>
                </c:pt>
                <c:pt idx="2">
                  <c:v>518851.02919999999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DD-784F-8FA5-6E64101B853A}"/>
            </c:ext>
          </c:extLst>
        </c:ser>
        <c:ser>
          <c:idx val="4"/>
          <c:order val="4"/>
          <c:tx>
            <c:strRef>
              <c:f>'Scenario 3'!$B$28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3'!$C$21:$E$21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3'!$C$28:$E$28</c:f>
              <c:numCache>
                <c:formatCode>_("$"* #,##0_);_("$"* \(#,##0\);_("$"* "-"??_);_(@_)</c:formatCode>
                <c:ptCount val="3"/>
                <c:pt idx="0">
                  <c:v>2028000</c:v>
                </c:pt>
                <c:pt idx="1">
                  <c:v>2088840</c:v>
                </c:pt>
                <c:pt idx="2">
                  <c:v>2151505.2000000002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DD-784F-8FA5-6E64101B853A}"/>
            </c:ext>
          </c:extLst>
        </c:ser>
        <c:ser>
          <c:idx val="5"/>
          <c:order val="5"/>
          <c:tx>
            <c:strRef>
              <c:f>'Scenario 3'!$B$29</c:f>
              <c:strCache>
                <c:ptCount val="1"/>
                <c:pt idx="0">
                  <c:v>Other Expenses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3'!$C$21:$E$21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3'!$C$29:$E$29</c:f>
              <c:numCache>
                <c:formatCode>_("$"* #,##0_);_("$"* \(#,##0\);_("$"* "-"??_);_(@_)</c:formatCode>
                <c:ptCount val="3"/>
                <c:pt idx="0">
                  <c:v>823421.07079266419</c:v>
                </c:pt>
                <c:pt idx="1">
                  <c:v>2467740.910344664</c:v>
                </c:pt>
                <c:pt idx="2">
                  <c:v>3568344.558760664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DD-784F-8FA5-6E64101B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499968"/>
        <c:axId val="686465488"/>
      </c:barChart>
      <c:catAx>
        <c:axId val="6614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65488"/>
        <c:crosses val="autoZero"/>
        <c:auto val="1"/>
        <c:lblAlgn val="ctr"/>
        <c:lblOffset val="100"/>
        <c:noMultiLvlLbl val="0"/>
      </c:catAx>
      <c:valAx>
        <c:axId val="686465488"/>
        <c:scaling>
          <c:orientation val="minMax"/>
          <c:max val="1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9968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Scenario 3 - Total</a:t>
            </a:r>
            <a:r>
              <a:rPr lang="en-US" sz="1200" baseline="0"/>
              <a:t> (CUM) Resources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'Scenario 3'!$B$14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3'!$C$13:$E$13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3'!$C$14:$E$14</c:f>
              <c:numCache>
                <c:formatCode>0</c:formatCode>
                <c:ptCount val="3"/>
                <c:pt idx="0">
                  <c:v>657</c:v>
                </c:pt>
                <c:pt idx="1">
                  <c:v>1083</c:v>
                </c:pt>
                <c:pt idx="2" formatCode="#,##0">
                  <c:v>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4-D145-91F8-1A8BB5B2A650}"/>
            </c:ext>
          </c:extLst>
        </c:ser>
        <c:ser>
          <c:idx val="1"/>
          <c:order val="1"/>
          <c:tx>
            <c:strRef>
              <c:f>'Scenario 3'!$B$15</c:f>
              <c:strCache>
                <c:ptCount val="1"/>
                <c:pt idx="0">
                  <c:v>Router Cards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3'!$C$13:$E$13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3'!$C$15:$E$15</c:f>
              <c:numCache>
                <c:formatCode>#,##0</c:formatCode>
                <c:ptCount val="3"/>
                <c:pt idx="0">
                  <c:v>441</c:v>
                </c:pt>
                <c:pt idx="1">
                  <c:v>765</c:v>
                </c:pt>
                <c:pt idx="2">
                  <c:v>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4-D145-91F8-1A8BB5B2A650}"/>
            </c:ext>
          </c:extLst>
        </c:ser>
        <c:ser>
          <c:idx val="2"/>
          <c:order val="2"/>
          <c:tx>
            <c:strRef>
              <c:f>'Scenario 3'!$B$16</c:f>
              <c:strCache>
                <c:ptCount val="1"/>
                <c:pt idx="0">
                  <c:v>Router Shelves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3'!$C$13:$E$13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3'!$C$16:$E$16</c:f>
              <c:numCache>
                <c:formatCode>#,##0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4-D145-91F8-1A8BB5B2A650}"/>
            </c:ext>
          </c:extLst>
        </c:ser>
        <c:ser>
          <c:idx val="3"/>
          <c:order val="3"/>
          <c:tx>
            <c:strRef>
              <c:f>'Scenario 3'!$B$17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3'!$C$13:$E$13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3'!$C$17:$E$17</c:f>
              <c:numCache>
                <c:formatCode>#,##0</c:formatCode>
                <c:ptCount val="3"/>
                <c:pt idx="0">
                  <c:v>110</c:v>
                </c:pt>
                <c:pt idx="1">
                  <c:v>182</c:v>
                </c:pt>
                <c:pt idx="2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64-D145-91F8-1A8BB5B2A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283584"/>
        <c:axId val="680498128"/>
      </c:barChart>
      <c:catAx>
        <c:axId val="6802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128"/>
        <c:crosses val="autoZero"/>
        <c:auto val="1"/>
        <c:lblAlgn val="ctr"/>
        <c:lblOffset val="100"/>
        <c:noMultiLvlLbl val="0"/>
      </c:catAx>
      <c:valAx>
        <c:axId val="68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quantities</a:t>
                </a:r>
              </a:p>
            </c:rich>
          </c:tx>
          <c:layout>
            <c:manualLayout>
              <c:xMode val="edge"/>
              <c:yMode val="edge"/>
              <c:x val="7.098765432098765E-2"/>
              <c:y val="0.23086759988334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35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Scenario 4 - Annual Cost (Equip</a:t>
            </a:r>
            <a:r>
              <a:rPr lang="en-US" sz="1200" baseline="0"/>
              <a:t> + Ops)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'Scenario 4'!$B$30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4'!$C$29:$E$29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4'!$C$30:$E$30</c:f>
              <c:numCache>
                <c:formatCode>_("$"* #,##0_);_("$"* \(#,##0\);_("$"* "-"??_);_(@_)</c:formatCode>
                <c:ptCount val="3"/>
                <c:pt idx="0">
                  <c:v>1543950</c:v>
                </c:pt>
                <c:pt idx="1">
                  <c:v>1021122</c:v>
                </c:pt>
                <c:pt idx="2">
                  <c:v>1640554.7400000002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A-C943-B766-8672D7E1C8AB}"/>
            </c:ext>
          </c:extLst>
        </c:ser>
        <c:ser>
          <c:idx val="1"/>
          <c:order val="1"/>
          <c:tx>
            <c:strRef>
              <c:f>'Scenario 4'!$B$31</c:f>
              <c:strCache>
                <c:ptCount val="1"/>
                <c:pt idx="0">
                  <c:v>Routers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4'!$C$29:$E$29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4'!$C$31:$E$31</c:f>
              <c:numCache>
                <c:formatCode>_("$"* #,##0_);_("$"* \(#,##0\);_("$"* "-"??_);_(@_)</c:formatCode>
                <c:ptCount val="3"/>
                <c:pt idx="0">
                  <c:v>1860000</c:v>
                </c:pt>
                <c:pt idx="1">
                  <c:v>2346000</c:v>
                </c:pt>
                <c:pt idx="2">
                  <c:v>3222000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A-C943-B766-8672D7E1C8AB}"/>
            </c:ext>
          </c:extLst>
        </c:ser>
        <c:ser>
          <c:idx val="2"/>
          <c:order val="2"/>
          <c:tx>
            <c:strRef>
              <c:f>'Scenario 4'!$B$32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4'!$C$29:$E$29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4'!$C$32:$E$32</c:f>
              <c:numCache>
                <c:formatCode>_("$"* #,##0_);_("$"* \(#,##0\);_("$"* "-"??_);_(@_)</c:formatCode>
                <c:ptCount val="3"/>
                <c:pt idx="0">
                  <c:v>525000</c:v>
                </c:pt>
                <c:pt idx="1">
                  <c:v>365000</c:v>
                </c:pt>
                <c:pt idx="2">
                  <c:v>565000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A-C943-B766-8672D7E1C8AB}"/>
            </c:ext>
          </c:extLst>
        </c:ser>
        <c:ser>
          <c:idx val="3"/>
          <c:order val="3"/>
          <c:tx>
            <c:strRef>
              <c:f>'Scenario 4'!$B$35</c:f>
              <c:strCache>
                <c:ptCount val="1"/>
                <c:pt idx="0">
                  <c:v>Power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4'!$C$29:$E$29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4'!$C$35:$E$35</c:f>
              <c:numCache>
                <c:formatCode>_(* #,##0_);_(* \(#,##0\);_(* "-"??_);_(@_)</c:formatCode>
                <c:ptCount val="3"/>
                <c:pt idx="0">
                  <c:v>111399.11720000001</c:v>
                </c:pt>
                <c:pt idx="1">
                  <c:v>258767.64600000001</c:v>
                </c:pt>
                <c:pt idx="2">
                  <c:v>457752.15760000004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EA-C943-B766-8672D7E1C8AB}"/>
            </c:ext>
          </c:extLst>
        </c:ser>
        <c:ser>
          <c:idx val="4"/>
          <c:order val="4"/>
          <c:tx>
            <c:strRef>
              <c:f>'Scenario 4'!$B$36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4'!$C$29:$E$29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4'!$C$36:$E$36</c:f>
              <c:numCache>
                <c:formatCode>_("$"* #,##0_);_("$"* \(#,##0\);_("$"* "-"??_);_(@_)</c:formatCode>
                <c:ptCount val="3"/>
                <c:pt idx="0">
                  <c:v>2028000</c:v>
                </c:pt>
                <c:pt idx="1">
                  <c:v>2088840</c:v>
                </c:pt>
                <c:pt idx="2">
                  <c:v>2151505.2000000002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EA-C943-B766-8672D7E1C8AB}"/>
            </c:ext>
          </c:extLst>
        </c:ser>
        <c:ser>
          <c:idx val="5"/>
          <c:order val="5"/>
          <c:tx>
            <c:strRef>
              <c:f>'Scenario 4'!$B$37</c:f>
              <c:strCache>
                <c:ptCount val="1"/>
                <c:pt idx="0">
                  <c:v>Other Expenses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4'!$C$29:$E$29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4'!$C$37:$E$37</c:f>
              <c:numCache>
                <c:formatCode>_("$"* #,##0_);_("$"* \(#,##0\);_("$"* "-"??_);_(@_)</c:formatCode>
                <c:ptCount val="3"/>
                <c:pt idx="0">
                  <c:v>800693.36105009564</c:v>
                </c:pt>
                <c:pt idx="1">
                  <c:v>2262013.2006020956</c:v>
                </c:pt>
                <c:pt idx="2">
                  <c:v>3431816.8490180955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EA-C943-B766-8672D7E1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499968"/>
        <c:axId val="686465488"/>
      </c:barChart>
      <c:catAx>
        <c:axId val="6614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65488"/>
        <c:crosses val="autoZero"/>
        <c:auto val="1"/>
        <c:lblAlgn val="ctr"/>
        <c:lblOffset val="100"/>
        <c:noMultiLvlLbl val="0"/>
      </c:catAx>
      <c:valAx>
        <c:axId val="686465488"/>
        <c:scaling>
          <c:orientation val="minMax"/>
          <c:max val="1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9968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Scenario 4 - Total</a:t>
            </a:r>
            <a:r>
              <a:rPr lang="en-US" sz="1200" baseline="0"/>
              <a:t> (CUM) Resources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'Scenario 4'!$B$16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4'!$C$15:$E$15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4'!$C$16:$E$16</c:f>
              <c:numCache>
                <c:formatCode>0</c:formatCode>
                <c:ptCount val="3"/>
                <c:pt idx="0">
                  <c:v>321</c:v>
                </c:pt>
                <c:pt idx="1">
                  <c:v>759</c:v>
                </c:pt>
                <c:pt idx="2" formatCode="#,##0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C-CB49-8BF3-8F7139E225FD}"/>
            </c:ext>
          </c:extLst>
        </c:ser>
        <c:ser>
          <c:idx val="1"/>
          <c:order val="1"/>
          <c:tx>
            <c:strRef>
              <c:f>'Scenario 4'!$B$17</c:f>
              <c:strCache>
                <c:ptCount val="1"/>
                <c:pt idx="0">
                  <c:v>Router Cards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4'!$C$15:$E$15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4'!$C$17:$E$17</c:f>
              <c:numCache>
                <c:formatCode>#,##0</c:formatCode>
                <c:ptCount val="3"/>
                <c:pt idx="0">
                  <c:v>268</c:v>
                </c:pt>
                <c:pt idx="1">
                  <c:v>620</c:v>
                </c:pt>
                <c:pt idx="2">
                  <c:v>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C-CB49-8BF3-8F7139E225FD}"/>
            </c:ext>
          </c:extLst>
        </c:ser>
        <c:ser>
          <c:idx val="2"/>
          <c:order val="2"/>
          <c:tx>
            <c:strRef>
              <c:f>'Scenario 4'!$B$18</c:f>
              <c:strCache>
                <c:ptCount val="1"/>
                <c:pt idx="0">
                  <c:v>Router Shelves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4'!$C$15:$E$15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4'!$C$18:$E$18</c:f>
              <c:numCache>
                <c:formatCode>#,##0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C-CB49-8BF3-8F7139E225FD}"/>
            </c:ext>
          </c:extLst>
        </c:ser>
        <c:ser>
          <c:idx val="3"/>
          <c:order val="3"/>
          <c:tx>
            <c:strRef>
              <c:f>'Scenario 4'!$B$19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4'!$C$15:$E$15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4'!$C$19:$E$19</c:f>
              <c:numCache>
                <c:formatCode>#,##0</c:formatCode>
                <c:ptCount val="3"/>
                <c:pt idx="0">
                  <c:v>61</c:v>
                </c:pt>
                <c:pt idx="1">
                  <c:v>140</c:v>
                </c:pt>
                <c:pt idx="2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C-CB49-8BF3-8F7139E2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283584"/>
        <c:axId val="680498128"/>
      </c:barChart>
      <c:catAx>
        <c:axId val="6802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128"/>
        <c:crosses val="autoZero"/>
        <c:auto val="1"/>
        <c:lblAlgn val="ctr"/>
        <c:lblOffset val="100"/>
        <c:noMultiLvlLbl val="0"/>
      </c:catAx>
      <c:valAx>
        <c:axId val="68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quantities</a:t>
                </a:r>
              </a:p>
            </c:rich>
          </c:tx>
          <c:layout>
            <c:manualLayout>
              <c:xMode val="edge"/>
              <c:yMode val="edge"/>
              <c:x val="7.098765432098765E-2"/>
              <c:y val="0.23086759988334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35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Total (3-Year) Equipment</a:t>
            </a:r>
            <a:r>
              <a:rPr lang="en-US" sz="1200" baseline="0"/>
              <a:t> Needs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Summary!$B$46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Summary!$C$45:$F$45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Summary!$C$46:$F$46</c:f>
              <c:numCache>
                <c:formatCode>#,##0</c:formatCode>
                <c:ptCount val="4"/>
                <c:pt idx="0">
                  <c:v>2158</c:v>
                </c:pt>
                <c:pt idx="1">
                  <c:v>1180</c:v>
                </c:pt>
                <c:pt idx="2">
                  <c:v>1754</c:v>
                </c:pt>
                <c:pt idx="3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6-B84F-AAC1-410293D86C1D}"/>
            </c:ext>
          </c:extLst>
        </c:ser>
        <c:ser>
          <c:idx val="1"/>
          <c:order val="1"/>
          <c:tx>
            <c:strRef>
              <c:f>Summary!$B$47</c:f>
              <c:strCache>
                <c:ptCount val="1"/>
                <c:pt idx="0">
                  <c:v>Router Cards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Summary!$C$45:$F$45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Summary!$C$47:$F$47</c:f>
              <c:numCache>
                <c:formatCode>#,##0</c:formatCode>
                <c:ptCount val="4"/>
                <c:pt idx="0">
                  <c:v>1514</c:v>
                </c:pt>
                <c:pt idx="1">
                  <c:v>1127</c:v>
                </c:pt>
                <c:pt idx="2">
                  <c:v>1256</c:v>
                </c:pt>
                <c:pt idx="3">
                  <c:v>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6-B84F-AAC1-410293D86C1D}"/>
            </c:ext>
          </c:extLst>
        </c:ser>
        <c:ser>
          <c:idx val="2"/>
          <c:order val="2"/>
          <c:tx>
            <c:strRef>
              <c:f>Summary!$B$48</c:f>
              <c:strCache>
                <c:ptCount val="1"/>
                <c:pt idx="0">
                  <c:v>Router Shelves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Summary!$C$45:$F$45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Summary!$C$48:$F$48</c:f>
              <c:numCache>
                <c:formatCode>#,##0</c:formatCode>
                <c:ptCount val="4"/>
                <c:pt idx="0">
                  <c:v>54</c:v>
                </c:pt>
                <c:pt idx="1">
                  <c:v>46</c:v>
                </c:pt>
                <c:pt idx="2">
                  <c:v>40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6-B84F-AAC1-410293D86C1D}"/>
            </c:ext>
          </c:extLst>
        </c:ser>
        <c:ser>
          <c:idx val="3"/>
          <c:order val="3"/>
          <c:tx>
            <c:strRef>
              <c:f>Summary!$B$49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Summary!$C$45:$F$45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Summary!$C$49:$F$49</c:f>
              <c:numCache>
                <c:formatCode>#,##0</c:formatCode>
                <c:ptCount val="4"/>
                <c:pt idx="0">
                  <c:v>365</c:v>
                </c:pt>
                <c:pt idx="1">
                  <c:v>261</c:v>
                </c:pt>
                <c:pt idx="2">
                  <c:v>294</c:v>
                </c:pt>
                <c:pt idx="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6-B84F-AAC1-410293D8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593200"/>
        <c:axId val="706145632"/>
      </c:barChart>
      <c:catAx>
        <c:axId val="7255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5632"/>
        <c:crosses val="autoZero"/>
        <c:auto val="1"/>
        <c:lblAlgn val="ctr"/>
        <c:lblOffset val="100"/>
        <c:noMultiLvlLbl val="0"/>
      </c:catAx>
      <c:valAx>
        <c:axId val="7061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Musify Total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Profile'!$B$4</c:f>
              <c:strCache>
                <c:ptCount val="1"/>
                <c:pt idx="0">
                  <c:v>Total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'User Profile'!$A$5:$A$11</c:f>
              <c:numCache>
                <c:formatCode>mmm\-yy</c:formatCode>
                <c:ptCount val="7"/>
                <c:pt idx="0">
                  <c:v>44197</c:v>
                </c:pt>
                <c:pt idx="1">
                  <c:v>44378</c:v>
                </c:pt>
                <c:pt idx="2">
                  <c:v>44562</c:v>
                </c:pt>
                <c:pt idx="3">
                  <c:v>44743</c:v>
                </c:pt>
                <c:pt idx="4">
                  <c:v>44927</c:v>
                </c:pt>
                <c:pt idx="5">
                  <c:v>45108</c:v>
                </c:pt>
                <c:pt idx="6">
                  <c:v>45292</c:v>
                </c:pt>
              </c:numCache>
            </c:numRef>
          </c:cat>
          <c:val>
            <c:numRef>
              <c:f>'User Profile'!$B$5:$B$11</c:f>
              <c:numCache>
                <c:formatCode>_(* #,##0_);_(* \(#,##0\);_(* "-"??_);_(@_)</c:formatCode>
                <c:ptCount val="7"/>
                <c:pt idx="0">
                  <c:v>5000000</c:v>
                </c:pt>
                <c:pt idx="1">
                  <c:v>6670000</c:v>
                </c:pt>
                <c:pt idx="2">
                  <c:v>8890000</c:v>
                </c:pt>
                <c:pt idx="3">
                  <c:v>11850000</c:v>
                </c:pt>
                <c:pt idx="4">
                  <c:v>15800000</c:v>
                </c:pt>
                <c:pt idx="5">
                  <c:v>21070000</c:v>
                </c:pt>
                <c:pt idx="6">
                  <c:v>28090000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1-ED40-845C-F278B73272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228048"/>
        <c:axId val="150229728"/>
      </c:barChart>
      <c:dateAx>
        <c:axId val="150228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9728"/>
        <c:crosses val="autoZero"/>
        <c:auto val="1"/>
        <c:lblOffset val="100"/>
        <c:baseTimeUnit val="months"/>
      </c:dateAx>
      <c:valAx>
        <c:axId val="1502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Musify Active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Profile'!$F$4</c:f>
              <c:strCache>
                <c:ptCount val="1"/>
                <c:pt idx="0">
                  <c:v>Average Active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'User Profile'!$A$5:$A$11</c:f>
              <c:numCache>
                <c:formatCode>mmm\-yy</c:formatCode>
                <c:ptCount val="7"/>
                <c:pt idx="0">
                  <c:v>44197</c:v>
                </c:pt>
                <c:pt idx="1">
                  <c:v>44378</c:v>
                </c:pt>
                <c:pt idx="2">
                  <c:v>44562</c:v>
                </c:pt>
                <c:pt idx="3">
                  <c:v>44743</c:v>
                </c:pt>
                <c:pt idx="4">
                  <c:v>44927</c:v>
                </c:pt>
                <c:pt idx="5">
                  <c:v>45108</c:v>
                </c:pt>
                <c:pt idx="6">
                  <c:v>45292</c:v>
                </c:pt>
              </c:numCache>
            </c:numRef>
          </c:cat>
          <c:val>
            <c:numRef>
              <c:f>'User Profile'!$F$5:$F$11</c:f>
              <c:numCache>
                <c:formatCode>_(* #,##0_);_(* \(#,##0\);_(* "-"??_);_(@_)</c:formatCode>
                <c:ptCount val="7"/>
                <c:pt idx="0">
                  <c:v>1500000</c:v>
                </c:pt>
                <c:pt idx="1">
                  <c:v>2001000</c:v>
                </c:pt>
                <c:pt idx="2">
                  <c:v>4000500</c:v>
                </c:pt>
                <c:pt idx="3">
                  <c:v>5332500</c:v>
                </c:pt>
                <c:pt idx="4">
                  <c:v>9480000</c:v>
                </c:pt>
                <c:pt idx="5">
                  <c:v>12642000</c:v>
                </c:pt>
                <c:pt idx="6">
                  <c:v>16854000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A-F748-9090-F164EA3D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677456"/>
        <c:axId val="150459072"/>
      </c:barChart>
      <c:dateAx>
        <c:axId val="133677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9072"/>
        <c:crosses val="autoZero"/>
        <c:auto val="1"/>
        <c:lblOffset val="100"/>
        <c:baseTimeUnit val="months"/>
      </c:dateAx>
      <c:valAx>
        <c:axId val="150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Annual</a:t>
            </a:r>
            <a:r>
              <a:rPr lang="en-US" sz="1200" baseline="0"/>
              <a:t> Compute Needs (TPS)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'CPU (Workload)'!$K$25</c:f>
              <c:strCache>
                <c:ptCount val="1"/>
                <c:pt idx="0">
                  <c:v>Streaming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'CPU (Workload)'!$J$26:$J$28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'CPU (Workload)'!$K$26:$K$28</c:f>
              <c:numCache>
                <c:formatCode>_(* #,##0.00_);_(* \(#,##0.00\);_(* "-"??_);_(@_)</c:formatCode>
                <c:ptCount val="3"/>
                <c:pt idx="0">
                  <c:v>8384.3812499999985</c:v>
                </c:pt>
                <c:pt idx="1">
                  <c:v>19868.499999999996</c:v>
                </c:pt>
                <c:pt idx="2">
                  <c:v>35323.174999999996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5-CA46-A898-9EF04255456A}"/>
            </c:ext>
          </c:extLst>
        </c:ser>
        <c:ser>
          <c:idx val="1"/>
          <c:order val="1"/>
          <c:tx>
            <c:strRef>
              <c:f>'CPU (Workload)'!$L$25</c:f>
              <c:strCache>
                <c:ptCount val="1"/>
                <c:pt idx="0">
                  <c:v>Downloads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'CPU (Workload)'!$J$26:$J$28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'CPU (Workload)'!$L$26:$L$28</c:f>
              <c:numCache>
                <c:formatCode>_(* #,##0.00_);_(* \(#,##0.00\);_(* "-"??_);_(@_)</c:formatCode>
                <c:ptCount val="3"/>
                <c:pt idx="0">
                  <c:v>1397.3968749999999</c:v>
                </c:pt>
                <c:pt idx="1">
                  <c:v>3311.4166666666665</c:v>
                </c:pt>
                <c:pt idx="2">
                  <c:v>5887.1958333333332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5-CA46-A898-9EF04255456A}"/>
            </c:ext>
          </c:extLst>
        </c:ser>
        <c:ser>
          <c:idx val="2"/>
          <c:order val="2"/>
          <c:tx>
            <c:strRef>
              <c:f>'CPU (Workload)'!$M$25</c:f>
              <c:strCache>
                <c:ptCount val="1"/>
                <c:pt idx="0">
                  <c:v>Permission Requests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'CPU (Workload)'!$J$26:$J$28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'CPU (Workload)'!$M$26:$M$28</c:f>
              <c:numCache>
                <c:formatCode>_(* #,##0.00_);_(* \(#,##0.00\);_(* "-"??_);_(@_)</c:formatCode>
                <c:ptCount val="3"/>
                <c:pt idx="0">
                  <c:v>5589.5874999999996</c:v>
                </c:pt>
                <c:pt idx="1">
                  <c:v>13245.666666666666</c:v>
                </c:pt>
                <c:pt idx="2">
                  <c:v>23548.783333333333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5-CA46-A898-9EF04255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0971232"/>
        <c:axId val="725524128"/>
        <c:axId val="0"/>
      </c:bar3DChart>
      <c:catAx>
        <c:axId val="7109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4128"/>
        <c:crosses val="autoZero"/>
        <c:auto val="1"/>
        <c:lblAlgn val="ctr"/>
        <c:lblOffset val="100"/>
        <c:noMultiLvlLbl val="0"/>
      </c:catAx>
      <c:valAx>
        <c:axId val="7255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Annual</a:t>
            </a:r>
            <a:r>
              <a:rPr lang="en-US" sz="1200" baseline="0"/>
              <a:t> Bandwidth Needs (Gbps)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Bandwidth!$T$4</c:f>
              <c:strCache>
                <c:ptCount val="1"/>
                <c:pt idx="0">
                  <c:v>Streaming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Bandwidth!$S$5:$S$7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Bandwidth!$T$5:$T$7</c:f>
              <c:numCache>
                <c:formatCode>_(* #,##0.00_);_(* \(#,##0.00\);_(* "-"??_);_(@_)</c:formatCode>
                <c:ptCount val="3"/>
                <c:pt idx="0">
                  <c:v>298.77910271999997</c:v>
                </c:pt>
                <c:pt idx="1">
                  <c:v>708.01797119999981</c:v>
                </c:pt>
                <c:pt idx="2">
                  <c:v>1258.7484057599997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6-8042-A7E2-BD1D2FE9594A}"/>
            </c:ext>
          </c:extLst>
        </c:ser>
        <c:ser>
          <c:idx val="1"/>
          <c:order val="1"/>
          <c:tx>
            <c:strRef>
              <c:f>Bandwidth!$U$4</c:f>
              <c:strCache>
                <c:ptCount val="1"/>
                <c:pt idx="0">
                  <c:v>Downloads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Bandwidth!$S$5:$S$7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Bandwidth!$U$5:$U$7</c:f>
              <c:numCache>
                <c:formatCode>_(* #,##0.00_);_(* \(#,##0.00\);_(* "-"??_);_(@_)</c:formatCode>
                <c:ptCount val="3"/>
                <c:pt idx="0">
                  <c:v>80.490059999999986</c:v>
                </c:pt>
                <c:pt idx="1">
                  <c:v>190.73759999999999</c:v>
                </c:pt>
                <c:pt idx="2">
                  <c:v>339.10247999999996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6-8042-A7E2-BD1D2FE9594A}"/>
            </c:ext>
          </c:extLst>
        </c:ser>
        <c:ser>
          <c:idx val="2"/>
          <c:order val="2"/>
          <c:tx>
            <c:strRef>
              <c:f>Bandwidth!$V$4</c:f>
              <c:strCache>
                <c:ptCount val="1"/>
                <c:pt idx="0">
                  <c:v>Permission Requests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Bandwidth!$S$5:$S$7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Bandwidth!$V$5:$V$7</c:f>
              <c:numCache>
                <c:formatCode>_(* #,##0.00_);_(* \(#,##0.00\);_(* "-"??_);_(@_)</c:formatCode>
                <c:ptCount val="3"/>
                <c:pt idx="0">
                  <c:v>8.9433399999999992</c:v>
                </c:pt>
                <c:pt idx="1">
                  <c:v>21.193066666666667</c:v>
                </c:pt>
                <c:pt idx="2">
                  <c:v>37.678053333333331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6-8042-A7E2-BD1D2FE9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0645872"/>
        <c:axId val="625356592"/>
        <c:axId val="0"/>
      </c:bar3DChart>
      <c:catAx>
        <c:axId val="7106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56592"/>
        <c:crossesAt val="0"/>
        <c:auto val="1"/>
        <c:lblAlgn val="ctr"/>
        <c:lblOffset val="100"/>
        <c:noMultiLvlLbl val="0"/>
      </c:catAx>
      <c:valAx>
        <c:axId val="625356592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45872"/>
        <c:crosses val="autoZero"/>
        <c:crossBetween val="between"/>
        <c:majorUnit val="200"/>
        <c:min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Annual Memory</a:t>
            </a:r>
            <a:r>
              <a:rPr lang="en-US" sz="1200" baseline="0"/>
              <a:t> (RAM) Needs (GB)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Memory!$V$5</c:f>
              <c:strCache>
                <c:ptCount val="1"/>
                <c:pt idx="0">
                  <c:v>Streaming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Memory!$U$6:$U$8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Memory!$V$6:$V$8</c:f>
              <c:numCache>
                <c:formatCode>_(* #,##0.00_);_(* \(#,##0.00\);_(* "-"??_);_(@_)</c:formatCode>
                <c:ptCount val="3"/>
                <c:pt idx="0">
                  <c:v>22.537216799999996</c:v>
                </c:pt>
                <c:pt idx="1">
                  <c:v>53.406527999999994</c:v>
                </c:pt>
                <c:pt idx="2">
                  <c:v>94.948694399999994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B-854D-B9F3-AE6229607BDE}"/>
            </c:ext>
          </c:extLst>
        </c:ser>
        <c:ser>
          <c:idx val="1"/>
          <c:order val="1"/>
          <c:tx>
            <c:strRef>
              <c:f>Memory!$W$5</c:f>
              <c:strCache>
                <c:ptCount val="1"/>
                <c:pt idx="0">
                  <c:v>Downloads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Memory!$U$6:$U$8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Memory!$W$6:$W$8</c:f>
              <c:numCache>
                <c:formatCode>_(* #,##0.00_);_(* \(#,##0.00\);_(* "-"??_);_(@_)</c:formatCode>
                <c:ptCount val="3"/>
                <c:pt idx="0">
                  <c:v>10.061257499999998</c:v>
                </c:pt>
                <c:pt idx="1">
                  <c:v>23.842199999999998</c:v>
                </c:pt>
                <c:pt idx="2">
                  <c:v>42.387809999999995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B-854D-B9F3-AE6229607BDE}"/>
            </c:ext>
          </c:extLst>
        </c:ser>
        <c:ser>
          <c:idx val="2"/>
          <c:order val="2"/>
          <c:tx>
            <c:strRef>
              <c:f>Memory!$X$5</c:f>
              <c:strCache>
                <c:ptCount val="1"/>
                <c:pt idx="0">
                  <c:v>Permission Requests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Memory!$U$6:$U$8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Memory!$X$6:$X$8</c:f>
              <c:numCache>
                <c:formatCode>_(* #,##0.00_);_(* \(#,##0.00\);_(* "-"??_);_(@_)</c:formatCode>
                <c:ptCount val="3"/>
                <c:pt idx="0">
                  <c:v>1.1179174999999999</c:v>
                </c:pt>
                <c:pt idx="1">
                  <c:v>2.6491333333333333</c:v>
                </c:pt>
                <c:pt idx="2">
                  <c:v>4.7097566666666664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B-854D-B9F3-AE622960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1485312"/>
        <c:axId val="709760160"/>
        <c:axId val="0"/>
      </c:bar3DChart>
      <c:catAx>
        <c:axId val="711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60160"/>
        <c:crosses val="autoZero"/>
        <c:auto val="1"/>
        <c:lblAlgn val="ctr"/>
        <c:lblOffset val="100"/>
        <c:noMultiLvlLbl val="0"/>
      </c:catAx>
      <c:valAx>
        <c:axId val="7097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Scenario 1 - Annual Cost (Equip</a:t>
            </a:r>
            <a:r>
              <a:rPr lang="en-US" sz="1200" baseline="0"/>
              <a:t> + Ops)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'Scenario 1'!$B$21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1'!$C$20:$E$20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1'!$C$21:$E$21</c:f>
              <c:numCache>
                <c:formatCode>_("$"* #,##0_);_("$"* \(#,##0\);_("$"* "-"??_);_(@_)</c:formatCode>
                <c:ptCount val="3"/>
                <c:pt idx="0">
                  <c:v>1880000</c:v>
                </c:pt>
                <c:pt idx="1">
                  <c:v>1148163</c:v>
                </c:pt>
                <c:pt idx="2">
                  <c:v>2149102.2599999998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1-3B4E-A418-B9B4F9385B66}"/>
            </c:ext>
          </c:extLst>
        </c:ser>
        <c:ser>
          <c:idx val="1"/>
          <c:order val="1"/>
          <c:tx>
            <c:strRef>
              <c:f>'Scenario 1'!$B$22</c:f>
              <c:strCache>
                <c:ptCount val="1"/>
                <c:pt idx="0">
                  <c:v>Routers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1'!$C$20:$E$20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1'!$C$22:$E$22</c:f>
              <c:numCache>
                <c:formatCode>_("$"* #,##0_);_("$"* \(#,##0\);_("$"* "-"??_);_(@_)</c:formatCode>
                <c:ptCount val="3"/>
                <c:pt idx="0">
                  <c:v>3420000</c:v>
                </c:pt>
                <c:pt idx="1">
                  <c:v>2251000</c:v>
                </c:pt>
                <c:pt idx="2">
                  <c:v>3951000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D1-3B4E-A418-B9B4F9385B66}"/>
            </c:ext>
          </c:extLst>
        </c:ser>
        <c:ser>
          <c:idx val="2"/>
          <c:order val="2"/>
          <c:tx>
            <c:strRef>
              <c:f>'Scenario 1'!$B$23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1'!$C$20:$E$20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1'!$C$23:$E$23</c:f>
              <c:numCache>
                <c:formatCode>_("$"* #,##0_);_("$"* \(#,##0\);_("$"* "-"??_);_(@_)</c:formatCode>
                <c:ptCount val="3"/>
                <c:pt idx="0">
                  <c:v>675000</c:v>
                </c:pt>
                <c:pt idx="1">
                  <c:v>405000</c:v>
                </c:pt>
                <c:pt idx="2">
                  <c:v>745000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D1-3B4E-A418-B9B4F9385B66}"/>
            </c:ext>
          </c:extLst>
        </c:ser>
        <c:ser>
          <c:idx val="3"/>
          <c:order val="3"/>
          <c:tx>
            <c:strRef>
              <c:f>'Scenario 1'!$B$26</c:f>
              <c:strCache>
                <c:ptCount val="1"/>
                <c:pt idx="0">
                  <c:v>Power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1'!$C$20:$E$20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1'!$C$26:$E$26</c:f>
              <c:numCache>
                <c:formatCode>_("$"* #,##0_);_("$"* \(#,##0\);_("$"* "-"??_);_(@_)</c:formatCode>
                <c:ptCount val="3"/>
                <c:pt idx="0">
                  <c:v>232534.31960000002</c:v>
                </c:pt>
                <c:pt idx="1">
                  <c:v>376659.4056</c:v>
                </c:pt>
                <c:pt idx="2">
                  <c:v>636881.56880000001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D1-3B4E-A418-B9B4F9385B66}"/>
            </c:ext>
          </c:extLst>
        </c:ser>
        <c:ser>
          <c:idx val="4"/>
          <c:order val="4"/>
          <c:tx>
            <c:strRef>
              <c:f>'Scenario 1'!$B$27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1'!$C$20:$E$20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1'!$C$27:$E$27</c:f>
              <c:numCache>
                <c:formatCode>_("$"* #,##0_);_("$"* \(#,##0\);_("$"* "-"??_);_(@_)</c:formatCode>
                <c:ptCount val="3"/>
                <c:pt idx="0">
                  <c:v>2028000</c:v>
                </c:pt>
                <c:pt idx="1">
                  <c:v>2088840</c:v>
                </c:pt>
                <c:pt idx="2">
                  <c:v>2151505.2000000002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D1-3B4E-A418-B9B4F9385B66}"/>
            </c:ext>
          </c:extLst>
        </c:ser>
        <c:ser>
          <c:idx val="5"/>
          <c:order val="5"/>
          <c:tx>
            <c:strRef>
              <c:f>'Scenario 1'!$B$28</c:f>
              <c:strCache>
                <c:ptCount val="1"/>
                <c:pt idx="0">
                  <c:v>Other Expenses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1'!$C$20:$E$20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1'!$C$28:$E$28</c:f>
              <c:numCache>
                <c:formatCode>_("$"* #,##0_);_("$"* \(#,##0\);_("$"* "-"??_);_(@_)</c:formatCode>
                <c:ptCount val="3"/>
                <c:pt idx="0">
                  <c:v>859628.54255064356</c:v>
                </c:pt>
                <c:pt idx="1">
                  <c:v>2700158.3821026436</c:v>
                </c:pt>
                <c:pt idx="2">
                  <c:v>3876370.2305186437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D1-3B4E-A418-B9B4F938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499968"/>
        <c:axId val="686465488"/>
      </c:barChart>
      <c:catAx>
        <c:axId val="6614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65488"/>
        <c:crosses val="autoZero"/>
        <c:auto val="1"/>
        <c:lblAlgn val="ctr"/>
        <c:lblOffset val="100"/>
        <c:noMultiLvlLbl val="0"/>
      </c:catAx>
      <c:valAx>
        <c:axId val="686465488"/>
        <c:scaling>
          <c:orientation val="minMax"/>
          <c:max val="1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Scenario 1 - Total</a:t>
            </a:r>
            <a:r>
              <a:rPr lang="en-US" sz="1200" baseline="0"/>
              <a:t> (CUM) Resources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'Scenario 1'!$B$13</c:f>
              <c:strCache>
                <c:ptCount val="1"/>
                <c:pt idx="0">
                  <c:v>Servers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1'!$C$12:$E$12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1'!$C$13:$E$13</c:f>
              <c:numCache>
                <c:formatCode>0</c:formatCode>
                <c:ptCount val="3"/>
                <c:pt idx="0">
                  <c:v>800</c:v>
                </c:pt>
                <c:pt idx="1">
                  <c:v>1279</c:v>
                </c:pt>
                <c:pt idx="2" formatCode="#,##0">
                  <c:v>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8-3642-86B2-A55795F48E16}"/>
            </c:ext>
          </c:extLst>
        </c:ser>
        <c:ser>
          <c:idx val="1"/>
          <c:order val="1"/>
          <c:tx>
            <c:strRef>
              <c:f>'Scenario 1'!$B$14</c:f>
              <c:strCache>
                <c:ptCount val="1"/>
                <c:pt idx="0">
                  <c:v>Router Cards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1'!$C$12:$E$12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1'!$C$14:$E$14</c:f>
              <c:numCache>
                <c:formatCode>#,##0</c:formatCode>
                <c:ptCount val="3"/>
                <c:pt idx="0">
                  <c:v>532</c:v>
                </c:pt>
                <c:pt idx="1">
                  <c:v>891</c:v>
                </c:pt>
                <c:pt idx="2">
                  <c:v>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8-3642-86B2-A55795F48E16}"/>
            </c:ext>
          </c:extLst>
        </c:ser>
        <c:ser>
          <c:idx val="2"/>
          <c:order val="2"/>
          <c:tx>
            <c:strRef>
              <c:f>'Scenario 1'!$B$15</c:f>
              <c:strCache>
                <c:ptCount val="1"/>
                <c:pt idx="0">
                  <c:v>Router Shelves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1'!$C$12:$E$12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1'!$C$15:$E$15</c:f>
              <c:numCache>
                <c:formatCode>#,##0</c:formatCode>
                <c:ptCount val="3"/>
                <c:pt idx="0">
                  <c:v>20</c:v>
                </c:pt>
                <c:pt idx="1">
                  <c:v>32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8-3642-86B2-A55795F48E16}"/>
            </c:ext>
          </c:extLst>
        </c:ser>
        <c:ser>
          <c:idx val="3"/>
          <c:order val="3"/>
          <c:tx>
            <c:strRef>
              <c:f>'Scenario 1'!$B$16</c:f>
              <c:strCache>
                <c:ptCount val="1"/>
                <c:pt idx="0">
                  <c:v>Racks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'Scenario 1'!$C$12:$E$12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'Scenario 1'!$C$16:$E$16</c:f>
              <c:numCache>
                <c:formatCode>#,##0</c:formatCode>
                <c:ptCount val="3"/>
                <c:pt idx="0">
                  <c:v>135</c:v>
                </c:pt>
                <c:pt idx="1">
                  <c:v>216</c:v>
                </c:pt>
                <c:pt idx="2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8-3642-86B2-A55795F4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283584"/>
        <c:axId val="680498128"/>
      </c:barChart>
      <c:catAx>
        <c:axId val="6802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8128"/>
        <c:crosses val="autoZero"/>
        <c:auto val="1"/>
        <c:lblAlgn val="ctr"/>
        <c:lblOffset val="100"/>
        <c:noMultiLvlLbl val="0"/>
      </c:catAx>
      <c:valAx>
        <c:axId val="68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quantities</a:t>
                </a:r>
              </a:p>
            </c:rich>
          </c:tx>
          <c:layout>
            <c:manualLayout>
              <c:xMode val="edge"/>
              <c:yMode val="edge"/>
              <c:x val="7.098765432098765E-2"/>
              <c:y val="0.23086759988334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35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72569</xdr:colOff>
      <xdr:row>25</xdr:row>
      <xdr:rowOff>34472</xdr:rowOff>
    </xdr:from>
    <xdr:to>
      <xdr:col>13</xdr:col>
      <xdr:colOff>103672</xdr:colOff>
      <xdr:row>39</xdr:row>
      <xdr:rowOff>77755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B2B91-C61A-E242-93D5-7F3723A8E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81644</xdr:colOff>
      <xdr:row>40</xdr:row>
      <xdr:rowOff>197758</xdr:rowOff>
    </xdr:from>
    <xdr:to>
      <xdr:col>13</xdr:col>
      <xdr:colOff>108858</xdr:colOff>
      <xdr:row>54</xdr:row>
      <xdr:rowOff>101601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18B179-6E7A-8C4C-9C1A-E29CDA969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17990</xdr:colOff>
      <xdr:row>3</xdr:row>
      <xdr:rowOff>13760</xdr:rowOff>
    </xdr:from>
    <xdr:to>
      <xdr:col>13</xdr:col>
      <xdr:colOff>825499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ED485-DED8-7B42-85E4-9F3EC5C5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13759</xdr:colOff>
      <xdr:row>3</xdr:row>
      <xdr:rowOff>9526</xdr:rowOff>
    </xdr:from>
    <xdr:to>
      <xdr:col>19</xdr:col>
      <xdr:colOff>552239</xdr:colOff>
      <xdr:row>14</xdr:row>
      <xdr:rowOff>37042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25B66-4D5B-B742-B742-8B77CBAC8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1</xdr:row>
      <xdr:rowOff>25400</xdr:rowOff>
    </xdr:from>
    <xdr:to>
      <xdr:col>15</xdr:col>
      <xdr:colOff>150316</xdr:colOff>
      <xdr:row>17</xdr:row>
      <xdr:rowOff>203200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D38EFE-7901-9C41-867E-27ED482F2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330200"/>
          <a:ext cx="5916116" cy="3543300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>
    <xdr:from>
      <xdr:col>8</xdr:col>
      <xdr:colOff>488950</xdr:colOff>
      <xdr:row>29</xdr:row>
      <xdr:rowOff>184150</xdr:rowOff>
    </xdr:from>
    <xdr:to>
      <xdr:col>13</xdr:col>
      <xdr:colOff>476250</xdr:colOff>
      <xdr:row>43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C59C5-64EA-9149-B139-97370EA1F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438150</xdr:colOff>
      <xdr:row>9</xdr:row>
      <xdr:rowOff>6350</xdr:rowOff>
    </xdr:from>
    <xdr:to>
      <xdr:col>21</xdr:col>
      <xdr:colOff>1047750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2A28A-A0D6-5D4C-8AFC-5E181E89D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323850</xdr:colOff>
      <xdr:row>11</xdr:row>
      <xdr:rowOff>120650</xdr:rowOff>
    </xdr:from>
    <xdr:to>
      <xdr:col>24</xdr:col>
      <xdr:colOff>247650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1BD18-353A-6047-B0CC-12648B6AC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12520</xdr:colOff>
      <xdr:row>17</xdr:row>
      <xdr:rowOff>5724</xdr:rowOff>
    </xdr:from>
    <xdr:to>
      <xdr:col>10</xdr:col>
      <xdr:colOff>36106</xdr:colOff>
      <xdr:row>30</xdr:row>
      <xdr:rowOff>90995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8A19EC-37AC-CC4F-ACA2-63F42ECE2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18142</xdr:colOff>
      <xdr:row>3</xdr:row>
      <xdr:rowOff>116115</xdr:rowOff>
    </xdr:from>
    <xdr:to>
      <xdr:col>10</xdr:col>
      <xdr:colOff>41728</xdr:colOff>
      <xdr:row>16</xdr:row>
      <xdr:rowOff>1815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3C1624-38D8-2740-9EA5-44ED7DEC8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822569</xdr:colOff>
      <xdr:row>26</xdr:row>
      <xdr:rowOff>25401</xdr:rowOff>
    </xdr:from>
    <xdr:to>
      <xdr:col>10</xdr:col>
      <xdr:colOff>12700</xdr:colOff>
      <xdr:row>40</xdr:row>
      <xdr:rowOff>41033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E39F05-2EF4-134A-9E3E-DC0E8C795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4884</xdr:colOff>
      <xdr:row>9</xdr:row>
      <xdr:rowOff>177800</xdr:rowOff>
    </xdr:from>
    <xdr:to>
      <xdr:col>10</xdr:col>
      <xdr:colOff>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C754DD-6303-9244-AAA0-48806303D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10</xdr:col>
      <xdr:colOff>533400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D2896-85F0-5042-B427-CA5FE7832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254000</xdr:rowOff>
    </xdr:from>
    <xdr:to>
      <xdr:col>10</xdr:col>
      <xdr:colOff>533400</xdr:colOff>
      <xdr:row>17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BD1618-B039-554A-AA8C-4A90707DD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25</xdr:row>
      <xdr:rowOff>0</xdr:rowOff>
    </xdr:from>
    <xdr:to>
      <xdr:col>10</xdr:col>
      <xdr:colOff>533400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02365-2254-2242-BC2B-FD4FDB39E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11</xdr:col>
      <xdr:colOff>584200</xdr:colOff>
      <xdr:row>21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6D0E30-4BE7-364A-807D-8212AB447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9"/>
  <sheetViews>
    <sheetView tabSelected="1" zoomScale="49" zoomScaleNormal="100" workbookViewId="0">
      <selection activeCell="Q40" sqref="Q40"/>
    </sheetView>
  </sheetViews>
  <sheetFormatPr defaultColWidth="10.6640625" defaultRowHeight="15.5" x14ac:dyDescent="0.35"/>
  <cols>
    <col min="1" max="1" width="10.83203125" style="8"/>
    <col min="2" max="2" width="17" bestFit="1" customWidth="1"/>
    <col min="3" max="3" width="12.83203125" customWidth="1"/>
    <col min="4" max="6" width="12.6640625" customWidth="1"/>
    <col min="7" max="7" width="10.5" bestFit="1" customWidth="1"/>
    <col min="8" max="8" width="17" bestFit="1" customWidth="1"/>
    <col min="9" max="9" width="12.83203125" customWidth="1"/>
    <col min="10" max="11" width="11.5" customWidth="1"/>
    <col min="12" max="12" width="12.83203125" bestFit="1" customWidth="1"/>
    <col min="16" max="16" width="12.83203125" bestFit="1" customWidth="1"/>
  </cols>
  <sheetData>
    <row r="2" spans="1:16" ht="21" x14ac:dyDescent="0.5">
      <c r="A2" s="331" t="s">
        <v>351</v>
      </c>
    </row>
    <row r="3" spans="1:16" ht="18" customHeight="1" thickBot="1" x14ac:dyDescent="0.4">
      <c r="A3" s="353" t="s">
        <v>348</v>
      </c>
      <c r="B3" s="353" t="s">
        <v>349</v>
      </c>
      <c r="C3" s="354" t="s">
        <v>50</v>
      </c>
      <c r="D3" s="354" t="s">
        <v>51</v>
      </c>
      <c r="E3" s="354" t="s">
        <v>52</v>
      </c>
      <c r="F3" s="354" t="s">
        <v>99</v>
      </c>
      <c r="G3" s="353" t="s">
        <v>348</v>
      </c>
      <c r="H3" s="353" t="s">
        <v>349</v>
      </c>
      <c r="I3" s="354" t="s">
        <v>50</v>
      </c>
      <c r="J3" s="354" t="s">
        <v>51</v>
      </c>
      <c r="K3" s="354" t="s">
        <v>52</v>
      </c>
      <c r="L3" s="354" t="s">
        <v>99</v>
      </c>
    </row>
    <row r="4" spans="1:16" ht="17" customHeight="1" x14ac:dyDescent="0.35">
      <c r="A4" s="404" t="s">
        <v>364</v>
      </c>
      <c r="B4" s="333">
        <f>SUM(F5,F9)</f>
        <v>52021924.629836306</v>
      </c>
      <c r="C4" s="334"/>
      <c r="D4" s="334"/>
      <c r="E4" s="334"/>
      <c r="F4" s="335"/>
      <c r="G4" s="404" t="s">
        <v>369</v>
      </c>
      <c r="H4" s="333">
        <f>SUM(L5,L9)</f>
        <v>44458596.257964432</v>
      </c>
      <c r="I4" s="334"/>
      <c r="J4" s="334"/>
      <c r="K4" s="334"/>
      <c r="L4" s="335"/>
    </row>
    <row r="5" spans="1:16" x14ac:dyDescent="0.35">
      <c r="A5" s="405"/>
      <c r="B5" s="336" t="s">
        <v>108</v>
      </c>
      <c r="C5" s="337">
        <f>SUM(C6:C8)</f>
        <v>5975000</v>
      </c>
      <c r="D5" s="337">
        <f t="shared" ref="D5:F5" si="0">SUM(D6:D8)</f>
        <v>3804163</v>
      </c>
      <c r="E5" s="337">
        <f t="shared" si="0"/>
        <v>6845102.2599999998</v>
      </c>
      <c r="F5" s="338">
        <f t="shared" si="0"/>
        <v>16624265.26</v>
      </c>
      <c r="G5" s="405"/>
      <c r="H5" s="336" t="s">
        <v>108</v>
      </c>
      <c r="I5" s="337">
        <f>SUM(I6:I8)</f>
        <v>4868950</v>
      </c>
      <c r="J5" s="337">
        <f t="shared" ref="J5" si="1">SUM(J6:J8)</f>
        <v>3381122</v>
      </c>
      <c r="K5" s="337">
        <f t="shared" ref="K5" si="2">SUM(K6:K8)</f>
        <v>5225554.74</v>
      </c>
      <c r="L5" s="338">
        <f t="shared" ref="L5" si="3">SUM(L6:L8)</f>
        <v>13475626.74</v>
      </c>
    </row>
    <row r="6" spans="1:16" x14ac:dyDescent="0.35">
      <c r="A6" s="405"/>
      <c r="B6" s="339" t="s">
        <v>82</v>
      </c>
      <c r="C6" s="340">
        <f>'Scenario 1'!C21</f>
        <v>1880000</v>
      </c>
      <c r="D6" s="340">
        <f>'Scenario 1'!D21</f>
        <v>1148163</v>
      </c>
      <c r="E6" s="340">
        <f>'Scenario 1'!E21</f>
        <v>2149102.2599999998</v>
      </c>
      <c r="F6" s="341">
        <f>SUM(C6:E6)</f>
        <v>5177265.26</v>
      </c>
      <c r="G6" s="405"/>
      <c r="H6" s="339" t="s">
        <v>82</v>
      </c>
      <c r="I6" s="340">
        <f>'Scenario 3'!C22</f>
        <v>1543950</v>
      </c>
      <c r="J6" s="340">
        <f>'Scenario 3'!D22</f>
        <v>1021122</v>
      </c>
      <c r="K6" s="340">
        <f>'Scenario 3'!E22</f>
        <v>1640554.7400000002</v>
      </c>
      <c r="L6" s="341">
        <f>SUM(I6:K6)</f>
        <v>4205626.74</v>
      </c>
      <c r="P6" s="66"/>
    </row>
    <row r="7" spans="1:16" x14ac:dyDescent="0.35">
      <c r="A7" s="405"/>
      <c r="B7" s="339" t="s">
        <v>350</v>
      </c>
      <c r="C7" s="340">
        <f>'Scenario 1'!C22</f>
        <v>3420000</v>
      </c>
      <c r="D7" s="340">
        <f>'Scenario 1'!D22</f>
        <v>2251000</v>
      </c>
      <c r="E7" s="340">
        <f>'Scenario 1'!E22</f>
        <v>3951000</v>
      </c>
      <c r="F7" s="341">
        <f t="shared" ref="F7:F8" si="4">SUM(C7:E7)</f>
        <v>9622000</v>
      </c>
      <c r="G7" s="405"/>
      <c r="H7" s="339" t="s">
        <v>350</v>
      </c>
      <c r="I7" s="340">
        <f>'Scenario 3'!C23</f>
        <v>2775000</v>
      </c>
      <c r="J7" s="340">
        <f>'Scenario 3'!D23</f>
        <v>2000000</v>
      </c>
      <c r="K7" s="340">
        <f>'Scenario 3'!E23</f>
        <v>3025000</v>
      </c>
      <c r="L7" s="341">
        <f t="shared" ref="L7:L8" si="5">SUM(I7:K7)</f>
        <v>7800000</v>
      </c>
      <c r="P7" s="66"/>
    </row>
    <row r="8" spans="1:16" x14ac:dyDescent="0.35">
      <c r="A8" s="405"/>
      <c r="B8" s="339" t="s">
        <v>109</v>
      </c>
      <c r="C8" s="340">
        <f>'Scenario 1'!C23</f>
        <v>675000</v>
      </c>
      <c r="D8" s="340">
        <f>'Scenario 1'!D23</f>
        <v>405000</v>
      </c>
      <c r="E8" s="340">
        <f>'Scenario 1'!E23</f>
        <v>745000</v>
      </c>
      <c r="F8" s="341">
        <f t="shared" si="4"/>
        <v>1825000</v>
      </c>
      <c r="G8" s="405"/>
      <c r="H8" s="339" t="s">
        <v>109</v>
      </c>
      <c r="I8" s="340">
        <f>'Scenario 3'!C24</f>
        <v>550000</v>
      </c>
      <c r="J8" s="340">
        <f>'Scenario 3'!D24</f>
        <v>360000</v>
      </c>
      <c r="K8" s="340">
        <f>'Scenario 3'!E24</f>
        <v>560000</v>
      </c>
      <c r="L8" s="341">
        <f t="shared" si="5"/>
        <v>1470000</v>
      </c>
      <c r="P8" s="66"/>
    </row>
    <row r="9" spans="1:16" x14ac:dyDescent="0.35">
      <c r="A9" s="405"/>
      <c r="B9" s="342" t="s">
        <v>352</v>
      </c>
      <c r="C9" s="337">
        <f>SUM(C10:C13)</f>
        <v>23567244.582815021</v>
      </c>
      <c r="D9" s="337">
        <f t="shared" ref="D9:F9" si="6">SUM(D10:D13)</f>
        <v>5165657.7877026442</v>
      </c>
      <c r="E9" s="337">
        <f t="shared" si="6"/>
        <v>6664756.9993186444</v>
      </c>
      <c r="F9" s="337">
        <f t="shared" si="6"/>
        <v>35397659.369836308</v>
      </c>
      <c r="G9" s="405"/>
      <c r="H9" s="342" t="s">
        <v>352</v>
      </c>
      <c r="I9" s="337">
        <f>SUM(I10:I13)</f>
        <v>19868492.997259103</v>
      </c>
      <c r="J9" s="337">
        <f t="shared" ref="J9" si="7">SUM(J10:J13)</f>
        <v>4875775.732744664</v>
      </c>
      <c r="K9" s="337">
        <f t="shared" ref="K9" si="8">SUM(K10:K13)</f>
        <v>6238700.7879606634</v>
      </c>
      <c r="L9" s="338">
        <f t="shared" ref="L9" si="9">SUM(L10:L13)</f>
        <v>30982969.51796443</v>
      </c>
      <c r="P9" s="66"/>
    </row>
    <row r="10" spans="1:16" x14ac:dyDescent="0.35">
      <c r="A10" s="405"/>
      <c r="B10" s="339" t="s">
        <v>234</v>
      </c>
      <c r="C10" s="340">
        <f>'Scenario 1'!C26</f>
        <v>232534.31960000002</v>
      </c>
      <c r="D10" s="340">
        <f>'Scenario 1'!D26</f>
        <v>376659.4056</v>
      </c>
      <c r="E10" s="340">
        <f>'Scenario 1'!E26</f>
        <v>636881.56880000001</v>
      </c>
      <c r="F10" s="341">
        <f>SUM(C10:E10)</f>
        <v>1246075.294</v>
      </c>
      <c r="G10" s="405"/>
      <c r="H10" s="339" t="s">
        <v>234</v>
      </c>
      <c r="I10" s="340">
        <f>'Scenario 3'!C27</f>
        <v>190737.38159999999</v>
      </c>
      <c r="J10" s="340">
        <f>'Scenario 3'!D27</f>
        <v>319194.8224</v>
      </c>
      <c r="K10" s="340">
        <f>'Scenario 3'!E27</f>
        <v>518851.02919999999</v>
      </c>
      <c r="L10" s="341">
        <f>SUM(I10:K10)</f>
        <v>1028783.2332</v>
      </c>
    </row>
    <row r="11" spans="1:16" x14ac:dyDescent="0.35">
      <c r="A11" s="405"/>
      <c r="B11" s="339" t="s">
        <v>110</v>
      </c>
      <c r="C11" s="340">
        <f>'Scenario 1'!C27</f>
        <v>2028000</v>
      </c>
      <c r="D11" s="340">
        <f>'Scenario 1'!D27</f>
        <v>2088840</v>
      </c>
      <c r="E11" s="340">
        <f>'Scenario 1'!E27</f>
        <v>2151505.2000000002</v>
      </c>
      <c r="F11" s="341">
        <f>SUM(C11:E11)</f>
        <v>6268345.2000000002</v>
      </c>
      <c r="G11" s="405"/>
      <c r="H11" s="339" t="s">
        <v>110</v>
      </c>
      <c r="I11" s="340">
        <f>'Scenario 3'!C28</f>
        <v>2028000</v>
      </c>
      <c r="J11" s="340">
        <f>'Scenario 3'!D28</f>
        <v>2088840</v>
      </c>
      <c r="K11" s="340">
        <f>'Scenario 3'!E28</f>
        <v>2151505.2000000002</v>
      </c>
      <c r="L11" s="341">
        <f>SUM(I11:K11)</f>
        <v>6268345.2000000002</v>
      </c>
    </row>
    <row r="12" spans="1:16" x14ac:dyDescent="0.35">
      <c r="A12" s="405"/>
      <c r="B12" s="339" t="s">
        <v>363</v>
      </c>
      <c r="C12" s="340">
        <f>'Scenario 1'!C28</f>
        <v>859628.54255064356</v>
      </c>
      <c r="D12" s="340">
        <f>'Scenario 1'!D28</f>
        <v>2700158.3821026436</v>
      </c>
      <c r="E12" s="340">
        <f>'Scenario 1'!E28</f>
        <v>3876370.2305186437</v>
      </c>
      <c r="F12" s="341">
        <f>SUM(C12:E12)</f>
        <v>7436157.1551719308</v>
      </c>
      <c r="G12" s="405"/>
      <c r="H12" s="339" t="s">
        <v>354</v>
      </c>
      <c r="I12" s="340">
        <f>'Scenario 3'!C29</f>
        <v>823421.07079266419</v>
      </c>
      <c r="J12" s="340">
        <f>'Scenario 3'!D29</f>
        <v>2467740.910344664</v>
      </c>
      <c r="K12" s="340">
        <f>'Scenario 3'!E29</f>
        <v>3568344.558760664</v>
      </c>
      <c r="L12" s="341">
        <f>SUM(I12:K12)</f>
        <v>6859506.5398979923</v>
      </c>
    </row>
    <row r="13" spans="1:16" ht="16" thickBot="1" x14ac:dyDescent="0.4">
      <c r="A13" s="406"/>
      <c r="B13" s="343" t="s">
        <v>353</v>
      </c>
      <c r="C13" s="344">
        <f>'Scenario 1'!C29</f>
        <v>20447081.720664378</v>
      </c>
      <c r="D13" s="344">
        <f>'Scenario 1'!D29</f>
        <v>0</v>
      </c>
      <c r="E13" s="344">
        <f>'Scenario 1'!E29</f>
        <v>0</v>
      </c>
      <c r="F13" s="345">
        <f t="shared" ref="F13" si="10">SUM(C13:E13)</f>
        <v>20447081.720664378</v>
      </c>
      <c r="G13" s="405"/>
      <c r="H13" s="339" t="s">
        <v>353</v>
      </c>
      <c r="I13" s="340">
        <f>'Scenario 3'!C30</f>
        <v>16826334.544866439</v>
      </c>
      <c r="J13" s="340">
        <f>'Scenario 3'!D30</f>
        <v>0</v>
      </c>
      <c r="K13" s="340">
        <f>'Scenario 3'!E30</f>
        <v>0</v>
      </c>
      <c r="L13" s="341">
        <f t="shared" ref="L13" si="11">SUM(I13:K13)</f>
        <v>16826334.544866439</v>
      </c>
    </row>
    <row r="14" spans="1:16" ht="17" customHeight="1" thickTop="1" x14ac:dyDescent="0.35">
      <c r="A14" s="404" t="s">
        <v>370</v>
      </c>
      <c r="B14" s="333">
        <f>SUM(F15,F19)</f>
        <v>45205646.834420629</v>
      </c>
      <c r="C14" s="334"/>
      <c r="D14" s="334"/>
      <c r="E14" s="334"/>
      <c r="F14" s="333"/>
      <c r="G14" s="407" t="s">
        <v>371</v>
      </c>
      <c r="H14" s="346">
        <f>SUM(L15,L19)</f>
        <v>41232977.842079878</v>
      </c>
      <c r="I14" s="346"/>
      <c r="J14" s="346"/>
      <c r="K14" s="346"/>
      <c r="L14" s="347"/>
    </row>
    <row r="15" spans="1:16" x14ac:dyDescent="0.35">
      <c r="A15" s="405"/>
      <c r="B15" s="336" t="s">
        <v>108</v>
      </c>
      <c r="C15" s="337">
        <f>SUM(C16:C18)</f>
        <v>5279000</v>
      </c>
      <c r="D15" s="337">
        <f t="shared" ref="D15" si="12">SUM(D16:D18)</f>
        <v>3675335</v>
      </c>
      <c r="E15" s="337">
        <f t="shared" ref="E15" si="13">SUM(E16:E18)</f>
        <v>6631102.2599999998</v>
      </c>
      <c r="F15" s="337">
        <f t="shared" ref="F15" si="14">SUM(F16:F18)</f>
        <v>15585437.26</v>
      </c>
      <c r="G15" s="408"/>
      <c r="H15" s="336" t="s">
        <v>108</v>
      </c>
      <c r="I15" s="337">
        <f>SUM(I16:I18)</f>
        <v>3928950</v>
      </c>
      <c r="J15" s="337">
        <f t="shared" ref="J15" si="15">SUM(J16:J18)</f>
        <v>3732122</v>
      </c>
      <c r="K15" s="337">
        <f t="shared" ref="K15" si="16">SUM(K16:K18)</f>
        <v>5427554.7400000002</v>
      </c>
      <c r="L15" s="348">
        <f t="shared" ref="L15" si="17">SUM(L16:L18)</f>
        <v>13088626.74</v>
      </c>
    </row>
    <row r="16" spans="1:16" ht="17" customHeight="1" x14ac:dyDescent="0.35">
      <c r="A16" s="405"/>
      <c r="B16" s="339" t="s">
        <v>82</v>
      </c>
      <c r="C16" s="340">
        <f>'Scenario 2'!C31</f>
        <v>1880000</v>
      </c>
      <c r="D16" s="340">
        <f>'Scenario 2'!D31</f>
        <v>1142335</v>
      </c>
      <c r="E16" s="340">
        <f>'Scenario 2'!E31</f>
        <v>2149102.2599999998</v>
      </c>
      <c r="F16" s="340">
        <f>SUM(C16:E16)</f>
        <v>5171437.26</v>
      </c>
      <c r="G16" s="408"/>
      <c r="H16" s="339" t="s">
        <v>82</v>
      </c>
      <c r="I16" s="340">
        <f>'Scenario 4'!C30</f>
        <v>1543950</v>
      </c>
      <c r="J16" s="340">
        <f>'Scenario 4'!D30</f>
        <v>1021122</v>
      </c>
      <c r="K16" s="340">
        <f>'Scenario 4'!E30</f>
        <v>1640554.7400000002</v>
      </c>
      <c r="L16" s="349">
        <f>SUM(I16:K16)</f>
        <v>4205626.74</v>
      </c>
    </row>
    <row r="17" spans="1:12" x14ac:dyDescent="0.35">
      <c r="A17" s="405"/>
      <c r="B17" s="339" t="s">
        <v>350</v>
      </c>
      <c r="C17" s="340">
        <f>'Scenario 2'!C32</f>
        <v>2714000</v>
      </c>
      <c r="D17" s="340">
        <f>'Scenario 2'!D32</f>
        <v>2168000</v>
      </c>
      <c r="E17" s="340">
        <f>'Scenario 2'!E32</f>
        <v>3747000</v>
      </c>
      <c r="F17" s="340">
        <f t="shared" ref="F17:F18" si="18">SUM(C17:E17)</f>
        <v>8629000</v>
      </c>
      <c r="G17" s="408"/>
      <c r="H17" s="339" t="s">
        <v>350</v>
      </c>
      <c r="I17" s="340">
        <f>'Scenario 4'!C31</f>
        <v>1860000</v>
      </c>
      <c r="J17" s="340">
        <f>'Scenario 4'!D31</f>
        <v>2346000</v>
      </c>
      <c r="K17" s="340">
        <f>'Scenario 4'!E31</f>
        <v>3222000</v>
      </c>
      <c r="L17" s="349">
        <f t="shared" ref="L17:L18" si="19">SUM(I17:K17)</f>
        <v>7428000</v>
      </c>
    </row>
    <row r="18" spans="1:12" x14ac:dyDescent="0.35">
      <c r="A18" s="405"/>
      <c r="B18" s="339" t="s">
        <v>109</v>
      </c>
      <c r="C18" s="340">
        <f>'Scenario 2'!C33</f>
        <v>685000</v>
      </c>
      <c r="D18" s="340">
        <f>'Scenario 2'!D33</f>
        <v>365000</v>
      </c>
      <c r="E18" s="340">
        <f>'Scenario 2'!E33</f>
        <v>735000</v>
      </c>
      <c r="F18" s="340">
        <f t="shared" si="18"/>
        <v>1785000</v>
      </c>
      <c r="G18" s="408"/>
      <c r="H18" s="339" t="s">
        <v>109</v>
      </c>
      <c r="I18" s="340">
        <f>'Scenario 4'!C32</f>
        <v>525000</v>
      </c>
      <c r="J18" s="340">
        <f>'Scenario 4'!D32</f>
        <v>365000</v>
      </c>
      <c r="K18" s="340">
        <f>'Scenario 4'!E32</f>
        <v>565000</v>
      </c>
      <c r="L18" s="349">
        <f t="shared" si="19"/>
        <v>1455000</v>
      </c>
    </row>
    <row r="19" spans="1:12" x14ac:dyDescent="0.35">
      <c r="A19" s="405"/>
      <c r="B19" s="342" t="s">
        <v>352</v>
      </c>
      <c r="C19" s="337">
        <f>SUM(C20:C23)</f>
        <v>18441355.942786057</v>
      </c>
      <c r="D19" s="337">
        <f t="shared" ref="D19" si="20">SUM(D20:D23)</f>
        <v>4873254.4230092876</v>
      </c>
      <c r="E19" s="337">
        <f t="shared" ref="E19" si="21">SUM(E20:E23)</f>
        <v>6305599.2086252877</v>
      </c>
      <c r="F19" s="337">
        <f t="shared" ref="F19" si="22">SUM(F20:F23)</f>
        <v>29620209.574420631</v>
      </c>
      <c r="G19" s="408"/>
      <c r="H19" s="342" t="s">
        <v>352</v>
      </c>
      <c r="I19" s="337">
        <f>SUM(I20:I23)</f>
        <v>17493656.048859686</v>
      </c>
      <c r="J19" s="337">
        <f t="shared" ref="J19" si="23">SUM(J20:J23)</f>
        <v>4609620.8466020953</v>
      </c>
      <c r="K19" s="337">
        <f t="shared" ref="K19" si="24">SUM(K20:K23)</f>
        <v>6041074.2066180957</v>
      </c>
      <c r="L19" s="348">
        <f t="shared" ref="L19" si="25">SUM(L20:L23)</f>
        <v>28144351.102079876</v>
      </c>
    </row>
    <row r="20" spans="1:12" x14ac:dyDescent="0.35">
      <c r="A20" s="405"/>
      <c r="B20" s="339" t="s">
        <v>234</v>
      </c>
      <c r="C20" s="340">
        <f>'Scenario 2'!C36</f>
        <v>127568.94040000001</v>
      </c>
      <c r="D20" s="340">
        <f>'Scenario 2'!D36</f>
        <v>275168.15240000002</v>
      </c>
      <c r="E20" s="340">
        <f>'Scenario 2'!E36</f>
        <v>486401.48960000003</v>
      </c>
      <c r="F20" s="340">
        <f>SUM(C20:E20)</f>
        <v>889138.58240000007</v>
      </c>
      <c r="G20" s="408"/>
      <c r="H20" s="339" t="s">
        <v>234</v>
      </c>
      <c r="I20" s="340">
        <f>'Scenario 4'!C35</f>
        <v>111399.11720000001</v>
      </c>
      <c r="J20" s="340">
        <f>'Scenario 4'!D35</f>
        <v>258767.64600000001</v>
      </c>
      <c r="K20" s="340">
        <f>'Scenario 4'!E35</f>
        <v>457752.15760000004</v>
      </c>
      <c r="L20" s="349">
        <f>SUM(I20:K20)</f>
        <v>827918.92080000008</v>
      </c>
    </row>
    <row r="21" spans="1:12" ht="18" customHeight="1" x14ac:dyDescent="0.35">
      <c r="A21" s="405"/>
      <c r="B21" s="339" t="s">
        <v>110</v>
      </c>
      <c r="C21" s="340">
        <f>'Scenario 2'!C37</f>
        <v>2028000</v>
      </c>
      <c r="D21" s="340">
        <f>'Scenario 2'!D37</f>
        <v>2088840</v>
      </c>
      <c r="E21" s="340">
        <f>'Scenario 2'!E37</f>
        <v>2151505.2000000002</v>
      </c>
      <c r="F21" s="340">
        <f>SUM(C21:E21)</f>
        <v>6268345.2000000002</v>
      </c>
      <c r="G21" s="408"/>
      <c r="H21" s="339" t="s">
        <v>110</v>
      </c>
      <c r="I21" s="340">
        <f>'Scenario 4'!C36</f>
        <v>2028000</v>
      </c>
      <c r="J21" s="340">
        <f>'Scenario 4'!D36</f>
        <v>2088840</v>
      </c>
      <c r="K21" s="340">
        <f>'Scenario 4'!E36</f>
        <v>2151505.2000000002</v>
      </c>
      <c r="L21" s="349">
        <f>SUM(I21:K21)</f>
        <v>6268345.2000000002</v>
      </c>
    </row>
    <row r="22" spans="1:12" x14ac:dyDescent="0.35">
      <c r="A22" s="405"/>
      <c r="B22" s="339" t="s">
        <v>354</v>
      </c>
      <c r="C22" s="340">
        <f>'Scenario 2'!C38</f>
        <v>809916.4310572875</v>
      </c>
      <c r="D22" s="340">
        <f>'Scenario 2'!D38</f>
        <v>2509246.2706092875</v>
      </c>
      <c r="E22" s="340">
        <f>'Scenario 2'!E38</f>
        <v>3667692.5190252876</v>
      </c>
      <c r="F22" s="340">
        <f t="shared" ref="F22" si="26">SUM(C22:E22)</f>
        <v>6986855.2206918625</v>
      </c>
      <c r="G22" s="408"/>
      <c r="H22" s="339" t="s">
        <v>354</v>
      </c>
      <c r="I22" s="340">
        <f>'Scenario 4'!C37</f>
        <v>800693.36105009564</v>
      </c>
      <c r="J22" s="340">
        <f>'Scenario 4'!D37</f>
        <v>2262013.2006020956</v>
      </c>
      <c r="K22" s="340">
        <f>'Scenario 4'!E37</f>
        <v>3431816.8490180955</v>
      </c>
      <c r="L22" s="349">
        <f t="shared" ref="L22" si="27">SUM(I22:K22)</f>
        <v>6494523.410670286</v>
      </c>
    </row>
    <row r="23" spans="1:12" ht="16" thickBot="1" x14ac:dyDescent="0.4">
      <c r="A23" s="406"/>
      <c r="B23" s="343" t="s">
        <v>353</v>
      </c>
      <c r="C23" s="344">
        <f>'Scenario 2'!C39</f>
        <v>15475870.571328769</v>
      </c>
      <c r="D23" s="344">
        <f>'Scenario 2'!D39</f>
        <v>0</v>
      </c>
      <c r="E23" s="344">
        <f>'Scenario 2'!E39</f>
        <v>0</v>
      </c>
      <c r="F23" s="344">
        <f>SUM(C23:E23)</f>
        <v>15475870.571328769</v>
      </c>
      <c r="G23" s="409"/>
      <c r="H23" s="350" t="s">
        <v>353</v>
      </c>
      <c r="I23" s="351">
        <f>'Scenario 4'!C38</f>
        <v>14553563.57060959</v>
      </c>
      <c r="J23" s="351">
        <f>'Scenario 4'!D38</f>
        <v>0</v>
      </c>
      <c r="K23" s="351">
        <f>'Scenario 4'!E38</f>
        <v>0</v>
      </c>
      <c r="L23" s="352">
        <f>SUM(I23:K23)</f>
        <v>14553563.57060959</v>
      </c>
    </row>
    <row r="25" spans="1:12" ht="18.5" x14ac:dyDescent="0.45">
      <c r="A25" s="332" t="s">
        <v>365</v>
      </c>
    </row>
    <row r="27" spans="1:12" x14ac:dyDescent="0.35">
      <c r="C27" s="317" t="s">
        <v>359</v>
      </c>
      <c r="D27" s="317" t="s">
        <v>360</v>
      </c>
      <c r="E27" s="317" t="s">
        <v>361</v>
      </c>
      <c r="F27" s="317" t="s">
        <v>362</v>
      </c>
    </row>
    <row r="28" spans="1:12" x14ac:dyDescent="0.35">
      <c r="B28" t="s">
        <v>82</v>
      </c>
      <c r="C28" s="66">
        <f>F6</f>
        <v>5177265.26</v>
      </c>
      <c r="D28" s="66">
        <f>F16</f>
        <v>5171437.26</v>
      </c>
      <c r="E28" s="66">
        <f>L6</f>
        <v>4205626.74</v>
      </c>
      <c r="F28" s="66">
        <f>L16</f>
        <v>4205626.74</v>
      </c>
    </row>
    <row r="29" spans="1:12" x14ac:dyDescent="0.35">
      <c r="B29" t="s">
        <v>85</v>
      </c>
      <c r="C29" s="66">
        <f>F7</f>
        <v>9622000</v>
      </c>
      <c r="D29" s="66">
        <f>F17</f>
        <v>8629000</v>
      </c>
      <c r="E29" s="66">
        <f>L7</f>
        <v>7800000</v>
      </c>
      <c r="F29" s="66">
        <f>L17</f>
        <v>7428000</v>
      </c>
    </row>
    <row r="30" spans="1:12" x14ac:dyDescent="0.35">
      <c r="B30" t="s">
        <v>109</v>
      </c>
      <c r="C30" s="66">
        <f>F8</f>
        <v>1825000</v>
      </c>
      <c r="D30" s="66">
        <f>F18</f>
        <v>1785000</v>
      </c>
      <c r="E30" s="66">
        <f>L8</f>
        <v>1470000</v>
      </c>
      <c r="F30" s="66">
        <f>L18</f>
        <v>1455000</v>
      </c>
    </row>
    <row r="31" spans="1:12" x14ac:dyDescent="0.35">
      <c r="B31" t="s">
        <v>234</v>
      </c>
      <c r="C31" s="66">
        <f>F10</f>
        <v>1246075.294</v>
      </c>
      <c r="D31" s="66">
        <f>F20</f>
        <v>889138.58240000007</v>
      </c>
      <c r="E31" s="66">
        <f>L10</f>
        <v>1028783.2332</v>
      </c>
      <c r="F31" s="66">
        <f>L20</f>
        <v>827918.92080000008</v>
      </c>
    </row>
    <row r="32" spans="1:12" x14ac:dyDescent="0.35">
      <c r="B32" t="s">
        <v>110</v>
      </c>
      <c r="C32" s="66">
        <f>F11</f>
        <v>6268345.2000000002</v>
      </c>
      <c r="D32" s="66">
        <f>F21</f>
        <v>6268345.2000000002</v>
      </c>
      <c r="E32" s="66">
        <f>L11</f>
        <v>6268345.2000000002</v>
      </c>
      <c r="F32" s="66">
        <f>L21</f>
        <v>6268345.2000000002</v>
      </c>
    </row>
    <row r="33" spans="1:7" x14ac:dyDescent="0.35">
      <c r="B33" t="s">
        <v>363</v>
      </c>
      <c r="C33" s="66">
        <f>F12</f>
        <v>7436157.1551719308</v>
      </c>
      <c r="D33" s="66">
        <f>F22</f>
        <v>6986855.2206918625</v>
      </c>
      <c r="E33" s="66">
        <f>L12</f>
        <v>6859506.5398979923</v>
      </c>
      <c r="F33" s="66">
        <f>L22</f>
        <v>6494523.410670286</v>
      </c>
    </row>
    <row r="34" spans="1:7" x14ac:dyDescent="0.35">
      <c r="B34" t="s">
        <v>353</v>
      </c>
      <c r="C34" s="66">
        <f>F13</f>
        <v>20447081.720664378</v>
      </c>
      <c r="D34" s="66">
        <f>F23</f>
        <v>15475870.571328769</v>
      </c>
      <c r="E34" s="66">
        <f>L13</f>
        <v>16826334.544866439</v>
      </c>
      <c r="F34" s="66">
        <f>L23</f>
        <v>14553563.57060959</v>
      </c>
      <c r="G34" t="s">
        <v>386</v>
      </c>
    </row>
    <row r="43" spans="1:7" ht="18.5" x14ac:dyDescent="0.45">
      <c r="A43" s="332" t="s">
        <v>366</v>
      </c>
    </row>
    <row r="45" spans="1:7" x14ac:dyDescent="0.35">
      <c r="C45" s="317" t="s">
        <v>359</v>
      </c>
      <c r="D45" s="317" t="s">
        <v>360</v>
      </c>
      <c r="E45" s="317" t="s">
        <v>361</v>
      </c>
      <c r="F45" s="317" t="s">
        <v>362</v>
      </c>
    </row>
    <row r="46" spans="1:7" x14ac:dyDescent="0.35">
      <c r="B46" t="s">
        <v>82</v>
      </c>
      <c r="C46" s="402">
        <f>'Scenario 1'!E13</f>
        <v>2158</v>
      </c>
      <c r="D46" s="402">
        <f>'Scenario 2'!$E12</f>
        <v>1180</v>
      </c>
      <c r="E46" s="402">
        <f>'Scenario 3'!$E14</f>
        <v>1754</v>
      </c>
      <c r="F46" s="402">
        <f>'Scenario 4'!E16</f>
        <v>1357</v>
      </c>
    </row>
    <row r="47" spans="1:7" x14ac:dyDescent="0.35">
      <c r="B47" t="s">
        <v>367</v>
      </c>
      <c r="C47" s="402">
        <f>'Scenario 1'!E14</f>
        <v>1514</v>
      </c>
      <c r="D47" s="402">
        <f>'Scenario 2'!$E13</f>
        <v>1127</v>
      </c>
      <c r="E47" s="402">
        <f>'Scenario 3'!$E15</f>
        <v>1256</v>
      </c>
      <c r="F47" s="402">
        <f>'Scenario 4'!E17</f>
        <v>1098</v>
      </c>
    </row>
    <row r="48" spans="1:7" x14ac:dyDescent="0.35">
      <c r="B48" t="s">
        <v>368</v>
      </c>
      <c r="C48" s="402">
        <f>'Scenario 1'!E15</f>
        <v>54</v>
      </c>
      <c r="D48" s="402">
        <f>'Scenario 2'!$E14</f>
        <v>46</v>
      </c>
      <c r="E48" s="402">
        <f>'Scenario 3'!$E16</f>
        <v>40</v>
      </c>
      <c r="F48" s="402">
        <f>'Scenario 4'!E18</f>
        <v>37</v>
      </c>
    </row>
    <row r="49" spans="1:6" x14ac:dyDescent="0.35">
      <c r="B49" t="s">
        <v>109</v>
      </c>
      <c r="C49" s="402">
        <f>'Scenario 1'!E16</f>
        <v>365</v>
      </c>
      <c r="D49" s="402">
        <f>'Scenario 2'!$E15</f>
        <v>261</v>
      </c>
      <c r="E49" s="402">
        <f>'Scenario 3'!$E17</f>
        <v>294</v>
      </c>
      <c r="F49" s="402">
        <f>'Scenario 4'!E19</f>
        <v>252</v>
      </c>
    </row>
    <row r="54" spans="1:6" x14ac:dyDescent="0.35">
      <c r="A54" s="302" t="s">
        <v>387</v>
      </c>
    </row>
    <row r="55" spans="1:6" x14ac:dyDescent="0.35">
      <c r="C55" s="403" t="s">
        <v>50</v>
      </c>
      <c r="D55" s="403" t="s">
        <v>51</v>
      </c>
      <c r="E55" s="403" t="s">
        <v>52</v>
      </c>
      <c r="F55" s="403"/>
    </row>
    <row r="56" spans="1:6" x14ac:dyDescent="0.35">
      <c r="B56" t="s">
        <v>388</v>
      </c>
      <c r="C56">
        <f>'Scenario 1'!C144</f>
        <v>2262007</v>
      </c>
      <c r="D56">
        <f>'Scenario 1'!D144</f>
        <v>3664002</v>
      </c>
      <c r="E56">
        <f>'Scenario 1'!E144</f>
        <v>6195346</v>
      </c>
    </row>
    <row r="57" spans="1:6" x14ac:dyDescent="0.35">
      <c r="B57" t="s">
        <v>389</v>
      </c>
      <c r="C57">
        <f>'Scenario 2'!C156</f>
        <v>1240943</v>
      </c>
      <c r="D57">
        <f>'Scenario 2'!D156</f>
        <v>2676733</v>
      </c>
      <c r="E57">
        <f>'Scenario 2'!E156</f>
        <v>4731532</v>
      </c>
    </row>
    <row r="58" spans="1:6" x14ac:dyDescent="0.35">
      <c r="B58" t="s">
        <v>390</v>
      </c>
      <c r="C58">
        <f>'Scenario 3'!C155</f>
        <v>1855422</v>
      </c>
      <c r="D58">
        <f>'Scenario 3'!D155</f>
        <v>3105008</v>
      </c>
      <c r="E58">
        <f>'Scenario 3'!E155</f>
        <v>5047189</v>
      </c>
    </row>
    <row r="59" spans="1:6" x14ac:dyDescent="0.35">
      <c r="B59" t="s">
        <v>391</v>
      </c>
      <c r="C59">
        <f>'Scenario 4'!C164</f>
        <v>1083649</v>
      </c>
      <c r="D59">
        <f>'Scenario 4'!D164</f>
        <v>2517195</v>
      </c>
      <c r="E59">
        <f>'Scenario 4'!E164</f>
        <v>4452842</v>
      </c>
    </row>
  </sheetData>
  <mergeCells count="4">
    <mergeCell ref="A14:A23"/>
    <mergeCell ref="G14:G23"/>
    <mergeCell ref="A4:A13"/>
    <mergeCell ref="G4:G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O194"/>
  <sheetViews>
    <sheetView topLeftCell="A4" zoomScale="79" zoomScaleNormal="100" workbookViewId="0">
      <selection activeCell="N15" sqref="N15"/>
    </sheetView>
  </sheetViews>
  <sheetFormatPr defaultColWidth="10.6640625" defaultRowHeight="15.5" x14ac:dyDescent="0.35"/>
  <cols>
    <col min="1" max="1" width="17.6640625" customWidth="1"/>
    <col min="2" max="2" width="45.83203125" bestFit="1" customWidth="1"/>
    <col min="3" max="3" width="15.33203125" bestFit="1" customWidth="1"/>
    <col min="4" max="5" width="14.33203125" bestFit="1" customWidth="1"/>
    <col min="7" max="7" width="12.5" customWidth="1"/>
    <col min="8" max="8" width="11.5" bestFit="1" customWidth="1"/>
    <col min="9" max="9" width="12.5" bestFit="1" customWidth="1"/>
    <col min="10" max="10" width="10.5" bestFit="1" customWidth="1"/>
    <col min="11" max="11" width="11.83203125" bestFit="1" customWidth="1"/>
    <col min="12" max="12" width="12.5" bestFit="1" customWidth="1"/>
    <col min="13" max="14" width="11.6640625" bestFit="1" customWidth="1"/>
    <col min="15" max="15" width="11.83203125" bestFit="1" customWidth="1"/>
    <col min="16" max="16" width="11.6640625" bestFit="1" customWidth="1"/>
    <col min="17" max="17" width="12.5" customWidth="1"/>
    <col min="18" max="18" width="11.6640625" bestFit="1" customWidth="1"/>
    <col min="19" max="19" width="14.1640625" bestFit="1" customWidth="1"/>
    <col min="20" max="20" width="11.6640625" bestFit="1" customWidth="1"/>
    <col min="21" max="21" width="11.5" customWidth="1"/>
    <col min="22" max="22" width="12.5" bestFit="1" customWidth="1"/>
    <col min="23" max="23" width="11.6640625" bestFit="1" customWidth="1"/>
    <col min="24" max="24" width="11.5" bestFit="1" customWidth="1"/>
    <col min="25" max="25" width="12.5" bestFit="1" customWidth="1"/>
    <col min="26" max="26" width="15.6640625" bestFit="1" customWidth="1"/>
    <col min="27" max="27" width="11.5" bestFit="1" customWidth="1"/>
    <col min="28" max="28" width="12.33203125" customWidth="1"/>
    <col min="29" max="30" width="11.5" bestFit="1" customWidth="1"/>
    <col min="31" max="31" width="11.5" customWidth="1"/>
    <col min="32" max="32" width="11.5" bestFit="1" customWidth="1"/>
    <col min="33" max="33" width="12.5" customWidth="1"/>
    <col min="34" max="34" width="12.5" bestFit="1" customWidth="1"/>
    <col min="35" max="35" width="12.5" customWidth="1"/>
    <col min="36" max="36" width="12.5" bestFit="1" customWidth="1"/>
    <col min="37" max="37" width="13.33203125" customWidth="1"/>
    <col min="38" max="38" width="11.5" bestFit="1" customWidth="1"/>
    <col min="39" max="39" width="12.6640625" customWidth="1"/>
    <col min="40" max="42" width="11.5" bestFit="1" customWidth="1"/>
    <col min="44" max="46" width="11.5" bestFit="1" customWidth="1"/>
    <col min="47" max="47" width="11.5" customWidth="1"/>
    <col min="48" max="48" width="11.5" bestFit="1" customWidth="1"/>
    <col min="49" max="49" width="12.33203125" customWidth="1"/>
    <col min="50" max="50" width="11.6640625" customWidth="1"/>
    <col min="51" max="51" width="13.83203125" bestFit="1" customWidth="1"/>
    <col min="52" max="52" width="13.5" bestFit="1" customWidth="1"/>
    <col min="53" max="67" width="11.6640625" customWidth="1"/>
    <col min="68" max="68" width="11.5" bestFit="1" customWidth="1"/>
    <col min="69" max="70" width="11.6640625" customWidth="1"/>
    <col min="71" max="71" width="12.5" bestFit="1" customWidth="1"/>
    <col min="72" max="78" width="11.6640625" customWidth="1"/>
    <col min="79" max="79" width="11.5" customWidth="1"/>
    <col min="80" max="82" width="11.5" bestFit="1" customWidth="1"/>
    <col min="83" max="83" width="23.6640625" bestFit="1" customWidth="1"/>
    <col min="84" max="84" width="10.5" bestFit="1" customWidth="1"/>
    <col min="85" max="86" width="11.5" bestFit="1" customWidth="1"/>
    <col min="87" max="87" width="12.5" bestFit="1" customWidth="1"/>
    <col min="88" max="88" width="11.5" bestFit="1" customWidth="1"/>
    <col min="89" max="89" width="11.6640625" customWidth="1"/>
    <col min="90" max="91" width="12.5" bestFit="1" customWidth="1"/>
  </cols>
  <sheetData>
    <row r="1" spans="1:22" ht="23.5" x14ac:dyDescent="0.55000000000000004">
      <c r="A1" s="89" t="s">
        <v>115</v>
      </c>
      <c r="V1" s="15"/>
    </row>
    <row r="2" spans="1:22" x14ac:dyDescent="0.35">
      <c r="V2" s="15"/>
    </row>
    <row r="3" spans="1:22" x14ac:dyDescent="0.35">
      <c r="C3" s="7"/>
      <c r="D3" s="1"/>
      <c r="V3" s="15"/>
    </row>
    <row r="4" spans="1:22" ht="21" x14ac:dyDescent="0.5">
      <c r="A4" s="82" t="s">
        <v>44</v>
      </c>
      <c r="C4" s="7"/>
      <c r="D4" s="1"/>
      <c r="V4" s="15"/>
    </row>
    <row r="5" spans="1:22" x14ac:dyDescent="0.35">
      <c r="V5" s="15"/>
    </row>
    <row r="6" spans="1:22" x14ac:dyDescent="0.35">
      <c r="A6" t="s">
        <v>28</v>
      </c>
      <c r="V6" s="15"/>
    </row>
    <row r="7" spans="1:22" x14ac:dyDescent="0.35">
      <c r="A7" t="s">
        <v>385</v>
      </c>
      <c r="C7" s="7"/>
      <c r="D7" s="1"/>
      <c r="V7" s="15"/>
    </row>
    <row r="8" spans="1:22" x14ac:dyDescent="0.35">
      <c r="A8" t="s">
        <v>384</v>
      </c>
      <c r="C8" s="7"/>
      <c r="D8" s="1"/>
      <c r="V8" s="15"/>
    </row>
    <row r="9" spans="1:22" x14ac:dyDescent="0.35">
      <c r="A9" t="s">
        <v>112</v>
      </c>
      <c r="C9" s="7"/>
      <c r="D9" s="1"/>
      <c r="V9" s="15"/>
    </row>
    <row r="10" spans="1:22" x14ac:dyDescent="0.35">
      <c r="A10" t="s">
        <v>113</v>
      </c>
      <c r="C10" s="7"/>
      <c r="D10" s="1"/>
      <c r="V10" s="15"/>
    </row>
    <row r="11" spans="1:22" x14ac:dyDescent="0.35">
      <c r="A11" t="s">
        <v>83</v>
      </c>
      <c r="C11" s="7"/>
      <c r="D11" s="1"/>
      <c r="V11" s="15"/>
    </row>
    <row r="12" spans="1:22" x14ac:dyDescent="0.35">
      <c r="C12" s="7"/>
      <c r="D12" s="1"/>
      <c r="V12" s="15"/>
    </row>
    <row r="13" spans="1:22" ht="21" x14ac:dyDescent="0.5">
      <c r="A13" s="284" t="s">
        <v>305</v>
      </c>
      <c r="U13" s="15"/>
    </row>
    <row r="14" spans="1:22" x14ac:dyDescent="0.35">
      <c r="U14" s="15"/>
    </row>
    <row r="15" spans="1:22" x14ac:dyDescent="0.35">
      <c r="A15" s="11" t="s">
        <v>239</v>
      </c>
      <c r="B15" s="319" t="s">
        <v>303</v>
      </c>
      <c r="C15" s="301" t="s">
        <v>50</v>
      </c>
      <c r="D15" s="301" t="s">
        <v>51</v>
      </c>
      <c r="E15" s="301" t="s">
        <v>52</v>
      </c>
      <c r="G15" s="301"/>
      <c r="H15" s="301"/>
      <c r="I15" s="301"/>
      <c r="J15" s="301"/>
      <c r="U15" s="15"/>
    </row>
    <row r="16" spans="1:22" x14ac:dyDescent="0.35">
      <c r="B16" s="302" t="s">
        <v>82</v>
      </c>
      <c r="C16" s="286">
        <f>BP92</f>
        <v>321</v>
      </c>
      <c r="D16" s="286">
        <f>SUM(BP92:BQ92)</f>
        <v>759</v>
      </c>
      <c r="E16" s="287">
        <f>SUM(BP92:BR92)</f>
        <v>1357</v>
      </c>
      <c r="G16" s="48"/>
      <c r="H16" s="66"/>
      <c r="U16" s="15"/>
    </row>
    <row r="17" spans="1:21" x14ac:dyDescent="0.35">
      <c r="B17" s="302" t="s">
        <v>367</v>
      </c>
      <c r="C17" s="287">
        <f>M133</f>
        <v>268</v>
      </c>
      <c r="D17" s="287">
        <f>N133</f>
        <v>620</v>
      </c>
      <c r="E17" s="287">
        <f>O133</f>
        <v>1098</v>
      </c>
      <c r="U17" s="15"/>
    </row>
    <row r="18" spans="1:21" x14ac:dyDescent="0.35">
      <c r="B18" s="302" t="s">
        <v>368</v>
      </c>
      <c r="C18" s="287">
        <f>P133</f>
        <v>10</v>
      </c>
      <c r="D18" s="287">
        <f>Q133</f>
        <v>21</v>
      </c>
      <c r="E18" s="287">
        <f>R133</f>
        <v>37</v>
      </c>
      <c r="U18" s="15"/>
    </row>
    <row r="19" spans="1:21" x14ac:dyDescent="0.35">
      <c r="B19" s="302" t="s">
        <v>109</v>
      </c>
      <c r="C19" s="287">
        <f>SUM(BP93,AV132)</f>
        <v>61</v>
      </c>
      <c r="D19" s="287">
        <f>SUM(BP93:BQ93,AV132:AW132)</f>
        <v>140</v>
      </c>
      <c r="E19" s="287">
        <f>SUM(BP93:BR93,AV132:AX132)</f>
        <v>252</v>
      </c>
      <c r="U19" s="15"/>
    </row>
    <row r="20" spans="1:21" x14ac:dyDescent="0.35">
      <c r="B20" s="302"/>
      <c r="C20" s="287"/>
      <c r="D20" s="287"/>
      <c r="E20" s="287"/>
      <c r="U20" s="15"/>
    </row>
    <row r="21" spans="1:21" x14ac:dyDescent="0.35">
      <c r="B21" s="302"/>
      <c r="C21" s="287"/>
      <c r="D21" s="287"/>
      <c r="E21" s="287"/>
      <c r="U21" s="15"/>
    </row>
    <row r="22" spans="1:21" x14ac:dyDescent="0.35">
      <c r="B22" s="302"/>
      <c r="C22" s="287"/>
      <c r="D22" s="287"/>
      <c r="E22" s="287"/>
      <c r="U22" s="15"/>
    </row>
    <row r="23" spans="1:21" x14ac:dyDescent="0.35">
      <c r="B23" s="302"/>
      <c r="C23" s="287"/>
      <c r="D23" s="287"/>
      <c r="E23" s="287"/>
      <c r="U23" s="15"/>
    </row>
    <row r="24" spans="1:21" x14ac:dyDescent="0.35">
      <c r="B24" s="302"/>
      <c r="C24" s="287"/>
      <c r="D24" s="287"/>
      <c r="E24" s="287"/>
      <c r="U24" s="15"/>
    </row>
    <row r="25" spans="1:21" x14ac:dyDescent="0.35">
      <c r="B25" s="302"/>
      <c r="C25" s="287"/>
      <c r="D25" s="287"/>
      <c r="E25" s="287"/>
      <c r="U25" s="15"/>
    </row>
    <row r="26" spans="1:21" x14ac:dyDescent="0.35">
      <c r="B26" s="14"/>
      <c r="C26" s="1"/>
      <c r="D26" s="1"/>
      <c r="E26" s="1"/>
      <c r="U26" s="15"/>
    </row>
    <row r="27" spans="1:21" ht="21" x14ac:dyDescent="0.5">
      <c r="A27" s="284" t="s">
        <v>76</v>
      </c>
      <c r="B27" s="14"/>
      <c r="C27" s="1"/>
      <c r="D27" s="1"/>
      <c r="E27" s="1"/>
      <c r="U27" s="15"/>
    </row>
    <row r="28" spans="1:21" x14ac:dyDescent="0.35">
      <c r="B28" s="14"/>
      <c r="C28" s="1"/>
      <c r="D28" s="1"/>
      <c r="E28" s="1"/>
      <c r="U28" s="15"/>
    </row>
    <row r="29" spans="1:21" x14ac:dyDescent="0.35">
      <c r="A29" s="11" t="s">
        <v>306</v>
      </c>
      <c r="B29" s="14"/>
      <c r="C29" s="301" t="s">
        <v>50</v>
      </c>
      <c r="D29" s="301" t="s">
        <v>51</v>
      </c>
      <c r="E29" s="301" t="s">
        <v>52</v>
      </c>
      <c r="U29" s="15"/>
    </row>
    <row r="30" spans="1:21" x14ac:dyDescent="0.35">
      <c r="B30" s="302" t="s">
        <v>82</v>
      </c>
      <c r="C30" s="87">
        <f>AN94</f>
        <v>1543950</v>
      </c>
      <c r="D30" s="87">
        <f>AU94</f>
        <v>1021122</v>
      </c>
      <c r="E30" s="87">
        <f>BB94</f>
        <v>1640554.7400000002</v>
      </c>
      <c r="U30" s="15"/>
    </row>
    <row r="31" spans="1:21" x14ac:dyDescent="0.35">
      <c r="B31" s="302" t="s">
        <v>85</v>
      </c>
      <c r="C31" s="87">
        <f>SUM(Z129:AA129)</f>
        <v>1860000</v>
      </c>
      <c r="D31" s="87">
        <f>SUM(AG129:AH129)</f>
        <v>2346000</v>
      </c>
      <c r="E31" s="87">
        <f>SUM(AN129:AO129)</f>
        <v>3222000</v>
      </c>
      <c r="U31" s="15"/>
    </row>
    <row r="32" spans="1:21" x14ac:dyDescent="0.35">
      <c r="B32" s="302" t="s">
        <v>109</v>
      </c>
      <c r="C32" s="87">
        <f>AO94+AB129</f>
        <v>525000</v>
      </c>
      <c r="D32" s="87">
        <f>AV94+AI129</f>
        <v>365000</v>
      </c>
      <c r="E32" s="87">
        <f>BC94+AP129</f>
        <v>565000</v>
      </c>
      <c r="U32" s="15"/>
    </row>
    <row r="33" spans="1:93" x14ac:dyDescent="0.35">
      <c r="B33" s="26" t="s">
        <v>310</v>
      </c>
      <c r="C33" s="290">
        <f>SUM(C30:C32)</f>
        <v>3928950</v>
      </c>
      <c r="D33" s="290">
        <f t="shared" ref="D33:E33" si="0">SUM(D30:D32)</f>
        <v>3732122</v>
      </c>
      <c r="E33" s="290">
        <f t="shared" si="0"/>
        <v>5427554.7400000002</v>
      </c>
      <c r="U33" s="15"/>
    </row>
    <row r="34" spans="1:93" x14ac:dyDescent="0.35">
      <c r="A34" s="11" t="s">
        <v>307</v>
      </c>
      <c r="B34" s="14"/>
      <c r="C34" s="1"/>
      <c r="D34" s="1"/>
      <c r="E34" s="1"/>
      <c r="U34" s="15"/>
    </row>
    <row r="35" spans="1:93" x14ac:dyDescent="0.35">
      <c r="A35" s="11"/>
      <c r="B35" s="302" t="s">
        <v>234</v>
      </c>
      <c r="C35" s="1">
        <f>C167</f>
        <v>111399.11720000001</v>
      </c>
      <c r="D35" s="1">
        <f t="shared" ref="D35:E35" si="1">D167</f>
        <v>258767.64600000001</v>
      </c>
      <c r="E35" s="1">
        <f t="shared" si="1"/>
        <v>457752.15760000004</v>
      </c>
      <c r="U35" s="15"/>
    </row>
    <row r="36" spans="1:93" x14ac:dyDescent="0.35">
      <c r="B36" s="302" t="s">
        <v>110</v>
      </c>
      <c r="C36" s="87">
        <f>C178</f>
        <v>2028000</v>
      </c>
      <c r="D36" s="87">
        <f>D178</f>
        <v>2088840</v>
      </c>
      <c r="E36" s="87">
        <f>E178</f>
        <v>2151505.2000000002</v>
      </c>
      <c r="U36" s="15"/>
    </row>
    <row r="37" spans="1:93" x14ac:dyDescent="0.35">
      <c r="B37" t="s">
        <v>363</v>
      </c>
      <c r="C37" s="87">
        <f>SUM(C168:C170)</f>
        <v>800693.36105009564</v>
      </c>
      <c r="D37" s="87">
        <f t="shared" ref="D37:E37" si="2">SUM(D168:D170)</f>
        <v>2262013.2006020956</v>
      </c>
      <c r="E37" s="87">
        <f t="shared" si="2"/>
        <v>3431816.8490180955</v>
      </c>
      <c r="U37" s="15"/>
    </row>
    <row r="38" spans="1:93" x14ac:dyDescent="0.35">
      <c r="B38" t="s">
        <v>311</v>
      </c>
      <c r="C38" s="87">
        <f>C160</f>
        <v>14553563.57060959</v>
      </c>
      <c r="D38" s="87">
        <f t="shared" ref="D38:E38" si="3">D160</f>
        <v>0</v>
      </c>
      <c r="E38" s="87">
        <f t="shared" si="3"/>
        <v>0</v>
      </c>
      <c r="U38" s="15"/>
    </row>
    <row r="39" spans="1:93" x14ac:dyDescent="0.35">
      <c r="B39" s="11" t="s">
        <v>309</v>
      </c>
      <c r="C39" s="290">
        <f>SUM(C35:C38)</f>
        <v>17493656.048859686</v>
      </c>
      <c r="D39" s="290">
        <f t="shared" ref="D39:E39" si="4">SUM(D35:D38)</f>
        <v>4609620.8466020953</v>
      </c>
      <c r="E39" s="290">
        <f t="shared" si="4"/>
        <v>6041074.2066180957</v>
      </c>
      <c r="U39" s="15"/>
    </row>
    <row r="40" spans="1:93" x14ac:dyDescent="0.35">
      <c r="A40" s="314" t="s">
        <v>308</v>
      </c>
      <c r="B40" s="321">
        <f>SUM(C40:E40)</f>
        <v>41232977.842079878</v>
      </c>
      <c r="C40" s="313">
        <f>SUM(C33,C39)</f>
        <v>21422606.048859686</v>
      </c>
      <c r="D40" s="313">
        <f>SUM(D33,D39)</f>
        <v>8341742.8466020953</v>
      </c>
      <c r="E40" s="313">
        <f>SUM(E33,E39)</f>
        <v>11468628.946618095</v>
      </c>
      <c r="U40" s="15"/>
    </row>
    <row r="41" spans="1:93" x14ac:dyDescent="0.35">
      <c r="C41" s="1"/>
      <c r="U41" s="15"/>
    </row>
    <row r="42" spans="1:93" x14ac:dyDescent="0.3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111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</row>
    <row r="43" spans="1:93" x14ac:dyDescent="0.35">
      <c r="C43" s="1"/>
      <c r="U43" s="15"/>
    </row>
    <row r="44" spans="1:93" ht="21" x14ac:dyDescent="0.5">
      <c r="A44" s="82" t="s">
        <v>82</v>
      </c>
      <c r="C44" s="1"/>
      <c r="U44" s="15"/>
    </row>
    <row r="45" spans="1:93" x14ac:dyDescent="0.35">
      <c r="C45" s="1"/>
      <c r="U45" s="15"/>
    </row>
    <row r="46" spans="1:93" ht="18.5" x14ac:dyDescent="0.45">
      <c r="A46" s="51" t="s">
        <v>342</v>
      </c>
      <c r="U46" s="15"/>
    </row>
    <row r="47" spans="1:93" ht="16" thickBot="1" x14ac:dyDescent="0.4">
      <c r="G47" s="27" t="s">
        <v>232</v>
      </c>
      <c r="H47" s="27"/>
      <c r="I47" s="27"/>
      <c r="J47" s="27"/>
      <c r="K47" s="27"/>
      <c r="L47" s="27"/>
      <c r="U47" s="15"/>
      <c r="AM47" t="s">
        <v>233</v>
      </c>
    </row>
    <row r="48" spans="1:93" ht="34" customHeight="1" thickBot="1" x14ac:dyDescent="0.4">
      <c r="A48" s="442" t="s">
        <v>355</v>
      </c>
      <c r="B48" s="442"/>
      <c r="C48" s="442"/>
      <c r="D48" s="442"/>
      <c r="E48" s="442"/>
      <c r="F48" s="15"/>
      <c r="G48" s="266" t="s">
        <v>50</v>
      </c>
      <c r="H48" s="263"/>
      <c r="I48" s="263"/>
      <c r="J48" s="263"/>
      <c r="K48" s="263"/>
      <c r="L48" s="263"/>
      <c r="M48" s="263"/>
      <c r="N48" s="263"/>
      <c r="O48" s="95"/>
      <c r="P48" s="105"/>
      <c r="Q48" s="266" t="s">
        <v>51</v>
      </c>
      <c r="R48" s="263"/>
      <c r="S48" s="263"/>
      <c r="T48" s="263"/>
      <c r="U48" s="263"/>
      <c r="V48" s="263"/>
      <c r="W48" s="263"/>
      <c r="X48" s="263"/>
      <c r="Y48" s="263"/>
      <c r="Z48" s="265"/>
      <c r="AA48" s="105"/>
      <c r="AB48" s="266" t="s">
        <v>52</v>
      </c>
      <c r="AC48" s="94"/>
      <c r="AD48" s="94"/>
      <c r="AE48" s="94"/>
      <c r="AF48" s="94"/>
      <c r="AG48" s="94"/>
      <c r="AH48" s="94"/>
      <c r="AI48" s="94"/>
      <c r="AJ48" s="94"/>
      <c r="AK48" s="95"/>
      <c r="AL48" s="105"/>
      <c r="AM48" s="254" t="s">
        <v>50</v>
      </c>
      <c r="AN48" s="99"/>
      <c r="AO48" s="99"/>
      <c r="AP48" s="99"/>
      <c r="AQ48" s="99"/>
      <c r="AR48" s="100"/>
      <c r="AT48" s="254" t="s">
        <v>51</v>
      </c>
      <c r="AU48" s="263"/>
      <c r="AV48" s="263"/>
      <c r="AW48" s="263"/>
      <c r="AX48" s="263"/>
      <c r="AY48" s="265"/>
      <c r="BA48" s="254" t="s">
        <v>52</v>
      </c>
      <c r="BB48" s="94"/>
      <c r="BC48" s="94"/>
      <c r="BD48" s="94"/>
      <c r="BE48" s="94"/>
      <c r="BF48" s="95"/>
      <c r="BI48" s="243" t="s">
        <v>217</v>
      </c>
      <c r="BJ48" s="243" t="s">
        <v>215</v>
      </c>
      <c r="BK48" s="195" t="s">
        <v>214</v>
      </c>
      <c r="BL48" s="170" t="s">
        <v>213</v>
      </c>
      <c r="BO48" s="298" t="s">
        <v>76</v>
      </c>
      <c r="BP48" s="299"/>
      <c r="BQ48" s="299"/>
      <c r="BR48" s="299"/>
      <c r="BS48" s="300"/>
    </row>
    <row r="49" spans="1:71" ht="51" customHeight="1" thickBot="1" x14ac:dyDescent="0.4">
      <c r="A49" s="46" t="s">
        <v>69</v>
      </c>
      <c r="B49" s="230"/>
      <c r="C49" s="231"/>
      <c r="D49" s="231"/>
      <c r="E49" s="232"/>
      <c r="F49" s="15"/>
      <c r="G49" s="418" t="s">
        <v>53</v>
      </c>
      <c r="H49" s="416" t="s">
        <v>55</v>
      </c>
      <c r="I49" s="417"/>
      <c r="J49" s="417"/>
      <c r="K49" s="417"/>
      <c r="L49" s="417"/>
      <c r="M49" s="423" t="s">
        <v>80</v>
      </c>
      <c r="N49" s="417" t="s">
        <v>57</v>
      </c>
      <c r="O49" s="420" t="s">
        <v>241</v>
      </c>
      <c r="P49" s="293"/>
      <c r="Q49" s="418" t="s">
        <v>53</v>
      </c>
      <c r="R49" s="417" t="s">
        <v>79</v>
      </c>
      <c r="S49" s="417"/>
      <c r="T49" s="417"/>
      <c r="U49" s="417"/>
      <c r="V49" s="417"/>
      <c r="W49" s="423" t="s">
        <v>104</v>
      </c>
      <c r="X49" s="423" t="s">
        <v>72</v>
      </c>
      <c r="Y49" s="423" t="s">
        <v>74</v>
      </c>
      <c r="Z49" s="420" t="s">
        <v>241</v>
      </c>
      <c r="AA49" s="293"/>
      <c r="AB49" s="418" t="s">
        <v>53</v>
      </c>
      <c r="AC49" s="416" t="s">
        <v>55</v>
      </c>
      <c r="AD49" s="417"/>
      <c r="AE49" s="417"/>
      <c r="AF49" s="417"/>
      <c r="AG49" s="417"/>
      <c r="AH49" s="423" t="s">
        <v>78</v>
      </c>
      <c r="AI49" s="423" t="s">
        <v>72</v>
      </c>
      <c r="AJ49" s="423" t="s">
        <v>74</v>
      </c>
      <c r="AK49" s="420" t="s">
        <v>241</v>
      </c>
      <c r="AL49" s="293"/>
      <c r="AM49" s="415" t="s">
        <v>53</v>
      </c>
      <c r="AN49" s="416" t="s">
        <v>56</v>
      </c>
      <c r="AO49" s="417" t="s">
        <v>58</v>
      </c>
      <c r="AP49" s="423" t="s">
        <v>242</v>
      </c>
      <c r="AQ49" s="423" t="s">
        <v>60</v>
      </c>
      <c r="AR49" s="420" t="s">
        <v>97</v>
      </c>
      <c r="AT49" s="418" t="s">
        <v>53</v>
      </c>
      <c r="AU49" s="423" t="s">
        <v>73</v>
      </c>
      <c r="AV49" s="423" t="s">
        <v>75</v>
      </c>
      <c r="AW49" s="423" t="s">
        <v>242</v>
      </c>
      <c r="AX49" s="423" t="s">
        <v>60</v>
      </c>
      <c r="AY49" s="420" t="s">
        <v>97</v>
      </c>
      <c r="BA49" s="418" t="s">
        <v>53</v>
      </c>
      <c r="BB49" s="423" t="s">
        <v>73</v>
      </c>
      <c r="BC49" s="423" t="s">
        <v>75</v>
      </c>
      <c r="BD49" s="423" t="s">
        <v>242</v>
      </c>
      <c r="BE49" s="423" t="s">
        <v>60</v>
      </c>
      <c r="BF49" s="420" t="s">
        <v>97</v>
      </c>
      <c r="BI49" s="433"/>
      <c r="BJ49" s="433"/>
      <c r="BK49" s="433"/>
      <c r="BL49" s="431"/>
      <c r="BO49" s="92"/>
      <c r="BP49" s="296" t="s">
        <v>50</v>
      </c>
      <c r="BQ49" s="296" t="s">
        <v>51</v>
      </c>
      <c r="BR49" s="296" t="s">
        <v>52</v>
      </c>
      <c r="BS49" s="292" t="s">
        <v>77</v>
      </c>
    </row>
    <row r="50" spans="1:71" ht="16" thickBot="1" x14ac:dyDescent="0.4">
      <c r="A50" s="35"/>
      <c r="B50" s="73" t="s">
        <v>164</v>
      </c>
      <c r="C50" s="209" t="s">
        <v>50</v>
      </c>
      <c r="D50" s="209" t="s">
        <v>51</v>
      </c>
      <c r="E50" s="210" t="s">
        <v>52</v>
      </c>
      <c r="F50" s="15"/>
      <c r="G50" s="415"/>
      <c r="H50" s="426" t="s">
        <v>163</v>
      </c>
      <c r="I50" s="427"/>
      <c r="J50" s="427"/>
      <c r="K50" s="427" t="s">
        <v>47</v>
      </c>
      <c r="L50" s="427" t="s">
        <v>31</v>
      </c>
      <c r="M50" s="424"/>
      <c r="N50" s="427"/>
      <c r="O50" s="421"/>
      <c r="P50" s="293"/>
      <c r="Q50" s="415"/>
      <c r="R50" s="427" t="s">
        <v>163</v>
      </c>
      <c r="S50" s="427"/>
      <c r="T50" s="427"/>
      <c r="U50" s="427" t="s">
        <v>47</v>
      </c>
      <c r="V50" s="427" t="s">
        <v>31</v>
      </c>
      <c r="W50" s="424"/>
      <c r="X50" s="424"/>
      <c r="Y50" s="424"/>
      <c r="Z50" s="421"/>
      <c r="AA50" s="293"/>
      <c r="AB50" s="415"/>
      <c r="AC50" s="426" t="s">
        <v>163</v>
      </c>
      <c r="AD50" s="427"/>
      <c r="AE50" s="427"/>
      <c r="AF50" s="427" t="s">
        <v>47</v>
      </c>
      <c r="AG50" s="427" t="s">
        <v>31</v>
      </c>
      <c r="AH50" s="424"/>
      <c r="AI50" s="424"/>
      <c r="AJ50" s="424"/>
      <c r="AK50" s="421"/>
      <c r="AL50" s="293"/>
      <c r="AM50" s="415"/>
      <c r="AN50" s="426"/>
      <c r="AO50" s="427"/>
      <c r="AP50" s="424"/>
      <c r="AQ50" s="424"/>
      <c r="AR50" s="421"/>
      <c r="AT50" s="415"/>
      <c r="AU50" s="424"/>
      <c r="AV50" s="424"/>
      <c r="AW50" s="424"/>
      <c r="AX50" s="424"/>
      <c r="AY50" s="421"/>
      <c r="BA50" s="415"/>
      <c r="BB50" s="424"/>
      <c r="BC50" s="424"/>
      <c r="BD50" s="424"/>
      <c r="BE50" s="424"/>
      <c r="BF50" s="421"/>
      <c r="BI50" s="431"/>
      <c r="BJ50" s="431"/>
      <c r="BK50" s="431"/>
      <c r="BL50" s="431"/>
      <c r="BO50" s="254" t="s">
        <v>91</v>
      </c>
      <c r="BP50" s="260">
        <f>AR54</f>
        <v>917521</v>
      </c>
      <c r="BQ50" s="260">
        <f>AY54</f>
        <v>1280547</v>
      </c>
      <c r="BR50" s="260">
        <f>BF54</f>
        <v>2780582</v>
      </c>
      <c r="BS50" s="269">
        <f>SUM(BP50:BR50)</f>
        <v>4978650</v>
      </c>
    </row>
    <row r="51" spans="1:71" ht="16" thickBot="1" x14ac:dyDescent="0.4">
      <c r="A51" s="35"/>
      <c r="B51" s="112" t="s">
        <v>48</v>
      </c>
      <c r="C51" s="138">
        <f>Storage!$E$11</f>
        <v>230400</v>
      </c>
      <c r="D51" s="138">
        <f>Storage!$E$11</f>
        <v>230400</v>
      </c>
      <c r="E51" s="141">
        <f>Storage!$E$11</f>
        <v>230400</v>
      </c>
      <c r="F51" s="15"/>
      <c r="G51" s="419"/>
      <c r="H51" s="267">
        <v>0.4</v>
      </c>
      <c r="I51" s="264">
        <v>0.6</v>
      </c>
      <c r="J51" s="264">
        <v>0.8</v>
      </c>
      <c r="K51" s="428"/>
      <c r="L51" s="428"/>
      <c r="M51" s="425"/>
      <c r="N51" s="428"/>
      <c r="O51" s="422"/>
      <c r="P51" s="293"/>
      <c r="Q51" s="419"/>
      <c r="R51" s="264">
        <v>0.4</v>
      </c>
      <c r="S51" s="264">
        <v>0.6</v>
      </c>
      <c r="T51" s="264">
        <v>0.8</v>
      </c>
      <c r="U51" s="428"/>
      <c r="V51" s="428"/>
      <c r="W51" s="425"/>
      <c r="X51" s="425"/>
      <c r="Y51" s="425"/>
      <c r="Z51" s="422"/>
      <c r="AA51" s="293"/>
      <c r="AB51" s="419"/>
      <c r="AC51" s="267">
        <v>0.4</v>
      </c>
      <c r="AD51" s="264">
        <v>0.6</v>
      </c>
      <c r="AE51" s="264">
        <v>0.8</v>
      </c>
      <c r="AF51" s="428"/>
      <c r="AG51" s="428"/>
      <c r="AH51" s="425"/>
      <c r="AI51" s="425"/>
      <c r="AJ51" s="425"/>
      <c r="AK51" s="422"/>
      <c r="AL51" s="293"/>
      <c r="AM51" s="415"/>
      <c r="AN51" s="429"/>
      <c r="AO51" s="428"/>
      <c r="AP51" s="425"/>
      <c r="AQ51" s="425"/>
      <c r="AR51" s="422"/>
      <c r="AT51" s="419"/>
      <c r="AU51" s="425"/>
      <c r="AV51" s="425"/>
      <c r="AW51" s="425"/>
      <c r="AX51" s="425"/>
      <c r="AY51" s="422"/>
      <c r="BA51" s="419"/>
      <c r="BB51" s="425"/>
      <c r="BC51" s="425"/>
      <c r="BD51" s="425"/>
      <c r="BE51" s="425"/>
      <c r="BF51" s="422"/>
      <c r="BI51" s="432"/>
      <c r="BJ51" s="432"/>
      <c r="BK51" s="432"/>
      <c r="BL51" s="432"/>
      <c r="BO51" s="92" t="s">
        <v>235</v>
      </c>
      <c r="BP51" s="270">
        <f>M54</f>
        <v>5</v>
      </c>
      <c r="BQ51" s="270">
        <f>X54</f>
        <v>6</v>
      </c>
      <c r="BR51" s="270">
        <f>AI54</f>
        <v>13</v>
      </c>
      <c r="BS51" s="215">
        <f>SUM(BP51:BR51)</f>
        <v>24</v>
      </c>
    </row>
    <row r="52" spans="1:71" x14ac:dyDescent="0.35">
      <c r="A52" s="35"/>
      <c r="B52" s="112" t="s">
        <v>146</v>
      </c>
      <c r="C52" s="138">
        <f>'CPU (Workload)'!$D$17</f>
        <v>8384.3812499999985</v>
      </c>
      <c r="D52" s="138">
        <f>'CPU (Workload)'!$D$19</f>
        <v>19868.499999999996</v>
      </c>
      <c r="E52" s="141">
        <f>'CPU (Workload)'!$D$21</f>
        <v>35323.174999999996</v>
      </c>
      <c r="F52" s="15"/>
      <c r="G52" s="235" t="s">
        <v>32</v>
      </c>
      <c r="H52" s="12">
        <f>ROUNDUP($C52/(gen_l_tps40/2),0)</f>
        <v>23</v>
      </c>
      <c r="I52" s="12">
        <f>ROUNDUP($C52/(gen_l_tps60/2),0)</f>
        <v>15</v>
      </c>
      <c r="J52" s="12">
        <f>ROUNDUP($C52/(gen_l_tps80/2),0)</f>
        <v>12</v>
      </c>
      <c r="K52" s="9">
        <f>ROUNDUP($C51/gen_l_disk,0)</f>
        <v>362</v>
      </c>
      <c r="L52" s="9">
        <f>ROUNDUP($C53/gen_l_bw,0)</f>
        <v>104</v>
      </c>
      <c r="M52" s="9">
        <f>MAX(J52:L52)</f>
        <v>362</v>
      </c>
      <c r="N52" s="9">
        <f>ROUNDUP(M52/gen_l_spr80,0)</f>
        <v>33</v>
      </c>
      <c r="O52" s="76">
        <f>ROUND(M52*gen_l_pow80*24*365,0)</f>
        <v>824491</v>
      </c>
      <c r="P52" s="67"/>
      <c r="Q52" s="235" t="s">
        <v>32</v>
      </c>
      <c r="R52" s="12">
        <f>ROUNDUP($D52/(gen_l_tps40/2),0)</f>
        <v>53</v>
      </c>
      <c r="S52" s="12">
        <f>ROUNDUP($D52/(gen_l_tps60/2),0)</f>
        <v>36</v>
      </c>
      <c r="T52" s="12">
        <f>ROUNDUP($D52/(gen_l_tps80/2),0)</f>
        <v>27</v>
      </c>
      <c r="U52" s="9">
        <f>ROUNDUP($D51/gen_l_disk,0)</f>
        <v>362</v>
      </c>
      <c r="V52" s="9">
        <f>ROUNDUP($D53/gen_l_bw,0)</f>
        <v>245</v>
      </c>
      <c r="W52" s="9">
        <f>MAX(T52:V52)</f>
        <v>362</v>
      </c>
      <c r="X52" s="9">
        <f>W52-M52</f>
        <v>0</v>
      </c>
      <c r="Y52" s="9">
        <f>ROUNDUP(X52/gen_l_spr80,0)</f>
        <v>0</v>
      </c>
      <c r="Z52" s="76">
        <f>ROUND((W52)*gen_l_pow80*24*365,0)</f>
        <v>824491</v>
      </c>
      <c r="AA52" s="67"/>
      <c r="AB52" s="235" t="s">
        <v>32</v>
      </c>
      <c r="AC52" s="12">
        <f>ROUNDUP($E52/(gen_l_tps40/2),0)</f>
        <v>95</v>
      </c>
      <c r="AD52" s="12">
        <f>ROUNDUP($E52/(gen_l_tps60/2),0)</f>
        <v>63</v>
      </c>
      <c r="AE52" s="12">
        <f>ROUNDUP($E52/(gen_l_tps80/2),0)</f>
        <v>48</v>
      </c>
      <c r="AF52" s="9">
        <f>ROUNDUP($E51/gen_l_disk,0)</f>
        <v>362</v>
      </c>
      <c r="AG52" s="9">
        <f>ROUNDUP($E53/gen_l_bw,0)</f>
        <v>435</v>
      </c>
      <c r="AH52" s="9">
        <f>MAX(AE52:AG52)</f>
        <v>435</v>
      </c>
      <c r="AI52" s="9">
        <f>AH52-W52</f>
        <v>73</v>
      </c>
      <c r="AJ52" s="9">
        <f>ROUNDUP(AI52/gen_l_spr80,0)</f>
        <v>7</v>
      </c>
      <c r="AK52" s="76">
        <f>ROUND((AH52)*gen_l_pow80*24*365,0)</f>
        <v>990756</v>
      </c>
      <c r="AL52" s="67"/>
      <c r="AM52" s="235" t="s">
        <v>32</v>
      </c>
      <c r="AN52" s="36">
        <f>M52*gen_l_cost</f>
        <v>307700</v>
      </c>
      <c r="AO52" s="36">
        <f>N52*rack_cost</f>
        <v>165000</v>
      </c>
      <c r="AP52" s="36">
        <f>ROUND(O52*kwh_cost,0)</f>
        <v>42379</v>
      </c>
      <c r="AQ52" s="36">
        <v>0</v>
      </c>
      <c r="AR52" s="72">
        <f>SUM(AN52,AO52,AP52)</f>
        <v>515079</v>
      </c>
      <c r="AT52" s="235" t="s">
        <v>32</v>
      </c>
      <c r="AU52" s="36">
        <f>X52*gen_l_cost*1.02</f>
        <v>0</v>
      </c>
      <c r="AV52" s="36">
        <f>Y52*rack_cost</f>
        <v>0</v>
      </c>
      <c r="AW52" s="36">
        <f>ROUND(Z52*kwh_cost,0)</f>
        <v>42379</v>
      </c>
      <c r="AX52" s="36">
        <f>AN52*hw_supt</f>
        <v>61540</v>
      </c>
      <c r="AY52" s="72">
        <f>SUM(AU52,AV52,AW52,AX52)</f>
        <v>103919</v>
      </c>
      <c r="BA52" s="235" t="s">
        <v>32</v>
      </c>
      <c r="BB52" s="36">
        <f>AI52*gen_l_cost*1.0404</f>
        <v>64556.82</v>
      </c>
      <c r="BC52" s="36">
        <f>AJ52*rack_cost</f>
        <v>35000</v>
      </c>
      <c r="BD52" s="36">
        <f>ROUND(AK52*kwh_cost,0)</f>
        <v>50925</v>
      </c>
      <c r="BE52" s="36">
        <f>(AN52+AU52)*hw_supt</f>
        <v>61540</v>
      </c>
      <c r="BF52" s="72">
        <f>SUM(BB52,BC52,BD52,BE52)</f>
        <v>212021.82</v>
      </c>
      <c r="BI52" s="188">
        <f>SUM(AH52)</f>
        <v>435</v>
      </c>
      <c r="BJ52" s="188">
        <f t="shared" ref="BJ52:BK54" si="5">SUM(AJ52,Y52,N52)</f>
        <v>40</v>
      </c>
      <c r="BK52" s="188">
        <f t="shared" si="5"/>
        <v>2639738</v>
      </c>
      <c r="BL52" s="245">
        <f>SUM(AR52,AY52,BF52)</f>
        <v>831019.82000000007</v>
      </c>
      <c r="BO52" s="235" t="s">
        <v>236</v>
      </c>
      <c r="BP52" s="9">
        <f>N54</f>
        <v>3</v>
      </c>
      <c r="BQ52" s="9">
        <f>Y54</f>
        <v>3</v>
      </c>
      <c r="BR52" s="9">
        <f>AJ54</f>
        <v>7</v>
      </c>
      <c r="BS52" s="188">
        <f t="shared" ref="BS52:BS53" si="6">SUM(BP52:BR52)</f>
        <v>13</v>
      </c>
    </row>
    <row r="53" spans="1:71" ht="16" thickBot="1" x14ac:dyDescent="0.4">
      <c r="A53" s="39"/>
      <c r="B53" s="113" t="s">
        <v>49</v>
      </c>
      <c r="C53" s="44">
        <f>Bandwidth!$N$7</f>
        <v>77.2704576</v>
      </c>
      <c r="D53" s="44">
        <f>Bandwidth!$N$9</f>
        <v>183.10809599999996</v>
      </c>
      <c r="E53" s="45">
        <f>Bandwidth!$N$11</f>
        <v>325.53838079999991</v>
      </c>
      <c r="F53" s="15"/>
      <c r="G53" s="93" t="s">
        <v>41</v>
      </c>
      <c r="H53" s="74">
        <f>ROUNDUP($C52/(gen_xl_tps40/2),0)</f>
        <v>10</v>
      </c>
      <c r="I53" s="74">
        <f>ROUNDUP($C52/(gen_xl_tps60),0)</f>
        <v>4</v>
      </c>
      <c r="J53" s="74">
        <f>ROUNDUP($C52/(gen_xl_tps80/2),0)</f>
        <v>5</v>
      </c>
      <c r="K53" s="69">
        <f>ROUNDUP($C51/gen_xl_disk,0)</f>
        <v>154</v>
      </c>
      <c r="L53" s="69">
        <f>ROUNDUP($C53/gen_xl_bw,0)</f>
        <v>52</v>
      </c>
      <c r="M53" s="69">
        <f>MAX(J53:L53)</f>
        <v>154</v>
      </c>
      <c r="N53" s="69">
        <f>ROUNDUP(M53/gen_xl_spr80,0)</f>
        <v>22</v>
      </c>
      <c r="O53" s="77">
        <f>ROUND(M53*gen_l_pow80*24*365,0)</f>
        <v>350750</v>
      </c>
      <c r="P53" s="67"/>
      <c r="Q53" s="93" t="s">
        <v>41</v>
      </c>
      <c r="R53" s="74">
        <f>ROUNDUP($D52/(gen_xl_tps40/2),0) - H53</f>
        <v>13</v>
      </c>
      <c r="S53" s="74">
        <f>ROUNDUP($D52/(gen_xl_tps60/2),0)</f>
        <v>15</v>
      </c>
      <c r="T53" s="74">
        <f>ROUNDUP($D52/(gen_xl_tps80/2),0)</f>
        <v>12</v>
      </c>
      <c r="U53" s="69">
        <f>ROUNDUP($D51/gen_xl_disk,0)</f>
        <v>154</v>
      </c>
      <c r="V53" s="69">
        <f>ROUNDUP($D53/gen_xl_bw,0)</f>
        <v>123</v>
      </c>
      <c r="W53" s="69">
        <f>MAX(T53:V53)</f>
        <v>154</v>
      </c>
      <c r="X53" s="69">
        <f>W53-M53</f>
        <v>0</v>
      </c>
      <c r="Y53" s="69">
        <f>ROUNDUP(X53/gen_xl_spr80,0)</f>
        <v>0</v>
      </c>
      <c r="Z53" s="77">
        <f>ROUND((W53)*gen_l_pow80*24*365,0)</f>
        <v>350750</v>
      </c>
      <c r="AA53" s="67"/>
      <c r="AB53" s="93" t="s">
        <v>41</v>
      </c>
      <c r="AC53" s="74">
        <f>ROUNDUP($E52/(gen_xl_tps40/2),0)</f>
        <v>40</v>
      </c>
      <c r="AD53" s="74">
        <f>ROUNDUP($E52/(gen_xl_tps60/2),0)</f>
        <v>27</v>
      </c>
      <c r="AE53" s="74">
        <f>ROUNDUP($E52/(gen_xl_tps80/2),0)</f>
        <v>20</v>
      </c>
      <c r="AF53" s="69">
        <f>ROUNDUP($E51/gen_xl_disk,0)</f>
        <v>154</v>
      </c>
      <c r="AG53" s="69">
        <f>ROUNDUP($E53/gen_xl_bw,0)</f>
        <v>218</v>
      </c>
      <c r="AH53" s="69">
        <f>MAX(AE53:AG53)</f>
        <v>218</v>
      </c>
      <c r="AI53" s="69">
        <f>AH53-W53</f>
        <v>64</v>
      </c>
      <c r="AJ53" s="69">
        <f>ROUNDUP(AI53/gen_xl_spr80,0)</f>
        <v>10</v>
      </c>
      <c r="AK53" s="77">
        <f>ROUND((AH53)*gen_l_pow80*24*365,0)</f>
        <v>496517</v>
      </c>
      <c r="AL53" s="67"/>
      <c r="AM53" s="93" t="s">
        <v>41</v>
      </c>
      <c r="AN53" s="75">
        <f>M53*gen_xl_cost</f>
        <v>361900</v>
      </c>
      <c r="AO53" s="75">
        <f>N53*rack_cost</f>
        <v>110000</v>
      </c>
      <c r="AP53" s="75">
        <f>ROUND(O53*kwh_cost,0)</f>
        <v>18029</v>
      </c>
      <c r="AQ53" s="75">
        <v>0</v>
      </c>
      <c r="AR53" s="320">
        <f>SUM(AN53,AO53,AP53)</f>
        <v>489929</v>
      </c>
      <c r="AT53" s="93" t="s">
        <v>41</v>
      </c>
      <c r="AU53" s="75">
        <f>X53*gen_xl_cost*1.02</f>
        <v>0</v>
      </c>
      <c r="AV53" s="75">
        <f>Y53*rack_cost</f>
        <v>0</v>
      </c>
      <c r="AW53" s="75">
        <f>ROUND(Z53*kwh_cost,0)</f>
        <v>18029</v>
      </c>
      <c r="AX53" s="75">
        <f>AN53*hw_supt</f>
        <v>72380</v>
      </c>
      <c r="AY53" s="320">
        <f>SUM(AU53,AV53,AW53,AX53)</f>
        <v>90409</v>
      </c>
      <c r="BA53" s="93" t="s">
        <v>41</v>
      </c>
      <c r="BB53" s="75">
        <f>AI53*gen_xl_cost*1.0404</f>
        <v>156476.16</v>
      </c>
      <c r="BC53" s="75">
        <f>AJ53*rack_cost</f>
        <v>50000</v>
      </c>
      <c r="BD53" s="75">
        <f>ROUND(AK53*kwh_cost,0)</f>
        <v>25521</v>
      </c>
      <c r="BE53" s="75">
        <f>(AN53+AU53)*hw_supt</f>
        <v>72380</v>
      </c>
      <c r="BF53" s="320">
        <f>SUM(BB53,BC53,BD53,BE53)</f>
        <v>304377.16000000003</v>
      </c>
      <c r="BI53" s="189">
        <f>SUM(AH53)</f>
        <v>218</v>
      </c>
      <c r="BJ53" s="189">
        <f t="shared" si="5"/>
        <v>32</v>
      </c>
      <c r="BK53" s="189">
        <f t="shared" si="5"/>
        <v>1198017</v>
      </c>
      <c r="BL53" s="246">
        <f>SUM(AR53,AY53,BF53)</f>
        <v>884715.16</v>
      </c>
      <c r="BO53" s="93" t="s">
        <v>234</v>
      </c>
      <c r="BP53" s="69">
        <f>O54</f>
        <v>49056</v>
      </c>
      <c r="BQ53" s="69">
        <f>Z54</f>
        <v>107923</v>
      </c>
      <c r="BR53" s="69">
        <f>AK54</f>
        <v>186413</v>
      </c>
      <c r="BS53" s="189">
        <f t="shared" si="6"/>
        <v>343392</v>
      </c>
    </row>
    <row r="54" spans="1:71" ht="16" thickBot="1" x14ac:dyDescent="0.4">
      <c r="F54" s="15"/>
      <c r="G54" s="323" t="s">
        <v>317</v>
      </c>
      <c r="H54" s="108"/>
      <c r="I54" s="108"/>
      <c r="J54" s="108"/>
      <c r="K54" s="251">
        <f>ROUNDUP($C51/nas_disk,0)</f>
        <v>3</v>
      </c>
      <c r="L54" s="251">
        <f>ROUNDUP($C53/nas_bw,0)</f>
        <v>5</v>
      </c>
      <c r="M54" s="251">
        <f>MAX(K54:L54)</f>
        <v>5</v>
      </c>
      <c r="N54" s="251">
        <f>ROUNDUP(M54/nas_spr,0)</f>
        <v>3</v>
      </c>
      <c r="O54" s="322">
        <f>ROUND(M54*nas_pwr*24*365,0)</f>
        <v>49056</v>
      </c>
      <c r="Q54" s="323" t="s">
        <v>317</v>
      </c>
      <c r="R54" s="108"/>
      <c r="S54" s="108"/>
      <c r="T54" s="108"/>
      <c r="U54" s="251">
        <f>ROUNDUP($D51/nas_disk,0)</f>
        <v>3</v>
      </c>
      <c r="V54" s="251">
        <f>ROUNDUP($D53/nas_bw,0)</f>
        <v>11</v>
      </c>
      <c r="W54" s="251">
        <f>MAX(U54:V54)</f>
        <v>11</v>
      </c>
      <c r="X54" s="69">
        <f>W54-M54</f>
        <v>6</v>
      </c>
      <c r="Y54" s="69">
        <f>ROUNDUP(X54/nas_spr,0)</f>
        <v>3</v>
      </c>
      <c r="Z54" s="322">
        <f>ROUND(W54*nas_pwr*24*365,0)</f>
        <v>107923</v>
      </c>
      <c r="AA54" s="15"/>
      <c r="AB54" s="323" t="s">
        <v>317</v>
      </c>
      <c r="AC54" s="108"/>
      <c r="AD54" s="108"/>
      <c r="AE54" s="108"/>
      <c r="AF54" s="251">
        <f>ROUNDUP($E51/nas_disk,0)</f>
        <v>3</v>
      </c>
      <c r="AG54" s="251">
        <f>ROUNDUP($E53/nas_bw,0)</f>
        <v>19</v>
      </c>
      <c r="AH54" s="251">
        <f>MAX(AF54:AG54)</f>
        <v>19</v>
      </c>
      <c r="AI54" s="69">
        <f>AH54-X54</f>
        <v>13</v>
      </c>
      <c r="AJ54" s="69">
        <f>ROUNDUP(AI54/nas_spr,0)</f>
        <v>7</v>
      </c>
      <c r="AK54" s="322">
        <f>ROUND(AH54*nas_pwr*24*365,0)</f>
        <v>186413</v>
      </c>
      <c r="AM54" s="93" t="s">
        <v>317</v>
      </c>
      <c r="AN54" s="75">
        <f>M54*nas_cost</f>
        <v>900000</v>
      </c>
      <c r="AO54" s="75">
        <f>N54*rack_cost</f>
        <v>15000</v>
      </c>
      <c r="AP54" s="75">
        <f>ROUND(O54*kwh_cost,0)</f>
        <v>2521</v>
      </c>
      <c r="AQ54" s="75">
        <v>0</v>
      </c>
      <c r="AR54" s="320">
        <f>SUM(AN54,AO54,AP54)</f>
        <v>917521</v>
      </c>
      <c r="AT54" s="93" t="s">
        <v>317</v>
      </c>
      <c r="AU54" s="75">
        <f>X54*nas_cost</f>
        <v>1080000</v>
      </c>
      <c r="AV54" s="75">
        <f>Y54*rack_cost</f>
        <v>15000</v>
      </c>
      <c r="AW54" s="75">
        <f>ROUND(Z54*kwh_cost,0)</f>
        <v>5547</v>
      </c>
      <c r="AX54" s="75">
        <f>AN54*hw_supt</f>
        <v>180000</v>
      </c>
      <c r="AY54" s="320">
        <f>SUM(AU54,AV54,AW54,AX54)</f>
        <v>1280547</v>
      </c>
      <c r="BA54" s="93" t="s">
        <v>317</v>
      </c>
      <c r="BB54" s="75">
        <f>AI54*nas_cost</f>
        <v>2340000</v>
      </c>
      <c r="BC54" s="75">
        <f>AJ54*rack_cost</f>
        <v>35000</v>
      </c>
      <c r="BD54" s="75">
        <f>ROUND(AK54*kwh_cost,0)</f>
        <v>9582</v>
      </c>
      <c r="BE54" s="75">
        <f>(AN54+AU54)*hw_supt</f>
        <v>396000</v>
      </c>
      <c r="BF54" s="320">
        <f>SUM(BB54,BC54,BD54,BE54)</f>
        <v>2780582</v>
      </c>
      <c r="BI54" s="189">
        <f>SUM(AH54)</f>
        <v>19</v>
      </c>
      <c r="BJ54" s="189">
        <f t="shared" si="5"/>
        <v>13</v>
      </c>
      <c r="BK54" s="189">
        <f t="shared" si="5"/>
        <v>343392</v>
      </c>
      <c r="BL54" s="246">
        <f>SUM(AR54,AY54,BF54)</f>
        <v>4978650</v>
      </c>
      <c r="BM54" t="s">
        <v>320</v>
      </c>
      <c r="BP54" s="28"/>
    </row>
    <row r="55" spans="1:71" x14ac:dyDescent="0.35">
      <c r="F55" s="15"/>
      <c r="AA55" s="15"/>
    </row>
    <row r="56" spans="1:71" ht="18.5" x14ac:dyDescent="0.45">
      <c r="A56" s="51" t="s">
        <v>313</v>
      </c>
      <c r="F56" s="15"/>
      <c r="AA56" s="15"/>
    </row>
    <row r="57" spans="1:71" ht="16" thickBot="1" x14ac:dyDescent="0.4">
      <c r="F57" s="15"/>
      <c r="AA57" s="15"/>
    </row>
    <row r="58" spans="1:71" ht="34" customHeight="1" thickBot="1" x14ac:dyDescent="0.4">
      <c r="A58" s="437" t="s">
        <v>343</v>
      </c>
      <c r="B58" s="437"/>
      <c r="C58" s="437"/>
      <c r="D58" s="437"/>
      <c r="E58" s="437"/>
      <c r="F58" s="15"/>
      <c r="G58" s="266" t="s">
        <v>50</v>
      </c>
      <c r="H58" s="263"/>
      <c r="I58" s="263"/>
      <c r="J58" s="263"/>
      <c r="K58" s="263"/>
      <c r="L58" s="263"/>
      <c r="M58" s="263"/>
      <c r="N58" s="263"/>
      <c r="O58" s="265"/>
      <c r="P58" s="105"/>
      <c r="Q58" s="266" t="s">
        <v>51</v>
      </c>
      <c r="R58" s="263"/>
      <c r="S58" s="263"/>
      <c r="T58" s="263"/>
      <c r="U58" s="263"/>
      <c r="V58" s="263"/>
      <c r="W58" s="263"/>
      <c r="X58" s="263"/>
      <c r="Y58" s="263"/>
      <c r="Z58" s="265"/>
      <c r="AA58" s="105"/>
      <c r="AB58" s="266" t="s">
        <v>52</v>
      </c>
      <c r="AC58" s="263"/>
      <c r="AD58" s="263"/>
      <c r="AE58" s="263"/>
      <c r="AF58" s="263"/>
      <c r="AG58" s="263"/>
      <c r="AH58" s="263"/>
      <c r="AI58" s="263"/>
      <c r="AJ58" s="263"/>
      <c r="AK58" s="265"/>
      <c r="AL58" s="105"/>
      <c r="AM58" s="254" t="s">
        <v>50</v>
      </c>
      <c r="AN58" s="99"/>
      <c r="AO58" s="99"/>
      <c r="AP58" s="99"/>
      <c r="AQ58" s="99"/>
      <c r="AR58" s="100"/>
      <c r="AT58" s="254" t="s">
        <v>51</v>
      </c>
      <c r="AU58" s="96"/>
      <c r="AV58" s="96"/>
      <c r="AW58" s="96"/>
      <c r="AX58" s="96"/>
      <c r="AY58" s="97"/>
      <c r="BA58" s="254" t="s">
        <v>52</v>
      </c>
      <c r="BB58" s="96"/>
      <c r="BC58" s="96"/>
      <c r="BD58" s="96"/>
      <c r="BE58" s="96"/>
      <c r="BF58" s="97"/>
      <c r="BI58" s="243" t="s">
        <v>217</v>
      </c>
      <c r="BJ58" s="243" t="s">
        <v>215</v>
      </c>
      <c r="BK58" s="195" t="s">
        <v>214</v>
      </c>
      <c r="BL58" s="170" t="s">
        <v>213</v>
      </c>
      <c r="BO58" s="298" t="s">
        <v>76</v>
      </c>
      <c r="BP58" s="299"/>
      <c r="BQ58" s="299"/>
      <c r="BR58" s="299"/>
      <c r="BS58" s="300"/>
    </row>
    <row r="59" spans="1:71" ht="51" customHeight="1" thickBot="1" x14ac:dyDescent="0.4">
      <c r="A59" s="46" t="s">
        <v>62</v>
      </c>
      <c r="B59" s="41"/>
      <c r="C59" s="42"/>
      <c r="D59" s="42"/>
      <c r="E59" s="43"/>
      <c r="F59" s="15"/>
      <c r="G59" s="418" t="s">
        <v>53</v>
      </c>
      <c r="H59" s="416" t="s">
        <v>55</v>
      </c>
      <c r="I59" s="417"/>
      <c r="J59" s="417"/>
      <c r="K59" s="417"/>
      <c r="L59" s="417"/>
      <c r="M59" s="423" t="s">
        <v>80</v>
      </c>
      <c r="N59" s="417" t="s">
        <v>57</v>
      </c>
      <c r="O59" s="420" t="s">
        <v>241</v>
      </c>
      <c r="P59" s="293"/>
      <c r="Q59" s="418" t="s">
        <v>53</v>
      </c>
      <c r="R59" s="417" t="s">
        <v>79</v>
      </c>
      <c r="S59" s="417"/>
      <c r="T59" s="417"/>
      <c r="U59" s="417"/>
      <c r="V59" s="417"/>
      <c r="W59" s="423" t="s">
        <v>104</v>
      </c>
      <c r="X59" s="423" t="s">
        <v>72</v>
      </c>
      <c r="Y59" s="423" t="s">
        <v>74</v>
      </c>
      <c r="Z59" s="420" t="s">
        <v>241</v>
      </c>
      <c r="AA59" s="293"/>
      <c r="AB59" s="418" t="s">
        <v>53</v>
      </c>
      <c r="AC59" s="416" t="s">
        <v>55</v>
      </c>
      <c r="AD59" s="417"/>
      <c r="AE59" s="417"/>
      <c r="AF59" s="417"/>
      <c r="AG59" s="417"/>
      <c r="AH59" s="423" t="s">
        <v>78</v>
      </c>
      <c r="AI59" s="423" t="s">
        <v>72</v>
      </c>
      <c r="AJ59" s="423" t="s">
        <v>74</v>
      </c>
      <c r="AK59" s="420" t="s">
        <v>241</v>
      </c>
      <c r="AL59" s="293"/>
      <c r="AM59" s="418" t="s">
        <v>53</v>
      </c>
      <c r="AN59" s="416" t="s">
        <v>56</v>
      </c>
      <c r="AO59" s="417" t="s">
        <v>58</v>
      </c>
      <c r="AP59" s="423" t="s">
        <v>242</v>
      </c>
      <c r="AQ59" s="423" t="s">
        <v>60</v>
      </c>
      <c r="AR59" s="420" t="s">
        <v>97</v>
      </c>
      <c r="AT59" s="418" t="s">
        <v>53</v>
      </c>
      <c r="AU59" s="423" t="s">
        <v>73</v>
      </c>
      <c r="AV59" s="423" t="s">
        <v>75</v>
      </c>
      <c r="AW59" s="423" t="s">
        <v>242</v>
      </c>
      <c r="AX59" s="423" t="s">
        <v>60</v>
      </c>
      <c r="AY59" s="420" t="s">
        <v>97</v>
      </c>
      <c r="BA59" s="418" t="s">
        <v>53</v>
      </c>
      <c r="BB59" s="423" t="s">
        <v>73</v>
      </c>
      <c r="BC59" s="423" t="s">
        <v>75</v>
      </c>
      <c r="BD59" s="423" t="s">
        <v>242</v>
      </c>
      <c r="BE59" s="423" t="s">
        <v>60</v>
      </c>
      <c r="BF59" s="420" t="s">
        <v>97</v>
      </c>
      <c r="BI59" s="433"/>
      <c r="BJ59" s="433"/>
      <c r="BK59" s="433"/>
      <c r="BL59" s="433"/>
      <c r="BO59" s="92"/>
      <c r="BP59" s="296" t="s">
        <v>50</v>
      </c>
      <c r="BQ59" s="296" t="s">
        <v>51</v>
      </c>
      <c r="BR59" s="296" t="s">
        <v>52</v>
      </c>
      <c r="BS59" s="292" t="s">
        <v>77</v>
      </c>
    </row>
    <row r="60" spans="1:71" ht="16" thickBot="1" x14ac:dyDescent="0.4">
      <c r="A60" s="35"/>
      <c r="B60" s="35" t="s">
        <v>164</v>
      </c>
      <c r="C60" s="15" t="s">
        <v>50</v>
      </c>
      <c r="D60" s="15" t="s">
        <v>51</v>
      </c>
      <c r="E60" s="38" t="s">
        <v>52</v>
      </c>
      <c r="F60" s="15"/>
      <c r="G60" s="415"/>
      <c r="H60" s="426" t="s">
        <v>163</v>
      </c>
      <c r="I60" s="427"/>
      <c r="J60" s="427"/>
      <c r="K60" s="427" t="s">
        <v>47</v>
      </c>
      <c r="L60" s="427" t="s">
        <v>31</v>
      </c>
      <c r="M60" s="424"/>
      <c r="N60" s="427"/>
      <c r="O60" s="421"/>
      <c r="P60" s="293"/>
      <c r="Q60" s="415"/>
      <c r="R60" s="427" t="s">
        <v>163</v>
      </c>
      <c r="S60" s="427"/>
      <c r="T60" s="427"/>
      <c r="U60" s="427" t="s">
        <v>47</v>
      </c>
      <c r="V60" s="427" t="s">
        <v>31</v>
      </c>
      <c r="W60" s="424"/>
      <c r="X60" s="424"/>
      <c r="Y60" s="424"/>
      <c r="Z60" s="421"/>
      <c r="AA60" s="293"/>
      <c r="AB60" s="415"/>
      <c r="AC60" s="426" t="s">
        <v>163</v>
      </c>
      <c r="AD60" s="427"/>
      <c r="AE60" s="427"/>
      <c r="AF60" s="427" t="s">
        <v>47</v>
      </c>
      <c r="AG60" s="427" t="s">
        <v>31</v>
      </c>
      <c r="AH60" s="424"/>
      <c r="AI60" s="424"/>
      <c r="AJ60" s="424"/>
      <c r="AK60" s="421"/>
      <c r="AL60" s="293"/>
      <c r="AM60" s="415"/>
      <c r="AN60" s="426"/>
      <c r="AO60" s="427"/>
      <c r="AP60" s="424"/>
      <c r="AQ60" s="424"/>
      <c r="AR60" s="421"/>
      <c r="AT60" s="415"/>
      <c r="AU60" s="424"/>
      <c r="AV60" s="424"/>
      <c r="AW60" s="424"/>
      <c r="AX60" s="424"/>
      <c r="AY60" s="421"/>
      <c r="BA60" s="415"/>
      <c r="BB60" s="424"/>
      <c r="BC60" s="424"/>
      <c r="BD60" s="424"/>
      <c r="BE60" s="424"/>
      <c r="BF60" s="421"/>
      <c r="BI60" s="431"/>
      <c r="BJ60" s="431"/>
      <c r="BK60" s="431"/>
      <c r="BL60" s="431"/>
      <c r="BO60" s="254" t="s">
        <v>91</v>
      </c>
      <c r="BP60" s="260">
        <f>AR64</f>
        <v>917521</v>
      </c>
      <c r="BQ60" s="260">
        <f>AY64</f>
        <v>1280547</v>
      </c>
      <c r="BR60" s="260">
        <f>BF64</f>
        <v>2780582</v>
      </c>
      <c r="BS60" s="269">
        <f>SUM(BP60:BR60)</f>
        <v>4978650</v>
      </c>
    </row>
    <row r="61" spans="1:71" ht="16" thickBot="1" x14ac:dyDescent="0.4">
      <c r="A61" s="35"/>
      <c r="B61" s="112" t="s">
        <v>48</v>
      </c>
      <c r="C61" s="138">
        <f>Storage!$E$15</f>
        <v>288000</v>
      </c>
      <c r="D61" s="138">
        <f>Storage!$E$15</f>
        <v>288000</v>
      </c>
      <c r="E61" s="141">
        <f>Storage!$E$15</f>
        <v>288000</v>
      </c>
      <c r="F61" s="15"/>
      <c r="G61" s="419"/>
      <c r="H61" s="267">
        <v>0.4</v>
      </c>
      <c r="I61" s="264">
        <v>0.6</v>
      </c>
      <c r="J61" s="264">
        <v>0.8</v>
      </c>
      <c r="K61" s="428"/>
      <c r="L61" s="428"/>
      <c r="M61" s="425"/>
      <c r="N61" s="428"/>
      <c r="O61" s="422"/>
      <c r="P61" s="293"/>
      <c r="Q61" s="419"/>
      <c r="R61" s="264">
        <v>0.4</v>
      </c>
      <c r="S61" s="264">
        <v>0.6</v>
      </c>
      <c r="T61" s="264">
        <v>0.8</v>
      </c>
      <c r="U61" s="428"/>
      <c r="V61" s="428"/>
      <c r="W61" s="425"/>
      <c r="X61" s="425"/>
      <c r="Y61" s="425"/>
      <c r="Z61" s="422"/>
      <c r="AA61" s="293"/>
      <c r="AB61" s="419"/>
      <c r="AC61" s="267">
        <v>0.4</v>
      </c>
      <c r="AD61" s="264">
        <v>0.6</v>
      </c>
      <c r="AE61" s="264">
        <v>0.8</v>
      </c>
      <c r="AF61" s="428"/>
      <c r="AG61" s="428"/>
      <c r="AH61" s="425"/>
      <c r="AI61" s="425"/>
      <c r="AJ61" s="425"/>
      <c r="AK61" s="422"/>
      <c r="AL61" s="293"/>
      <c r="AM61" s="415"/>
      <c r="AN61" s="429"/>
      <c r="AO61" s="428"/>
      <c r="AP61" s="425"/>
      <c r="AQ61" s="425"/>
      <c r="AR61" s="422"/>
      <c r="AT61" s="419"/>
      <c r="AU61" s="425"/>
      <c r="AV61" s="425"/>
      <c r="AW61" s="425"/>
      <c r="AX61" s="425"/>
      <c r="AY61" s="422"/>
      <c r="BA61" s="419"/>
      <c r="BB61" s="425"/>
      <c r="BC61" s="425"/>
      <c r="BD61" s="425"/>
      <c r="BE61" s="425"/>
      <c r="BF61" s="422"/>
      <c r="BI61" s="432"/>
      <c r="BJ61" s="432"/>
      <c r="BK61" s="432"/>
      <c r="BL61" s="432"/>
      <c r="BO61" s="92" t="s">
        <v>235</v>
      </c>
      <c r="BP61" s="270">
        <f>M64</f>
        <v>5</v>
      </c>
      <c r="BQ61" s="270">
        <f>X64</f>
        <v>6</v>
      </c>
      <c r="BR61" s="270">
        <f>AI64</f>
        <v>13</v>
      </c>
      <c r="BS61" s="215">
        <f>SUM(BP61:BR61)</f>
        <v>24</v>
      </c>
    </row>
    <row r="62" spans="1:71" ht="17" customHeight="1" x14ac:dyDescent="0.35">
      <c r="A62" s="35"/>
      <c r="B62" s="112" t="s">
        <v>146</v>
      </c>
      <c r="C62" s="138">
        <f>'CPU (Workload)'!$E$17</f>
        <v>1397.3968749999999</v>
      </c>
      <c r="D62" s="138">
        <f>'CPU (Workload)'!$E$19</f>
        <v>3311.4166666666665</v>
      </c>
      <c r="E62" s="141">
        <f>'CPU (Workload)'!$E$21</f>
        <v>5887.1958333333332</v>
      </c>
      <c r="F62" s="15"/>
      <c r="G62" s="235" t="s">
        <v>32</v>
      </c>
      <c r="H62" s="12">
        <f>ROUNDUP($C62/(gen_l_tps40/2),0)</f>
        <v>4</v>
      </c>
      <c r="I62" s="12">
        <f>ROUNDUP($C62/(gen_l_tps60/2),0)</f>
        <v>3</v>
      </c>
      <c r="J62" s="12">
        <f>ROUNDUP($C62/(gen_l_tps80/2),0)</f>
        <v>2</v>
      </c>
      <c r="K62" s="9">
        <f>ROUNDUP($C61/gen_l_disk,0)</f>
        <v>452</v>
      </c>
      <c r="L62" s="9">
        <f>ROUNDUP($C63/gen_l_bw,0)</f>
        <v>108</v>
      </c>
      <c r="M62" s="9">
        <f>MAX(J62:L62)</f>
        <v>452</v>
      </c>
      <c r="N62" s="9">
        <f>ROUNDUP(M62/gen_l_spr80,0)</f>
        <v>42</v>
      </c>
      <c r="O62" s="76">
        <f>ROUND(M62*gen_l_pow80*24*365,0)</f>
        <v>1029475</v>
      </c>
      <c r="P62" s="67"/>
      <c r="Q62" s="235" t="s">
        <v>32</v>
      </c>
      <c r="R62" s="12">
        <f>ROUNDUP($D62/(gen_l_tps40),0)</f>
        <v>5</v>
      </c>
      <c r="S62" s="12">
        <f>ROUNDUP($D62/(gen_l_tps60),0)</f>
        <v>3</v>
      </c>
      <c r="T62" s="12">
        <f>ROUNDUP($D62/(gen_l_tps80),0)</f>
        <v>3</v>
      </c>
      <c r="U62" s="9">
        <f>ROUNDUP($D61/gen_l_disk,0)</f>
        <v>452</v>
      </c>
      <c r="V62" s="9">
        <f>ROUNDUP($D63/gen_l_bw,0)</f>
        <v>255</v>
      </c>
      <c r="W62" s="9">
        <f>MAX(T62:V62)</f>
        <v>452</v>
      </c>
      <c r="X62" s="9">
        <f>W62-M62</f>
        <v>0</v>
      </c>
      <c r="Y62" s="9">
        <f>ROUNDUP(X62/gen_l_spr80,0)</f>
        <v>0</v>
      </c>
      <c r="Z62" s="76">
        <f>ROUND((W62)*gen_l_pow80*24*365,0)</f>
        <v>1029475</v>
      </c>
      <c r="AA62" s="67"/>
      <c r="AB62" s="235" t="s">
        <v>32</v>
      </c>
      <c r="AC62" s="12">
        <f>ROUNDUP($E62/(gen_l_tps40),0)</f>
        <v>8</v>
      </c>
      <c r="AD62" s="12">
        <f>ROUNDUP($E62/(gen_l_tps60),0)</f>
        <v>6</v>
      </c>
      <c r="AE62" s="12">
        <f>ROUNDUP($E62/(gen_l_tps80),0)</f>
        <v>4</v>
      </c>
      <c r="AF62" s="9">
        <f>ROUNDUP($E61/gen_l_disk,0)</f>
        <v>452</v>
      </c>
      <c r="AG62" s="9">
        <f>ROUNDUP($E63/gen_l_bw,0)</f>
        <v>453</v>
      </c>
      <c r="AH62" s="9">
        <f>MAX(AE62:AG62)</f>
        <v>453</v>
      </c>
      <c r="AI62" s="9">
        <f>AH62-W62</f>
        <v>1</v>
      </c>
      <c r="AJ62" s="9">
        <f>ROUNDUP(AI62/gen_l_spr80,0)</f>
        <v>1</v>
      </c>
      <c r="AK62" s="76">
        <f>ROUND((AH62)*gen_l_pow80*24*365,0)</f>
        <v>1031753</v>
      </c>
      <c r="AL62" s="67"/>
      <c r="AM62" s="235" t="s">
        <v>32</v>
      </c>
      <c r="AN62" s="36">
        <f>M62*gen_l_cost</f>
        <v>384200</v>
      </c>
      <c r="AO62" s="36">
        <f>N62*rack_cost</f>
        <v>210000</v>
      </c>
      <c r="AP62" s="36">
        <f>ROUND(O62*kwh_cost,0)</f>
        <v>52915</v>
      </c>
      <c r="AQ62" s="36">
        <v>0</v>
      </c>
      <c r="AR62" s="72">
        <f>SUM(AN62,AO62,AP62)</f>
        <v>647115</v>
      </c>
      <c r="AT62" s="235" t="s">
        <v>32</v>
      </c>
      <c r="AU62" s="36">
        <f>X62*gen_l_cost*1.02</f>
        <v>0</v>
      </c>
      <c r="AV62" s="36">
        <f>Y62*rack_cost</f>
        <v>0</v>
      </c>
      <c r="AW62" s="36">
        <f>ROUND(Z62*kwh_cost,0)</f>
        <v>52915</v>
      </c>
      <c r="AX62" s="36">
        <f>AN62*hw_supt</f>
        <v>76840</v>
      </c>
      <c r="AY62" s="72">
        <f>SUM(AU62,AV62,AW62,AX62)</f>
        <v>129755</v>
      </c>
      <c r="BA62" s="235" t="s">
        <v>32</v>
      </c>
      <c r="BB62" s="36">
        <f>AI62*gen_l_cost*1.0404</f>
        <v>884.34</v>
      </c>
      <c r="BC62" s="36">
        <f>AJ62*rack_cost</f>
        <v>5000</v>
      </c>
      <c r="BD62" s="36">
        <f>ROUND(AK62*kwh_cost,0)</f>
        <v>53032</v>
      </c>
      <c r="BE62" s="36">
        <f>(AN62+AU62)*hw_supt</f>
        <v>76840</v>
      </c>
      <c r="BF62" s="37">
        <f>SUM(BB62,BC62,BD62,BE62)</f>
        <v>135756.34</v>
      </c>
      <c r="BI62" s="188">
        <f>SUM(AH62)</f>
        <v>453</v>
      </c>
      <c r="BJ62" s="188">
        <f t="shared" ref="BJ62:BK64" si="7">SUM(AJ62,Y62,N62)</f>
        <v>43</v>
      </c>
      <c r="BK62" s="188">
        <f t="shared" si="7"/>
        <v>3090703</v>
      </c>
      <c r="BL62" s="245">
        <f>SUM(AR62,AY62,BF62)</f>
        <v>912626.34</v>
      </c>
      <c r="BO62" s="235" t="s">
        <v>236</v>
      </c>
      <c r="BP62" s="9">
        <f>N64</f>
        <v>3</v>
      </c>
      <c r="BQ62" s="9">
        <f>Y64</f>
        <v>3</v>
      </c>
      <c r="BR62" s="9">
        <f>AJ64</f>
        <v>7</v>
      </c>
      <c r="BS62" s="188">
        <f t="shared" ref="BS62:BS63" si="8">SUM(BP62:BR62)</f>
        <v>13</v>
      </c>
    </row>
    <row r="63" spans="1:71" ht="16" thickBot="1" x14ac:dyDescent="0.4">
      <c r="A63" s="39"/>
      <c r="B63" s="113" t="s">
        <v>49</v>
      </c>
      <c r="C63" s="142">
        <f>Bandwidth!$O$17</f>
        <v>80.490059999999986</v>
      </c>
      <c r="D63" s="142">
        <f>Bandwidth!$O$19</f>
        <v>190.73759999999999</v>
      </c>
      <c r="E63" s="143">
        <f>Bandwidth!$O$21</f>
        <v>339.10247999999996</v>
      </c>
      <c r="F63" s="15"/>
      <c r="G63" s="93" t="s">
        <v>41</v>
      </c>
      <c r="H63" s="74">
        <f>ROUNDUP($C62/(gen_xl_tps40/2),0)</f>
        <v>2</v>
      </c>
      <c r="I63" s="74">
        <f>ROUNDUP($C62/(gen_xl_tps60/2),0)</f>
        <v>2</v>
      </c>
      <c r="J63" s="74">
        <f>ROUNDUP($C62/(gen_xl_tps80/2),0)</f>
        <v>1</v>
      </c>
      <c r="K63" s="69">
        <f>ROUNDUP($C61/gen_xl_disk,0)</f>
        <v>192</v>
      </c>
      <c r="L63" s="69">
        <f>ROUNDUP($C63/gen_xl_bw,0)</f>
        <v>54</v>
      </c>
      <c r="M63" s="69">
        <f>MAX(J63:L63)</f>
        <v>192</v>
      </c>
      <c r="N63" s="69">
        <f>ROUNDUP(M63/gen_xl_spr80,0)</f>
        <v>28</v>
      </c>
      <c r="O63" s="77">
        <f>ROUND(M63*gen_l_pow80*24*365,0)</f>
        <v>437299</v>
      </c>
      <c r="P63" s="67"/>
      <c r="Q63" s="93" t="s">
        <v>41</v>
      </c>
      <c r="R63" s="74">
        <f>ROUNDUP($D62/(gen_xl_tps40),0) - H63</f>
        <v>0</v>
      </c>
      <c r="S63" s="74">
        <f>ROUNDUP($D62/(gen_xl_tps60),0)</f>
        <v>2</v>
      </c>
      <c r="T63" s="74">
        <f>ROUNDUP($D62/(gen_xl_tps80),0)</f>
        <v>1</v>
      </c>
      <c r="U63" s="69">
        <f>ROUNDUP($D61/gen_xl_disk,0)</f>
        <v>192</v>
      </c>
      <c r="V63" s="69">
        <f>ROUNDUP($D63/gen_xl_bw,0)</f>
        <v>128</v>
      </c>
      <c r="W63" s="69">
        <f>MAX(T63:V63)</f>
        <v>192</v>
      </c>
      <c r="X63" s="69">
        <f>W63-M63</f>
        <v>0</v>
      </c>
      <c r="Y63" s="69">
        <f>ROUNDUP(X63/gen_xl_spr80,0)</f>
        <v>0</v>
      </c>
      <c r="Z63" s="77">
        <f>ROUND((W63)*gen_l_pow80*24*365,0)</f>
        <v>437299</v>
      </c>
      <c r="AA63" s="67"/>
      <c r="AB63" s="93" t="s">
        <v>41</v>
      </c>
      <c r="AC63" s="74">
        <f>ROUNDUP($E62/(gen_xl_tps40),0)</f>
        <v>4</v>
      </c>
      <c r="AD63" s="74">
        <f>ROUNDUP($E62/(gen_xl_tps60),0)</f>
        <v>3</v>
      </c>
      <c r="AE63" s="74">
        <f>ROUNDUP($E62/(gen_xl_tps80),0)</f>
        <v>2</v>
      </c>
      <c r="AF63" s="69">
        <f>ROUNDUP($E61/gen_xl_disk,0)</f>
        <v>192</v>
      </c>
      <c r="AG63" s="69">
        <f>ROUNDUP($E63/gen_xl_bw,0)</f>
        <v>227</v>
      </c>
      <c r="AH63" s="69">
        <f>MAX(AE63:AG63)</f>
        <v>227</v>
      </c>
      <c r="AI63" s="69">
        <f>AH63-W63</f>
        <v>35</v>
      </c>
      <c r="AJ63" s="69">
        <f>ROUNDUP(AI63/gen_xl_spr80,0)</f>
        <v>5</v>
      </c>
      <c r="AK63" s="77">
        <f>ROUND((AH63)*gen_l_pow80*24*365,0)</f>
        <v>517015</v>
      </c>
      <c r="AL63" s="67"/>
      <c r="AM63" s="93" t="s">
        <v>41</v>
      </c>
      <c r="AN63" s="75">
        <f>M63*gen_xl_cost</f>
        <v>451200</v>
      </c>
      <c r="AO63" s="75">
        <f>N63*rack_cost</f>
        <v>140000</v>
      </c>
      <c r="AP63" s="75">
        <f>ROUND(O63*kwh_cost,0)</f>
        <v>22477</v>
      </c>
      <c r="AQ63" s="75">
        <v>0</v>
      </c>
      <c r="AR63" s="320">
        <f>SUM(AN63,AO63,AP63)</f>
        <v>613677</v>
      </c>
      <c r="AT63" s="93" t="s">
        <v>41</v>
      </c>
      <c r="AU63" s="40">
        <f>X63*gen_xl_cost*1.02</f>
        <v>0</v>
      </c>
      <c r="AV63" s="40">
        <f>Y63*rack_cost</f>
        <v>0</v>
      </c>
      <c r="AW63" s="40">
        <f>ROUND(Z63*kwh_cost,0)</f>
        <v>22477</v>
      </c>
      <c r="AX63" s="40">
        <f>AN63*hw_supt</f>
        <v>90240</v>
      </c>
      <c r="AY63" s="320">
        <f>SUM(AU63,AV63,AW63,AX63)</f>
        <v>112717</v>
      </c>
      <c r="BA63" s="93" t="s">
        <v>41</v>
      </c>
      <c r="BB63" s="40">
        <f>AI63*gen_xl_cost*1.0404</f>
        <v>85572.9</v>
      </c>
      <c r="BC63" s="40">
        <f>AJ63*rack_cost</f>
        <v>25000</v>
      </c>
      <c r="BD63" s="40">
        <f>ROUND(AK63*kwh_cost,0)</f>
        <v>26575</v>
      </c>
      <c r="BE63" s="40">
        <f>(AN63+AU63)*hw_supt</f>
        <v>90240</v>
      </c>
      <c r="BF63" s="320">
        <f>SUM(BB63,BC63,BD63,BE63)</f>
        <v>227387.9</v>
      </c>
      <c r="BI63" s="189">
        <f>SUM(AH63)</f>
        <v>227</v>
      </c>
      <c r="BJ63" s="189">
        <f t="shared" si="7"/>
        <v>33</v>
      </c>
      <c r="BK63" s="189">
        <f t="shared" si="7"/>
        <v>1391613</v>
      </c>
      <c r="BL63" s="246">
        <f>SUM(AR63,AY63,BF63)</f>
        <v>953781.9</v>
      </c>
      <c r="BO63" s="93" t="s">
        <v>234</v>
      </c>
      <c r="BP63" s="69">
        <f>O64</f>
        <v>49056</v>
      </c>
      <c r="BQ63" s="69">
        <f>Z64</f>
        <v>107923</v>
      </c>
      <c r="BR63" s="69">
        <f>AK64</f>
        <v>186413</v>
      </c>
      <c r="BS63" s="189">
        <f t="shared" si="8"/>
        <v>343392</v>
      </c>
    </row>
    <row r="64" spans="1:71" ht="16" thickBot="1" x14ac:dyDescent="0.4">
      <c r="F64" s="15"/>
      <c r="G64" s="323" t="s">
        <v>317</v>
      </c>
      <c r="H64" s="108"/>
      <c r="I64" s="108"/>
      <c r="J64" s="108"/>
      <c r="K64" s="251">
        <f>ROUNDUP($C61/nas_disk,0)</f>
        <v>4</v>
      </c>
      <c r="L64" s="251">
        <f>ROUNDUP($C63/nas_bw,0)</f>
        <v>5</v>
      </c>
      <c r="M64" s="251">
        <f>MAX(K64:L64)</f>
        <v>5</v>
      </c>
      <c r="N64" s="251">
        <f>ROUNDUP(M64/nas_spr,0)</f>
        <v>3</v>
      </c>
      <c r="O64" s="322">
        <f>ROUND(M64*nas_pwr*24*365,0)</f>
        <v>49056</v>
      </c>
      <c r="Q64" s="323" t="s">
        <v>317</v>
      </c>
      <c r="R64" s="108"/>
      <c r="S64" s="108"/>
      <c r="T64" s="108"/>
      <c r="U64" s="251">
        <f>ROUNDUP($D61/nas_disk,0)</f>
        <v>4</v>
      </c>
      <c r="V64" s="251">
        <f>ROUNDUP($D63/nas_bw,0)</f>
        <v>11</v>
      </c>
      <c r="W64" s="251">
        <f>MAX(U64:V64)</f>
        <v>11</v>
      </c>
      <c r="X64" s="69">
        <f>W64-M64</f>
        <v>6</v>
      </c>
      <c r="Y64" s="69">
        <f>ROUNDUP(X64/nas_spr,0)</f>
        <v>3</v>
      </c>
      <c r="Z64" s="322">
        <f>ROUND(W64*nas_pwr*24*365,0)</f>
        <v>107923</v>
      </c>
      <c r="AA64" s="15"/>
      <c r="AB64" s="323" t="s">
        <v>317</v>
      </c>
      <c r="AC64" s="108"/>
      <c r="AD64" s="108"/>
      <c r="AE64" s="108"/>
      <c r="AF64" s="251">
        <f>ROUNDUP($E61/nas_disk,0)</f>
        <v>4</v>
      </c>
      <c r="AG64" s="251">
        <f>ROUNDUP($E63/nas_bw,0)</f>
        <v>19</v>
      </c>
      <c r="AH64" s="251">
        <f>MAX(AF64:AG64)</f>
        <v>19</v>
      </c>
      <c r="AI64" s="69">
        <f>AH64-X64</f>
        <v>13</v>
      </c>
      <c r="AJ64" s="69">
        <f>ROUNDUP(AI64/nas_spr,0)</f>
        <v>7</v>
      </c>
      <c r="AK64" s="322">
        <f>ROUND(AH64*nas_pwr*24*365,0)</f>
        <v>186413</v>
      </c>
      <c r="AM64" s="93" t="s">
        <v>317</v>
      </c>
      <c r="AN64" s="75">
        <f>M64*nas_cost</f>
        <v>900000</v>
      </c>
      <c r="AO64" s="75">
        <f>N64*rack_cost</f>
        <v>15000</v>
      </c>
      <c r="AP64" s="75">
        <f>ROUND(O64*kwh_cost,0)</f>
        <v>2521</v>
      </c>
      <c r="AQ64" s="75">
        <v>0</v>
      </c>
      <c r="AR64" s="320">
        <f>SUM(AN64,AO64,AP64)</f>
        <v>917521</v>
      </c>
      <c r="AT64" s="93" t="s">
        <v>317</v>
      </c>
      <c r="AU64" s="40">
        <f>X64*nas_cost</f>
        <v>1080000</v>
      </c>
      <c r="AV64" s="40">
        <f>Y64*rack_cost</f>
        <v>15000</v>
      </c>
      <c r="AW64" s="40">
        <f>ROUND(Z64*kwh_cost,0)</f>
        <v>5547</v>
      </c>
      <c r="AX64" s="40">
        <f>AN64*hw_supt</f>
        <v>180000</v>
      </c>
      <c r="AY64" s="320">
        <f>SUM(AU64,AV64,AW64,AX64)</f>
        <v>1280547</v>
      </c>
      <c r="BA64" s="93" t="s">
        <v>317</v>
      </c>
      <c r="BB64" s="40">
        <f>AI64*nas_cost</f>
        <v>2340000</v>
      </c>
      <c r="BC64" s="40">
        <f>AJ64*rack_cost</f>
        <v>35000</v>
      </c>
      <c r="BD64" s="40">
        <f>ROUND(AK64*kwh_cost,0)</f>
        <v>9582</v>
      </c>
      <c r="BE64" s="40">
        <f>(AN64+AU64)*hw_supt</f>
        <v>396000</v>
      </c>
      <c r="BF64" s="320">
        <f>SUM(BB64,BC64,BD64,BE64)</f>
        <v>2780582</v>
      </c>
      <c r="BI64" s="189">
        <f>SUM(AH64)</f>
        <v>19</v>
      </c>
      <c r="BJ64" s="189">
        <f t="shared" si="7"/>
        <v>13</v>
      </c>
      <c r="BK64" s="189">
        <f t="shared" si="7"/>
        <v>343392</v>
      </c>
      <c r="BL64" s="246">
        <f>SUM(AR64,AY64,BF64)</f>
        <v>4978650</v>
      </c>
      <c r="BM64" t="s">
        <v>320</v>
      </c>
    </row>
    <row r="65" spans="1:71" x14ac:dyDescent="0.35">
      <c r="F65" s="15"/>
      <c r="AA65" s="15"/>
    </row>
    <row r="66" spans="1:71" ht="18.5" x14ac:dyDescent="0.45">
      <c r="A66" s="51" t="s">
        <v>356</v>
      </c>
      <c r="F66" s="15"/>
      <c r="AA66" s="15"/>
    </row>
    <row r="67" spans="1:71" ht="16" thickBot="1" x14ac:dyDescent="0.4">
      <c r="F67" s="15"/>
      <c r="AA67" s="15"/>
    </row>
    <row r="68" spans="1:71" ht="34" customHeight="1" thickBot="1" x14ac:dyDescent="0.4">
      <c r="A68" s="437" t="s">
        <v>344</v>
      </c>
      <c r="B68" s="437"/>
      <c r="C68" s="437"/>
      <c r="D68" s="437"/>
      <c r="E68" s="437"/>
      <c r="F68" s="15"/>
      <c r="G68" s="266" t="s">
        <v>50</v>
      </c>
      <c r="H68" s="263"/>
      <c r="I68" s="263"/>
      <c r="J68" s="263"/>
      <c r="K68" s="263"/>
      <c r="L68" s="263"/>
      <c r="M68" s="263"/>
      <c r="N68" s="263"/>
      <c r="O68" s="265"/>
      <c r="P68" s="105"/>
      <c r="Q68" s="266" t="s">
        <v>51</v>
      </c>
      <c r="R68" s="263"/>
      <c r="S68" s="263"/>
      <c r="T68" s="263"/>
      <c r="U68" s="263"/>
      <c r="V68" s="263"/>
      <c r="W68" s="263"/>
      <c r="X68" s="263"/>
      <c r="Y68" s="263"/>
      <c r="Z68" s="265"/>
      <c r="AA68" s="105"/>
      <c r="AB68" s="266" t="s">
        <v>52</v>
      </c>
      <c r="AC68" s="263"/>
      <c r="AD68" s="263"/>
      <c r="AE68" s="263"/>
      <c r="AF68" s="263"/>
      <c r="AG68" s="263"/>
      <c r="AH68" s="263"/>
      <c r="AI68" s="263"/>
      <c r="AJ68" s="263"/>
      <c r="AK68" s="265"/>
      <c r="AL68" s="105"/>
      <c r="AM68" s="254" t="s">
        <v>50</v>
      </c>
      <c r="AN68" s="99"/>
      <c r="AO68" s="99"/>
      <c r="AP68" s="99"/>
      <c r="AQ68" s="99"/>
      <c r="AR68" s="100"/>
      <c r="AT68" s="254" t="s">
        <v>51</v>
      </c>
      <c r="AU68" s="96"/>
      <c r="AV68" s="96"/>
      <c r="AW68" s="96"/>
      <c r="AX68" s="96"/>
      <c r="AY68" s="97"/>
      <c r="BA68" s="254" t="s">
        <v>52</v>
      </c>
      <c r="BB68" s="96"/>
      <c r="BC68" s="96"/>
      <c r="BD68" s="96"/>
      <c r="BE68" s="96"/>
      <c r="BF68" s="97"/>
      <c r="BI68" s="243" t="s">
        <v>217</v>
      </c>
      <c r="BJ68" s="243" t="s">
        <v>215</v>
      </c>
      <c r="BK68" s="195" t="s">
        <v>214</v>
      </c>
      <c r="BL68" s="170" t="s">
        <v>213</v>
      </c>
      <c r="BO68" s="298" t="s">
        <v>76</v>
      </c>
      <c r="BP68" s="299"/>
      <c r="BQ68" s="299"/>
      <c r="BR68" s="299"/>
      <c r="BS68" s="300"/>
    </row>
    <row r="69" spans="1:71" ht="51" customHeight="1" thickBot="1" x14ac:dyDescent="0.4">
      <c r="A69" s="46" t="s">
        <v>62</v>
      </c>
      <c r="B69" s="41"/>
      <c r="C69" s="42"/>
      <c r="D69" s="42"/>
      <c r="E69" s="43"/>
      <c r="F69" s="15"/>
      <c r="G69" s="418" t="s">
        <v>53</v>
      </c>
      <c r="H69" s="416" t="s">
        <v>55</v>
      </c>
      <c r="I69" s="417"/>
      <c r="J69" s="417"/>
      <c r="K69" s="417"/>
      <c r="L69" s="417"/>
      <c r="M69" s="423" t="s">
        <v>80</v>
      </c>
      <c r="N69" s="417" t="s">
        <v>57</v>
      </c>
      <c r="O69" s="420" t="s">
        <v>241</v>
      </c>
      <c r="P69" s="293"/>
      <c r="Q69" s="418" t="s">
        <v>53</v>
      </c>
      <c r="R69" s="417" t="s">
        <v>79</v>
      </c>
      <c r="S69" s="417"/>
      <c r="T69" s="417"/>
      <c r="U69" s="417"/>
      <c r="V69" s="417"/>
      <c r="W69" s="423" t="s">
        <v>104</v>
      </c>
      <c r="X69" s="423" t="s">
        <v>72</v>
      </c>
      <c r="Y69" s="423" t="s">
        <v>74</v>
      </c>
      <c r="Z69" s="420" t="s">
        <v>241</v>
      </c>
      <c r="AA69" s="293"/>
      <c r="AB69" s="418" t="s">
        <v>53</v>
      </c>
      <c r="AC69" s="416" t="s">
        <v>55</v>
      </c>
      <c r="AD69" s="417"/>
      <c r="AE69" s="417"/>
      <c r="AF69" s="417"/>
      <c r="AG69" s="417"/>
      <c r="AH69" s="423" t="s">
        <v>78</v>
      </c>
      <c r="AI69" s="423" t="s">
        <v>72</v>
      </c>
      <c r="AJ69" s="423" t="s">
        <v>74</v>
      </c>
      <c r="AK69" s="420" t="s">
        <v>241</v>
      </c>
      <c r="AL69" s="293"/>
      <c r="AM69" s="418" t="s">
        <v>53</v>
      </c>
      <c r="AN69" s="416" t="s">
        <v>56</v>
      </c>
      <c r="AO69" s="417" t="s">
        <v>58</v>
      </c>
      <c r="AP69" s="423" t="s">
        <v>242</v>
      </c>
      <c r="AQ69" s="423" t="s">
        <v>60</v>
      </c>
      <c r="AR69" s="420" t="s">
        <v>97</v>
      </c>
      <c r="AT69" s="418" t="s">
        <v>53</v>
      </c>
      <c r="AU69" s="423" t="s">
        <v>73</v>
      </c>
      <c r="AV69" s="423" t="s">
        <v>75</v>
      </c>
      <c r="AW69" s="423" t="s">
        <v>242</v>
      </c>
      <c r="AX69" s="423" t="s">
        <v>60</v>
      </c>
      <c r="AY69" s="420" t="s">
        <v>97</v>
      </c>
      <c r="BA69" s="418" t="s">
        <v>53</v>
      </c>
      <c r="BB69" s="423" t="s">
        <v>73</v>
      </c>
      <c r="BC69" s="423" t="s">
        <v>75</v>
      </c>
      <c r="BD69" s="423" t="s">
        <v>242</v>
      </c>
      <c r="BE69" s="423" t="s">
        <v>60</v>
      </c>
      <c r="BF69" s="420" t="s">
        <v>97</v>
      </c>
      <c r="BI69" s="433"/>
      <c r="BJ69" s="433"/>
      <c r="BK69" s="433"/>
      <c r="BL69" s="433"/>
      <c r="BO69" s="92"/>
      <c r="BP69" s="296" t="s">
        <v>50</v>
      </c>
      <c r="BQ69" s="296" t="s">
        <v>51</v>
      </c>
      <c r="BR69" s="296" t="s">
        <v>52</v>
      </c>
      <c r="BS69" s="292" t="s">
        <v>77</v>
      </c>
    </row>
    <row r="70" spans="1:71" ht="16" thickBot="1" x14ac:dyDescent="0.4">
      <c r="A70" s="35"/>
      <c r="B70" s="35" t="s">
        <v>164</v>
      </c>
      <c r="C70" s="15" t="s">
        <v>50</v>
      </c>
      <c r="D70" s="15" t="s">
        <v>51</v>
      </c>
      <c r="E70" s="38" t="s">
        <v>52</v>
      </c>
      <c r="F70" s="15"/>
      <c r="G70" s="415"/>
      <c r="H70" s="426" t="s">
        <v>163</v>
      </c>
      <c r="I70" s="427"/>
      <c r="J70" s="427"/>
      <c r="K70" s="427" t="s">
        <v>47</v>
      </c>
      <c r="L70" s="427" t="s">
        <v>31</v>
      </c>
      <c r="M70" s="424"/>
      <c r="N70" s="427"/>
      <c r="O70" s="421"/>
      <c r="P70" s="293"/>
      <c r="Q70" s="415"/>
      <c r="R70" s="427" t="s">
        <v>163</v>
      </c>
      <c r="S70" s="427"/>
      <c r="T70" s="427"/>
      <c r="U70" s="427" t="s">
        <v>47</v>
      </c>
      <c r="V70" s="427" t="s">
        <v>31</v>
      </c>
      <c r="W70" s="424"/>
      <c r="X70" s="424"/>
      <c r="Y70" s="424"/>
      <c r="Z70" s="421"/>
      <c r="AA70" s="293"/>
      <c r="AB70" s="415"/>
      <c r="AC70" s="426" t="s">
        <v>163</v>
      </c>
      <c r="AD70" s="427"/>
      <c r="AE70" s="427"/>
      <c r="AF70" s="427" t="s">
        <v>47</v>
      </c>
      <c r="AG70" s="427" t="s">
        <v>31</v>
      </c>
      <c r="AH70" s="424"/>
      <c r="AI70" s="424"/>
      <c r="AJ70" s="424"/>
      <c r="AK70" s="421"/>
      <c r="AL70" s="293"/>
      <c r="AM70" s="415"/>
      <c r="AN70" s="426"/>
      <c r="AO70" s="427"/>
      <c r="AP70" s="424"/>
      <c r="AQ70" s="424"/>
      <c r="AR70" s="421"/>
      <c r="AT70" s="415"/>
      <c r="AU70" s="424"/>
      <c r="AV70" s="424"/>
      <c r="AW70" s="424"/>
      <c r="AX70" s="424"/>
      <c r="AY70" s="421"/>
      <c r="BA70" s="415"/>
      <c r="BB70" s="424"/>
      <c r="BC70" s="424"/>
      <c r="BD70" s="424"/>
      <c r="BE70" s="424"/>
      <c r="BF70" s="421"/>
      <c r="BI70" s="431"/>
      <c r="BJ70" s="431"/>
      <c r="BK70" s="431"/>
      <c r="BL70" s="431"/>
      <c r="BO70" s="254" t="s">
        <v>91</v>
      </c>
      <c r="BP70" s="260">
        <f>AR73</f>
        <v>799234</v>
      </c>
      <c r="BQ70" s="260">
        <f>AY73</f>
        <v>1262194</v>
      </c>
      <c r="BR70" s="260">
        <f>BF73</f>
        <v>1866187.8800000001</v>
      </c>
      <c r="BS70" s="269">
        <f>SUM(BP70:BR70)</f>
        <v>3927615.88</v>
      </c>
    </row>
    <row r="71" spans="1:71" ht="16" thickBot="1" x14ac:dyDescent="0.4">
      <c r="A71" s="35"/>
      <c r="B71" s="112" t="s">
        <v>48</v>
      </c>
      <c r="C71" s="138">
        <v>0</v>
      </c>
      <c r="D71" s="138">
        <v>0</v>
      </c>
      <c r="E71" s="141">
        <v>0</v>
      </c>
      <c r="F71" s="15"/>
      <c r="G71" s="419"/>
      <c r="H71" s="267">
        <v>0.4</v>
      </c>
      <c r="I71" s="264">
        <v>0.6</v>
      </c>
      <c r="J71" s="264">
        <v>0.8</v>
      </c>
      <c r="K71" s="428"/>
      <c r="L71" s="428"/>
      <c r="M71" s="425"/>
      <c r="N71" s="428"/>
      <c r="O71" s="422"/>
      <c r="P71" s="293"/>
      <c r="Q71" s="419"/>
      <c r="R71" s="264">
        <v>0.4</v>
      </c>
      <c r="S71" s="264">
        <v>0.6</v>
      </c>
      <c r="T71" s="264">
        <v>0.8</v>
      </c>
      <c r="U71" s="428"/>
      <c r="V71" s="428"/>
      <c r="W71" s="425"/>
      <c r="X71" s="425"/>
      <c r="Y71" s="425"/>
      <c r="Z71" s="422"/>
      <c r="AA71" s="293"/>
      <c r="AB71" s="419"/>
      <c r="AC71" s="267">
        <v>0.4</v>
      </c>
      <c r="AD71" s="264">
        <v>0.6</v>
      </c>
      <c r="AE71" s="264">
        <v>0.8</v>
      </c>
      <c r="AF71" s="428"/>
      <c r="AG71" s="428"/>
      <c r="AH71" s="425"/>
      <c r="AI71" s="425"/>
      <c r="AJ71" s="425"/>
      <c r="AK71" s="422"/>
      <c r="AL71" s="293"/>
      <c r="AM71" s="419"/>
      <c r="AN71" s="429"/>
      <c r="AO71" s="428"/>
      <c r="AP71" s="425"/>
      <c r="AQ71" s="425"/>
      <c r="AR71" s="422"/>
      <c r="AT71" s="419"/>
      <c r="AU71" s="425"/>
      <c r="AV71" s="425"/>
      <c r="AW71" s="425"/>
      <c r="AX71" s="425"/>
      <c r="AY71" s="422"/>
      <c r="BA71" s="419"/>
      <c r="BB71" s="425"/>
      <c r="BC71" s="425"/>
      <c r="BD71" s="425"/>
      <c r="BE71" s="425"/>
      <c r="BF71" s="422"/>
      <c r="BI71" s="432"/>
      <c r="BJ71" s="432"/>
      <c r="BK71" s="432"/>
      <c r="BL71" s="432"/>
      <c r="BO71" s="92" t="s">
        <v>235</v>
      </c>
      <c r="BP71" s="270">
        <f>M73</f>
        <v>251</v>
      </c>
      <c r="BQ71" s="270">
        <f>X73</f>
        <v>344</v>
      </c>
      <c r="BR71" s="270">
        <f>AI73</f>
        <v>462</v>
      </c>
      <c r="BS71" s="215">
        <f>SUM(BP71:BR71)</f>
        <v>1057</v>
      </c>
    </row>
    <row r="72" spans="1:71" ht="17" customHeight="1" x14ac:dyDescent="0.35">
      <c r="A72" s="35"/>
      <c r="B72" s="112" t="s">
        <v>146</v>
      </c>
      <c r="C72" s="138">
        <f>'CPU (Workload)'!$D$17</f>
        <v>8384.3812499999985</v>
      </c>
      <c r="D72" s="138">
        <f>'CPU (Workload)'!$D$19</f>
        <v>19868.499999999996</v>
      </c>
      <c r="E72" s="141">
        <f>'CPU (Workload)'!$D$21</f>
        <v>35323.174999999996</v>
      </c>
      <c r="F72" s="15"/>
      <c r="G72" s="235" t="s">
        <v>32</v>
      </c>
      <c r="H72" s="12">
        <f>ROUNDUP($C72/(gen_l_tps40/1.6),0)</f>
        <v>18</v>
      </c>
      <c r="I72" s="12">
        <f>ROUNDUP($C72/(gen_l_tps60/1.6),0)</f>
        <v>12</v>
      </c>
      <c r="J72" s="12">
        <f>ROUNDUP($C72/(gen_l_tps80/1.6),0)</f>
        <v>9</v>
      </c>
      <c r="K72" s="9">
        <f>ROUNDUP($C71/gen_l_disk,0)</f>
        <v>0</v>
      </c>
      <c r="L72" s="9">
        <f>ROUNDUP($C73/gen_l_bw,0)</f>
        <v>502</v>
      </c>
      <c r="M72" s="9">
        <f>MAX(J72:L72)</f>
        <v>502</v>
      </c>
      <c r="N72" s="9">
        <f>ROUNDUP(M72/gen_l_spr80,0)</f>
        <v>46</v>
      </c>
      <c r="O72" s="76">
        <f>ROUND(M72*gen_l_pow80*24*365,0)</f>
        <v>1143355</v>
      </c>
      <c r="P72" s="67"/>
      <c r="Q72" s="235" t="s">
        <v>32</v>
      </c>
      <c r="R72" s="12">
        <f>ROUNDUP($D72/(gen_l_tps40),0)</f>
        <v>27</v>
      </c>
      <c r="S72" s="12">
        <f>ROUNDUP($D72/(gen_l_tps60),0)</f>
        <v>18</v>
      </c>
      <c r="T72" s="12">
        <f>ROUNDUP($D72/(gen_l_tps80),0)</f>
        <v>14</v>
      </c>
      <c r="U72" s="9">
        <f>ROUNDUP($D71/gen_l_disk,0)</f>
        <v>0</v>
      </c>
      <c r="V72" s="9">
        <f>ROUNDUP($D73/gen_l_bw,0)</f>
        <v>1189</v>
      </c>
      <c r="W72" s="9">
        <f>MAX(T72:V72)</f>
        <v>1189</v>
      </c>
      <c r="X72" s="9">
        <f>W72-M72</f>
        <v>687</v>
      </c>
      <c r="Y72" s="9">
        <f>ROUNDUP(X72/gen_l_spr80,0)</f>
        <v>63</v>
      </c>
      <c r="Z72" s="76">
        <f>ROUND((W72)*gen_l_pow80*24*365,0)</f>
        <v>2708066</v>
      </c>
      <c r="AA72" s="67"/>
      <c r="AB72" s="235" t="s">
        <v>32</v>
      </c>
      <c r="AC72" s="12">
        <f>ROUNDUP($E72/(gen_l_tps40),0)</f>
        <v>48</v>
      </c>
      <c r="AD72" s="12">
        <f>ROUNDUP($E72/(gen_l_tps60),0)</f>
        <v>32</v>
      </c>
      <c r="AE72" s="12">
        <f>ROUNDUP($E72/(gen_l_tps80),0)</f>
        <v>24</v>
      </c>
      <c r="AF72" s="9">
        <f>ROUNDUP($E71/gen_l_disk,0)</f>
        <v>0</v>
      </c>
      <c r="AG72" s="9">
        <f>ROUNDUP($E73/gen_l_bw,0)</f>
        <v>2113</v>
      </c>
      <c r="AH72" s="9">
        <f>MAX(AE72:AG72)</f>
        <v>2113</v>
      </c>
      <c r="AI72" s="9">
        <f>AH72-W72</f>
        <v>924</v>
      </c>
      <c r="AJ72" s="9">
        <f>ROUNDUP(AI72/gen_l_spr80,0)</f>
        <v>84</v>
      </c>
      <c r="AK72" s="76">
        <f>ROUND((AH72)*gen_l_pow80*24*365,0)</f>
        <v>4812569</v>
      </c>
      <c r="AL72" s="67"/>
      <c r="AM72" s="235" t="s">
        <v>32</v>
      </c>
      <c r="AN72" s="36">
        <f>M72*gen_l_cost</f>
        <v>426700</v>
      </c>
      <c r="AO72" s="36">
        <f>N72*rack_cost</f>
        <v>230000</v>
      </c>
      <c r="AP72" s="36">
        <f>ROUND(O72*kwh_cost,0)</f>
        <v>58768</v>
      </c>
      <c r="AQ72" s="36">
        <v>0</v>
      </c>
      <c r="AR72" s="72">
        <f>SUM(AN72,AO72,AP72)</f>
        <v>715468</v>
      </c>
      <c r="AT72" s="235" t="s">
        <v>32</v>
      </c>
      <c r="AU72" s="36">
        <f>X72*gen_l_cost*1.02</f>
        <v>595629</v>
      </c>
      <c r="AV72" s="36">
        <f>Y72*rack_cost</f>
        <v>315000</v>
      </c>
      <c r="AW72" s="36">
        <f>ROUND(Z72*kwh_cost,0)</f>
        <v>139195</v>
      </c>
      <c r="AX72" s="36">
        <f>AN72*hw_supt</f>
        <v>85340</v>
      </c>
      <c r="AY72" s="72">
        <f>SUM(AU72,AV72,AW72,AX72)</f>
        <v>1135164</v>
      </c>
      <c r="BA72" s="235" t="s">
        <v>32</v>
      </c>
      <c r="BB72" s="36">
        <f>AI72*gen_l_cost*1.0404</f>
        <v>817130.16</v>
      </c>
      <c r="BC72" s="36">
        <f>AJ72*rack_cost</f>
        <v>420000</v>
      </c>
      <c r="BD72" s="36">
        <f>ROUND(AK72*kwh_cost,0)</f>
        <v>247366</v>
      </c>
      <c r="BE72" s="36">
        <f>(AN72+AU72)*hw_supt</f>
        <v>204465.80000000002</v>
      </c>
      <c r="BF72" s="37">
        <f>SUM(BB72,BC72,BD72,BE72)</f>
        <v>1688961.9600000002</v>
      </c>
      <c r="BI72" s="188">
        <f>SUM(AH72)</f>
        <v>2113</v>
      </c>
      <c r="BJ72" s="188">
        <f>SUM(AJ72,Y72,N72)</f>
        <v>193</v>
      </c>
      <c r="BK72" s="188">
        <f>SUM(AK72,Z72,O72)</f>
        <v>8663990</v>
      </c>
      <c r="BL72" s="245">
        <f>SUM(AR72,AY72,BF72)</f>
        <v>3539593.96</v>
      </c>
      <c r="BO72" s="235" t="s">
        <v>236</v>
      </c>
      <c r="BP72" s="9">
        <f>N73</f>
        <v>36</v>
      </c>
      <c r="BQ72" s="9">
        <f>Y73</f>
        <v>50</v>
      </c>
      <c r="BR72" s="9">
        <f>AJ73</f>
        <v>66</v>
      </c>
      <c r="BS72" s="188">
        <f t="shared" ref="BS72:BS73" si="9">SUM(BP72:BR72)</f>
        <v>152</v>
      </c>
    </row>
    <row r="73" spans="1:71" ht="16" thickBot="1" x14ac:dyDescent="0.4">
      <c r="A73" s="39"/>
      <c r="B73" s="113" t="s">
        <v>49</v>
      </c>
      <c r="C73" s="142">
        <f>SUM(Bandwidth!$N$7:$O$7)</f>
        <v>376.04956031999996</v>
      </c>
      <c r="D73" s="142">
        <f>SUM(Bandwidth!$N$9:$O$9)</f>
        <v>891.12606719999974</v>
      </c>
      <c r="E73" s="143">
        <f>SUM(Bandwidth!$N$11:$O$11)</f>
        <v>1584.2867865599997</v>
      </c>
      <c r="F73" s="15"/>
      <c r="G73" s="93" t="s">
        <v>41</v>
      </c>
      <c r="H73" s="74">
        <f>ROUNDUP($C72/(gen_xl_tps40/1.6),0)</f>
        <v>8</v>
      </c>
      <c r="I73" s="74">
        <f>ROUNDUP($C72/(gen_xl_tps60/1.6),0)</f>
        <v>5</v>
      </c>
      <c r="J73" s="74">
        <f>ROUNDUP($C72/(gen_xl_tps80/1.6),0)</f>
        <v>4</v>
      </c>
      <c r="K73" s="69">
        <f>ROUNDUP($C71/gen_xl_disk,0)</f>
        <v>0</v>
      </c>
      <c r="L73" s="69">
        <f>ROUNDUP($C73/gen_xl_bw,0)</f>
        <v>251</v>
      </c>
      <c r="M73" s="69">
        <f>MAX(J73:L73)</f>
        <v>251</v>
      </c>
      <c r="N73" s="69">
        <f>ROUNDUP(M73/gen_xl_spr80,0)</f>
        <v>36</v>
      </c>
      <c r="O73" s="77">
        <f>ROUND(M73*gen_l_pow80*24*365,0)</f>
        <v>571678</v>
      </c>
      <c r="P73" s="67"/>
      <c r="Q73" s="93" t="s">
        <v>41</v>
      </c>
      <c r="R73" s="74">
        <f>ROUNDUP($D72/(gen_xl_tps40),0) - H73</f>
        <v>4</v>
      </c>
      <c r="S73" s="74">
        <f>ROUNDUP($D72/(gen_xl_tps60),0)</f>
        <v>8</v>
      </c>
      <c r="T73" s="74">
        <f>ROUNDUP($D72/(gen_xl_tps80),0)</f>
        <v>6</v>
      </c>
      <c r="U73" s="69">
        <f>ROUNDUP($D71/gen_xl_disk,0)</f>
        <v>0</v>
      </c>
      <c r="V73" s="69">
        <f>ROUNDUP($D73/gen_xl_bw,0)</f>
        <v>595</v>
      </c>
      <c r="W73" s="69">
        <f>MAX(T73:V73)</f>
        <v>595</v>
      </c>
      <c r="X73" s="69">
        <f>W73-M73</f>
        <v>344</v>
      </c>
      <c r="Y73" s="69">
        <f>ROUNDUP(X73/gen_xl_spr80,0)</f>
        <v>50</v>
      </c>
      <c r="Z73" s="77">
        <f>ROUND((W73)*gen_l_pow80*24*365,0)</f>
        <v>1355172</v>
      </c>
      <c r="AA73" s="67"/>
      <c r="AB73" s="93" t="s">
        <v>41</v>
      </c>
      <c r="AC73" s="74">
        <f>ROUNDUP($E72/(gen_xl_tps40),0)</f>
        <v>20</v>
      </c>
      <c r="AD73" s="74">
        <f>ROUNDUP($E72/(gen_xl_tps60),0)</f>
        <v>14</v>
      </c>
      <c r="AE73" s="74">
        <f>ROUNDUP($E72/(gen_xl_tps80),0)</f>
        <v>10</v>
      </c>
      <c r="AF73" s="69">
        <f>ROUNDUP($E71/gen_xl_disk,0)</f>
        <v>0</v>
      </c>
      <c r="AG73" s="69">
        <f>ROUNDUP($E73/gen_xl_bw,0)</f>
        <v>1057</v>
      </c>
      <c r="AH73" s="69">
        <f>MAX(AE73:AG73)</f>
        <v>1057</v>
      </c>
      <c r="AI73" s="69">
        <f>AH73-W73</f>
        <v>462</v>
      </c>
      <c r="AJ73" s="69">
        <f>ROUNDUP(AI73/gen_xl_spr80,0)</f>
        <v>66</v>
      </c>
      <c r="AK73" s="77">
        <f>ROUND((AH73)*gen_l_pow80*24*365,0)</f>
        <v>2407423</v>
      </c>
      <c r="AL73" s="67"/>
      <c r="AM73" s="93" t="s">
        <v>41</v>
      </c>
      <c r="AN73" s="75">
        <f>M73*gen_xl_cost</f>
        <v>589850</v>
      </c>
      <c r="AO73" s="75">
        <f>N73*rack_cost</f>
        <v>180000</v>
      </c>
      <c r="AP73" s="75">
        <f>ROUND(O73*kwh_cost,0)</f>
        <v>29384</v>
      </c>
      <c r="AQ73" s="75">
        <v>0</v>
      </c>
      <c r="AR73" s="320">
        <f>SUM(AN73,AO73,AP73)</f>
        <v>799234</v>
      </c>
      <c r="AT73" s="93" t="s">
        <v>41</v>
      </c>
      <c r="AU73" s="40">
        <f>X73*gen_xl_cost*1.02</f>
        <v>824568</v>
      </c>
      <c r="AV73" s="40">
        <f>Y73*rack_cost</f>
        <v>250000</v>
      </c>
      <c r="AW73" s="40">
        <f>ROUND(Z73*kwh_cost,0)</f>
        <v>69656</v>
      </c>
      <c r="AX73" s="40">
        <f>AN73*hw_supt</f>
        <v>117970</v>
      </c>
      <c r="AY73" s="320">
        <f>SUM(AU73,AV73,AW73,AX73)</f>
        <v>1262194</v>
      </c>
      <c r="BA73" s="93" t="s">
        <v>41</v>
      </c>
      <c r="BB73" s="40">
        <f>AI73*gen_xl_cost*1.0404</f>
        <v>1129562.28</v>
      </c>
      <c r="BC73" s="40">
        <f>AJ73*rack_cost</f>
        <v>330000</v>
      </c>
      <c r="BD73" s="40">
        <f>ROUND(AK73*kwh_cost,0)</f>
        <v>123742</v>
      </c>
      <c r="BE73" s="40">
        <f>(AN73+AU73)*hw_supt</f>
        <v>282883.60000000003</v>
      </c>
      <c r="BF73" s="320">
        <f>SUM(BB73,BC73,BD73,BE73)</f>
        <v>1866187.8800000001</v>
      </c>
      <c r="BI73" s="189">
        <f>SUM(AH73)</f>
        <v>1057</v>
      </c>
      <c r="BJ73" s="189">
        <f>SUM(AJ73,Y73,N73)</f>
        <v>152</v>
      </c>
      <c r="BK73" s="189">
        <f>SUM(AK73,Z73,O73)</f>
        <v>4334273</v>
      </c>
      <c r="BL73" s="246">
        <f>SUM(AR73,AY73,BF73)</f>
        <v>3927615.88</v>
      </c>
      <c r="BM73" t="s">
        <v>216</v>
      </c>
      <c r="BO73" s="93" t="s">
        <v>234</v>
      </c>
      <c r="BP73" s="69">
        <f>O73</f>
        <v>571678</v>
      </c>
      <c r="BQ73" s="69">
        <f>Z73</f>
        <v>1355172</v>
      </c>
      <c r="BR73" s="69">
        <f>AK73</f>
        <v>2407423</v>
      </c>
      <c r="BS73" s="189">
        <f t="shared" si="9"/>
        <v>4334273</v>
      </c>
    </row>
    <row r="74" spans="1:71" x14ac:dyDescent="0.35">
      <c r="F74" s="15"/>
      <c r="AA74" s="15"/>
    </row>
    <row r="75" spans="1:71" x14ac:dyDescent="0.35">
      <c r="F75" s="15"/>
      <c r="AA75" s="15"/>
    </row>
    <row r="76" spans="1:71" ht="18.5" x14ac:dyDescent="0.45">
      <c r="A76" s="51" t="s">
        <v>312</v>
      </c>
      <c r="F76" s="15"/>
      <c r="AA76" s="15"/>
    </row>
    <row r="77" spans="1:71" ht="16" thickBot="1" x14ac:dyDescent="0.4">
      <c r="F77" s="15"/>
      <c r="AA77" s="15"/>
      <c r="AM77" t="s">
        <v>233</v>
      </c>
      <c r="AT77" t="s">
        <v>233</v>
      </c>
    </row>
    <row r="78" spans="1:71" ht="34" customHeight="1" thickBot="1" x14ac:dyDescent="0.4">
      <c r="A78" s="438" t="s">
        <v>345</v>
      </c>
      <c r="B78" s="438"/>
      <c r="C78" s="438"/>
      <c r="D78" s="438"/>
      <c r="E78" s="438"/>
      <c r="F78" s="15"/>
      <c r="G78" s="266" t="s">
        <v>50</v>
      </c>
      <c r="H78" s="99"/>
      <c r="I78" s="99"/>
      <c r="J78" s="99"/>
      <c r="K78" s="99"/>
      <c r="L78" s="99"/>
      <c r="M78" s="99"/>
      <c r="N78" s="99"/>
      <c r="O78" s="100"/>
      <c r="P78" s="105"/>
      <c r="Q78" s="266" t="s">
        <v>51</v>
      </c>
      <c r="R78" s="263"/>
      <c r="S78" s="263"/>
      <c r="T78" s="263"/>
      <c r="U78" s="263"/>
      <c r="V78" s="263"/>
      <c r="W78" s="263"/>
      <c r="X78" s="263"/>
      <c r="Y78" s="263"/>
      <c r="Z78" s="265"/>
      <c r="AA78" s="105"/>
      <c r="AB78" s="266" t="s">
        <v>52</v>
      </c>
      <c r="AC78" s="263"/>
      <c r="AD78" s="263"/>
      <c r="AE78" s="263"/>
      <c r="AF78" s="263"/>
      <c r="AG78" s="263"/>
      <c r="AH78" s="263"/>
      <c r="AI78" s="263"/>
      <c r="AJ78" s="263"/>
      <c r="AK78" s="265"/>
      <c r="AL78" s="105"/>
      <c r="AM78" s="254" t="s">
        <v>50</v>
      </c>
      <c r="AN78" s="99"/>
      <c r="AO78" s="99"/>
      <c r="AP78" s="99"/>
      <c r="AQ78" s="99"/>
      <c r="AR78" s="100"/>
      <c r="AT78" s="254" t="s">
        <v>51</v>
      </c>
      <c r="AU78" s="96"/>
      <c r="AV78" s="96"/>
      <c r="AW78" s="96"/>
      <c r="AX78" s="96"/>
      <c r="AY78" s="97"/>
      <c r="BA78" s="254" t="s">
        <v>52</v>
      </c>
      <c r="BB78" s="96"/>
      <c r="BC78" s="96"/>
      <c r="BD78" s="96"/>
      <c r="BE78" s="96"/>
      <c r="BF78" s="97"/>
      <c r="BI78" s="243" t="s">
        <v>217</v>
      </c>
      <c r="BJ78" s="243" t="s">
        <v>215</v>
      </c>
      <c r="BK78" s="195" t="s">
        <v>214</v>
      </c>
      <c r="BL78" s="170" t="s">
        <v>213</v>
      </c>
      <c r="BO78" s="298" t="s">
        <v>76</v>
      </c>
      <c r="BP78" s="299"/>
      <c r="BQ78" s="299"/>
      <c r="BR78" s="299"/>
      <c r="BS78" s="300"/>
    </row>
    <row r="79" spans="1:71" ht="51" customHeight="1" thickBot="1" x14ac:dyDescent="0.4">
      <c r="A79" s="46"/>
      <c r="B79" s="41"/>
      <c r="C79" s="42"/>
      <c r="D79" s="42"/>
      <c r="E79" s="43"/>
      <c r="F79" s="15"/>
      <c r="G79" s="418" t="s">
        <v>53</v>
      </c>
      <c r="H79" s="416" t="s">
        <v>55</v>
      </c>
      <c r="I79" s="417"/>
      <c r="J79" s="417"/>
      <c r="K79" s="417"/>
      <c r="L79" s="417"/>
      <c r="M79" s="423" t="s">
        <v>80</v>
      </c>
      <c r="N79" s="417" t="s">
        <v>57</v>
      </c>
      <c r="O79" s="420" t="s">
        <v>241</v>
      </c>
      <c r="P79" s="293"/>
      <c r="Q79" s="418" t="s">
        <v>53</v>
      </c>
      <c r="R79" s="417" t="s">
        <v>79</v>
      </c>
      <c r="S79" s="417"/>
      <c r="T79" s="417"/>
      <c r="U79" s="417"/>
      <c r="V79" s="417"/>
      <c r="W79" s="423" t="s">
        <v>104</v>
      </c>
      <c r="X79" s="423" t="s">
        <v>72</v>
      </c>
      <c r="Y79" s="423" t="s">
        <v>74</v>
      </c>
      <c r="Z79" s="420" t="s">
        <v>241</v>
      </c>
      <c r="AA79" s="293"/>
      <c r="AB79" s="418" t="s">
        <v>53</v>
      </c>
      <c r="AC79" s="416" t="s">
        <v>55</v>
      </c>
      <c r="AD79" s="417"/>
      <c r="AE79" s="417"/>
      <c r="AF79" s="417"/>
      <c r="AG79" s="417"/>
      <c r="AH79" s="423" t="s">
        <v>78</v>
      </c>
      <c r="AI79" s="423" t="s">
        <v>72</v>
      </c>
      <c r="AJ79" s="423" t="s">
        <v>74</v>
      </c>
      <c r="AK79" s="420" t="s">
        <v>241</v>
      </c>
      <c r="AL79" s="293"/>
      <c r="AM79" s="418" t="s">
        <v>53</v>
      </c>
      <c r="AN79" s="416" t="s">
        <v>56</v>
      </c>
      <c r="AO79" s="417" t="s">
        <v>58</v>
      </c>
      <c r="AP79" s="423" t="s">
        <v>242</v>
      </c>
      <c r="AQ79" s="423" t="s">
        <v>60</v>
      </c>
      <c r="AR79" s="420" t="s">
        <v>97</v>
      </c>
      <c r="AT79" s="418" t="s">
        <v>53</v>
      </c>
      <c r="AU79" s="423" t="s">
        <v>73</v>
      </c>
      <c r="AV79" s="423" t="s">
        <v>75</v>
      </c>
      <c r="AW79" s="423" t="s">
        <v>242</v>
      </c>
      <c r="AX79" s="423" t="s">
        <v>60</v>
      </c>
      <c r="AY79" s="420" t="s">
        <v>97</v>
      </c>
      <c r="BA79" s="418" t="s">
        <v>53</v>
      </c>
      <c r="BB79" s="423" t="s">
        <v>73</v>
      </c>
      <c r="BC79" s="423" t="s">
        <v>75</v>
      </c>
      <c r="BD79" s="423" t="s">
        <v>242</v>
      </c>
      <c r="BE79" s="423" t="s">
        <v>60</v>
      </c>
      <c r="BF79" s="420" t="s">
        <v>97</v>
      </c>
      <c r="BI79" s="433"/>
      <c r="BJ79" s="433"/>
      <c r="BK79" s="433"/>
      <c r="BL79" s="433"/>
      <c r="BO79" s="92"/>
      <c r="BP79" s="296" t="s">
        <v>50</v>
      </c>
      <c r="BQ79" s="296" t="s">
        <v>51</v>
      </c>
      <c r="BR79" s="296" t="s">
        <v>52</v>
      </c>
      <c r="BS79" s="292" t="s">
        <v>77</v>
      </c>
    </row>
    <row r="80" spans="1:71" ht="16" thickBot="1" x14ac:dyDescent="0.4">
      <c r="A80" s="35"/>
      <c r="B80" s="35" t="s">
        <v>164</v>
      </c>
      <c r="C80" s="15" t="s">
        <v>50</v>
      </c>
      <c r="D80" s="15" t="s">
        <v>51</v>
      </c>
      <c r="E80" s="38" t="s">
        <v>52</v>
      </c>
      <c r="F80" s="15"/>
      <c r="G80" s="415"/>
      <c r="H80" s="426" t="s">
        <v>163</v>
      </c>
      <c r="I80" s="427"/>
      <c r="J80" s="427"/>
      <c r="K80" s="427" t="s">
        <v>47</v>
      </c>
      <c r="L80" s="427" t="s">
        <v>31</v>
      </c>
      <c r="M80" s="424"/>
      <c r="N80" s="427"/>
      <c r="O80" s="421"/>
      <c r="P80" s="293"/>
      <c r="Q80" s="415"/>
      <c r="R80" s="427" t="s">
        <v>163</v>
      </c>
      <c r="S80" s="427"/>
      <c r="T80" s="427"/>
      <c r="U80" s="427" t="s">
        <v>47</v>
      </c>
      <c r="V80" s="427" t="s">
        <v>31</v>
      </c>
      <c r="W80" s="424"/>
      <c r="X80" s="424"/>
      <c r="Y80" s="424"/>
      <c r="Z80" s="421"/>
      <c r="AA80" s="293"/>
      <c r="AB80" s="415"/>
      <c r="AC80" s="426" t="s">
        <v>163</v>
      </c>
      <c r="AD80" s="427"/>
      <c r="AE80" s="427"/>
      <c r="AF80" s="427" t="s">
        <v>47</v>
      </c>
      <c r="AG80" s="427" t="s">
        <v>31</v>
      </c>
      <c r="AH80" s="424"/>
      <c r="AI80" s="424"/>
      <c r="AJ80" s="424"/>
      <c r="AK80" s="421"/>
      <c r="AL80" s="293"/>
      <c r="AM80" s="415"/>
      <c r="AN80" s="426"/>
      <c r="AO80" s="427"/>
      <c r="AP80" s="424"/>
      <c r="AQ80" s="424"/>
      <c r="AR80" s="421"/>
      <c r="AT80" s="415"/>
      <c r="AU80" s="424"/>
      <c r="AV80" s="424"/>
      <c r="AW80" s="424"/>
      <c r="AX80" s="424"/>
      <c r="AY80" s="421"/>
      <c r="BA80" s="415"/>
      <c r="BB80" s="424"/>
      <c r="BC80" s="424"/>
      <c r="BD80" s="424"/>
      <c r="BE80" s="424"/>
      <c r="BF80" s="421"/>
      <c r="BI80" s="431"/>
      <c r="BJ80" s="431"/>
      <c r="BK80" s="431"/>
      <c r="BL80" s="431"/>
      <c r="BO80" s="254" t="s">
        <v>91</v>
      </c>
      <c r="BP80" s="260">
        <f>AR83</f>
        <v>193024</v>
      </c>
      <c r="BQ80" s="260">
        <f>AY83</f>
        <v>301378</v>
      </c>
      <c r="BR80" s="260">
        <f>BF83</f>
        <v>445955.2</v>
      </c>
      <c r="BS80" s="269">
        <f>SUM(BP80:BR80)</f>
        <v>940357.2</v>
      </c>
    </row>
    <row r="81" spans="1:76" ht="16" thickBot="1" x14ac:dyDescent="0.4">
      <c r="A81" s="35"/>
      <c r="B81" s="112" t="s">
        <v>48</v>
      </c>
      <c r="C81" s="138">
        <v>0</v>
      </c>
      <c r="D81" s="138">
        <v>0</v>
      </c>
      <c r="E81" s="141">
        <v>0</v>
      </c>
      <c r="F81" s="15"/>
      <c r="G81" s="419"/>
      <c r="H81" s="267">
        <v>0.4</v>
      </c>
      <c r="I81" s="264">
        <v>0.6</v>
      </c>
      <c r="J81" s="264">
        <v>0.8</v>
      </c>
      <c r="K81" s="428"/>
      <c r="L81" s="428"/>
      <c r="M81" s="425"/>
      <c r="N81" s="428"/>
      <c r="O81" s="422"/>
      <c r="P81" s="293"/>
      <c r="Q81" s="419"/>
      <c r="R81" s="264">
        <v>0.4</v>
      </c>
      <c r="S81" s="264">
        <v>0.6</v>
      </c>
      <c r="T81" s="264">
        <v>0.8</v>
      </c>
      <c r="U81" s="428"/>
      <c r="V81" s="428"/>
      <c r="W81" s="425"/>
      <c r="X81" s="425"/>
      <c r="Y81" s="425"/>
      <c r="Z81" s="422"/>
      <c r="AA81" s="293"/>
      <c r="AB81" s="419"/>
      <c r="AC81" s="267">
        <v>0.4</v>
      </c>
      <c r="AD81" s="264">
        <v>0.6</v>
      </c>
      <c r="AE81" s="264">
        <v>0.8</v>
      </c>
      <c r="AF81" s="428"/>
      <c r="AG81" s="428"/>
      <c r="AH81" s="425"/>
      <c r="AI81" s="425"/>
      <c r="AJ81" s="425"/>
      <c r="AK81" s="422"/>
      <c r="AL81" s="293"/>
      <c r="AM81" s="419"/>
      <c r="AN81" s="429"/>
      <c r="AO81" s="428"/>
      <c r="AP81" s="425"/>
      <c r="AQ81" s="425"/>
      <c r="AR81" s="422"/>
      <c r="AT81" s="419"/>
      <c r="AU81" s="425"/>
      <c r="AV81" s="425"/>
      <c r="AW81" s="425"/>
      <c r="AX81" s="425"/>
      <c r="AY81" s="422"/>
      <c r="BA81" s="419"/>
      <c r="BB81" s="425"/>
      <c r="BC81" s="425"/>
      <c r="BD81" s="425"/>
      <c r="BE81" s="425"/>
      <c r="BF81" s="422"/>
      <c r="BI81" s="432"/>
      <c r="BJ81" s="432"/>
      <c r="BK81" s="432"/>
      <c r="BL81" s="432"/>
      <c r="BO81" s="92" t="s">
        <v>235</v>
      </c>
      <c r="BP81" s="270">
        <f>M83</f>
        <v>60</v>
      </c>
      <c r="BQ81" s="270">
        <f>X83</f>
        <v>82</v>
      </c>
      <c r="BR81" s="270">
        <f>AI83</f>
        <v>110</v>
      </c>
      <c r="BS81" s="215">
        <f>SUM(BP81:BR81)</f>
        <v>252</v>
      </c>
    </row>
    <row r="82" spans="1:76" ht="17" customHeight="1" x14ac:dyDescent="0.35">
      <c r="A82" s="35"/>
      <c r="B82" s="112" t="s">
        <v>146</v>
      </c>
      <c r="C82" s="138">
        <f>'CPU (Workload)'!$G$17</f>
        <v>15371.365624999999</v>
      </c>
      <c r="D82" s="138">
        <f>'CPU (Workload)'!$G$19</f>
        <v>36425.583333333328</v>
      </c>
      <c r="E82" s="141">
        <f>'CPU (Workload)'!$G$21</f>
        <v>64759.15416666666</v>
      </c>
      <c r="F82" s="15"/>
      <c r="G82" s="235" t="s">
        <v>32</v>
      </c>
      <c r="H82" s="163">
        <f>ROUNDUP($C82/(gen_l_tps40),0)</f>
        <v>21</v>
      </c>
      <c r="I82" s="12">
        <f>ROUNDUP($C82/(gen_l_tps60),0)</f>
        <v>14</v>
      </c>
      <c r="J82" s="12">
        <f>ROUNDUP($C82/(gen_l_tps80),0)</f>
        <v>11</v>
      </c>
      <c r="K82" s="9">
        <f>ROUNDUP($C81/gen_l_disk,0)</f>
        <v>0</v>
      </c>
      <c r="L82" s="9">
        <f>ROUNDUP($C83/gen_l_bw,0)</f>
        <v>120</v>
      </c>
      <c r="M82" s="9">
        <f>MAX(J82:L82)</f>
        <v>120</v>
      </c>
      <c r="N82" s="9">
        <f>ROUNDUP(M82/gen_l_spr80,0)</f>
        <v>11</v>
      </c>
      <c r="O82" s="76">
        <f>ROUND(M82*gen_l_pow80*24*365,0)</f>
        <v>273312</v>
      </c>
      <c r="P82" s="67"/>
      <c r="Q82" s="235" t="s">
        <v>32</v>
      </c>
      <c r="R82" s="12">
        <f>ROUNDUP($D82/(gen_l_tps40),0)</f>
        <v>49</v>
      </c>
      <c r="S82" s="12">
        <f>ROUNDUP($D82/(gen_l_tps60),0)</f>
        <v>33</v>
      </c>
      <c r="T82" s="12">
        <f>ROUNDUP($D82/(gen_l_tps80),0)</f>
        <v>25</v>
      </c>
      <c r="U82" s="9">
        <f>ROUNDUP($D81/gen_l_disk,0)</f>
        <v>0</v>
      </c>
      <c r="V82" s="9">
        <f>ROUNDUP($D83/gen_l_bw,0)</f>
        <v>283</v>
      </c>
      <c r="W82" s="9">
        <f>MAX(T82:V82)</f>
        <v>283</v>
      </c>
      <c r="X82" s="9">
        <f>W82-M82</f>
        <v>163</v>
      </c>
      <c r="Y82" s="9">
        <f>ROUNDUP(X82/gen_l_spr80,0)</f>
        <v>15</v>
      </c>
      <c r="Z82" s="76">
        <f>ROUND((W82)*gen_l_pow80*24*365,0)</f>
        <v>644561</v>
      </c>
      <c r="AA82" s="67"/>
      <c r="AB82" s="235" t="s">
        <v>32</v>
      </c>
      <c r="AC82" s="12">
        <f>ROUNDUP($E82/(gen_l_tps40),0)</f>
        <v>87</v>
      </c>
      <c r="AD82" s="12">
        <f>ROUNDUP($E82/(gen_l_tps60),0)</f>
        <v>58</v>
      </c>
      <c r="AE82" s="12">
        <f>ROUNDUP($E82/(gen_l_tps80),0)</f>
        <v>44</v>
      </c>
      <c r="AF82" s="9">
        <f>ROUNDUP($E81/gen_l_disk,0)</f>
        <v>0</v>
      </c>
      <c r="AG82" s="9">
        <f>ROUNDUP($E83/gen_l_bw,0)</f>
        <v>503</v>
      </c>
      <c r="AH82" s="9">
        <f>MAX(AE82:AG82)</f>
        <v>503</v>
      </c>
      <c r="AI82" s="9">
        <f>AH82-W82</f>
        <v>220</v>
      </c>
      <c r="AJ82" s="9">
        <f>ROUNDUP(AI82/gen_l_spr80,0)</f>
        <v>20</v>
      </c>
      <c r="AK82" s="76">
        <f>ROUND((AH82)*gen_l_pow80*24*365,0)</f>
        <v>1145633</v>
      </c>
      <c r="AL82" s="67"/>
      <c r="AM82" s="235" t="s">
        <v>32</v>
      </c>
      <c r="AN82" s="36">
        <f>M82*gen_l_cost</f>
        <v>102000</v>
      </c>
      <c r="AO82" s="36">
        <f>N82*rack_cost</f>
        <v>55000</v>
      </c>
      <c r="AP82" s="36">
        <f>ROUND(O82*kwh_cost,0)</f>
        <v>14048</v>
      </c>
      <c r="AQ82" s="36">
        <v>0</v>
      </c>
      <c r="AR82" s="72">
        <f>SUM(AN82,AO82,AP82)</f>
        <v>171048</v>
      </c>
      <c r="AT82" s="235" t="s">
        <v>32</v>
      </c>
      <c r="AU82" s="36">
        <f>X82*gen_l_cost*1.02</f>
        <v>141321</v>
      </c>
      <c r="AV82" s="36">
        <f>Y82*rack_cost</f>
        <v>75000</v>
      </c>
      <c r="AW82" s="36">
        <f>ROUND(Z82*kwh_cost,0)</f>
        <v>33130</v>
      </c>
      <c r="AX82" s="36">
        <f>AN82*hw_supt</f>
        <v>20400</v>
      </c>
      <c r="AY82" s="72">
        <f>SUM(AU82,AV82,AW82,AX82)</f>
        <v>269851</v>
      </c>
      <c r="BA82" s="235" t="s">
        <v>32</v>
      </c>
      <c r="BB82" s="36">
        <f>AI82*gen_l_cost*1.0404</f>
        <v>194554.8</v>
      </c>
      <c r="BC82" s="36">
        <f>AJ82*rack_cost</f>
        <v>100000</v>
      </c>
      <c r="BD82" s="36">
        <f>ROUND(AK82*kwh_cost,0)</f>
        <v>58886</v>
      </c>
      <c r="BE82" s="36">
        <f>(AN82+AU82)*hw_supt</f>
        <v>48664.200000000004</v>
      </c>
      <c r="BF82" s="37">
        <f>SUM(BB82,BC82,BD82,BE82)</f>
        <v>402105</v>
      </c>
      <c r="BI82" s="188">
        <f>SUM(AH82)</f>
        <v>503</v>
      </c>
      <c r="BJ82" s="188">
        <f>SUM(AJ82,Y82,N82)</f>
        <v>46</v>
      </c>
      <c r="BK82" s="188">
        <f>SUM(AK82,Z82,O82)</f>
        <v>2063506</v>
      </c>
      <c r="BL82" s="245">
        <f>SUM(AR82,AY82,BF82)</f>
        <v>843004</v>
      </c>
      <c r="BO82" s="235" t="s">
        <v>236</v>
      </c>
      <c r="BP82" s="9">
        <f>N83</f>
        <v>9</v>
      </c>
      <c r="BQ82" s="9">
        <f>Y83</f>
        <v>12</v>
      </c>
      <c r="BR82" s="9">
        <f>AJ83</f>
        <v>16</v>
      </c>
      <c r="BS82" s="188">
        <f t="shared" ref="BS82:BS83" si="10">SUM(BP82:BR82)</f>
        <v>37</v>
      </c>
    </row>
    <row r="83" spans="1:76" ht="16" thickBot="1" x14ac:dyDescent="0.4">
      <c r="A83" s="39"/>
      <c r="B83" s="113" t="s">
        <v>49</v>
      </c>
      <c r="C83" s="142">
        <f>SUM(Bandwidth!$O$17,Bandwidth!$O$27)</f>
        <v>89.433399999999978</v>
      </c>
      <c r="D83" s="142">
        <f>SUM(Bandwidth!$O$19,Bandwidth!$O$29)</f>
        <v>211.93066666666664</v>
      </c>
      <c r="E83" s="143">
        <f>SUM(Bandwidth!$O$21,Bandwidth!$O$31)</f>
        <v>376.78053333333327</v>
      </c>
      <c r="F83" s="15"/>
      <c r="G83" s="93" t="s">
        <v>41</v>
      </c>
      <c r="H83" s="164">
        <f>ROUNDUP($C82/(gen_xl_tps40),0)</f>
        <v>9</v>
      </c>
      <c r="I83" s="74">
        <f>ROUNDUP($C82/(gen_xl_tps60),0)</f>
        <v>6</v>
      </c>
      <c r="J83" s="74">
        <f>ROUNDUP($C82/(gen_xl_tps80),0)</f>
        <v>5</v>
      </c>
      <c r="K83" s="69">
        <f>ROUNDUP($C81/gen_xl_disk,0)</f>
        <v>0</v>
      </c>
      <c r="L83" s="69">
        <f>ROUNDUP($C83/gen_xl_bw,0)</f>
        <v>60</v>
      </c>
      <c r="M83" s="69">
        <f>MAX(J83:L83)</f>
        <v>60</v>
      </c>
      <c r="N83" s="69">
        <f>ROUNDUP(M83/gen_xl_spr80,0)</f>
        <v>9</v>
      </c>
      <c r="O83" s="77">
        <f>ROUND(M83*gen_l_pow80*24*365,0)</f>
        <v>136656</v>
      </c>
      <c r="P83" s="67"/>
      <c r="Q83" s="93" t="s">
        <v>41</v>
      </c>
      <c r="R83" s="74">
        <f>ROUNDUP($D82/(gen_xl_tps40),0) - H83</f>
        <v>12</v>
      </c>
      <c r="S83" s="74">
        <f>ROUNDUP($D82/(gen_xl_tps60),0)</f>
        <v>14</v>
      </c>
      <c r="T83" s="74">
        <f>ROUNDUP($D82/(gen_xl_tps80),0)</f>
        <v>11</v>
      </c>
      <c r="U83" s="69">
        <f>ROUNDUP($D81/gen_xl_disk,0)</f>
        <v>0</v>
      </c>
      <c r="V83" s="69">
        <f>ROUNDUP($D83/gen_xl_bw,0)</f>
        <v>142</v>
      </c>
      <c r="W83" s="69">
        <f>MAX(T83:V83)</f>
        <v>142</v>
      </c>
      <c r="X83" s="69">
        <f>W83-M83</f>
        <v>82</v>
      </c>
      <c r="Y83" s="69">
        <f>ROUNDUP(X83/gen_xl_spr80,0)</f>
        <v>12</v>
      </c>
      <c r="Z83" s="77">
        <f>ROUND((W83)*gen_l_pow80*24*365,0)</f>
        <v>323419</v>
      </c>
      <c r="AA83" s="67"/>
      <c r="AB83" s="93" t="s">
        <v>41</v>
      </c>
      <c r="AC83" s="74">
        <f>ROUNDUP($E82/(gen_xl_tps40),0)</f>
        <v>36</v>
      </c>
      <c r="AD83" s="74">
        <f>ROUNDUP($E82/(gen_xl_tps60),0)</f>
        <v>24</v>
      </c>
      <c r="AE83" s="74">
        <f>ROUNDUP($E82/(gen_xl_tps80),0)</f>
        <v>18</v>
      </c>
      <c r="AF83" s="69">
        <f>ROUNDUP($E81/gen_xl_disk,0)</f>
        <v>0</v>
      </c>
      <c r="AG83" s="69">
        <f>ROUNDUP($E83/gen_xl_bw,0)</f>
        <v>252</v>
      </c>
      <c r="AH83" s="69">
        <f>MAX(AE83:AG83)</f>
        <v>252</v>
      </c>
      <c r="AI83" s="69">
        <f>AH83-W83</f>
        <v>110</v>
      </c>
      <c r="AJ83" s="69">
        <f>ROUNDUP(AI83/gen_xl_spr80,0)</f>
        <v>16</v>
      </c>
      <c r="AK83" s="77">
        <f>ROUND((AH83)*gen_l_pow80*24*365,0)</f>
        <v>573955</v>
      </c>
      <c r="AL83" s="67"/>
      <c r="AM83" s="93" t="s">
        <v>41</v>
      </c>
      <c r="AN83" s="75">
        <f>M83*gen_xl_cost</f>
        <v>141000</v>
      </c>
      <c r="AO83" s="75">
        <f>N83*rack_cost</f>
        <v>45000</v>
      </c>
      <c r="AP83" s="75">
        <f>ROUND(O83*kwh_cost,0)</f>
        <v>7024</v>
      </c>
      <c r="AQ83" s="75">
        <v>0</v>
      </c>
      <c r="AR83" s="320">
        <f>SUM(AN83,AO83,AP83)</f>
        <v>193024</v>
      </c>
      <c r="AT83" s="93" t="s">
        <v>41</v>
      </c>
      <c r="AU83" s="40">
        <f>X83*gen_xl_cost*1.02</f>
        <v>196554</v>
      </c>
      <c r="AV83" s="40">
        <f>Y83*rack_cost</f>
        <v>60000</v>
      </c>
      <c r="AW83" s="40">
        <f>ROUND(Z83*kwh_cost,0)</f>
        <v>16624</v>
      </c>
      <c r="AX83" s="40">
        <f>AN83*hw_supt</f>
        <v>28200</v>
      </c>
      <c r="AY83" s="320">
        <f>SUM(AU83,AV83,AW83,AX83)</f>
        <v>301378</v>
      </c>
      <c r="BA83" s="93" t="s">
        <v>41</v>
      </c>
      <c r="BB83" s="40">
        <f>AI83*gen_xl_cost*1.0404</f>
        <v>268943.40000000002</v>
      </c>
      <c r="BC83" s="40">
        <f>AJ83*rack_cost</f>
        <v>80000</v>
      </c>
      <c r="BD83" s="40">
        <f>ROUND(AK83*kwh_cost,0)</f>
        <v>29501</v>
      </c>
      <c r="BE83" s="40">
        <f>(AN83+AU83)*hw_supt</f>
        <v>67510.8</v>
      </c>
      <c r="BF83" s="320">
        <f>SUM(BB83,BC83,BD83,BE83)</f>
        <v>445955.2</v>
      </c>
      <c r="BI83" s="189">
        <f>SUM(AH83)</f>
        <v>252</v>
      </c>
      <c r="BJ83" s="189">
        <f>SUM(AJ83,Y83,N83)</f>
        <v>37</v>
      </c>
      <c r="BK83" s="189">
        <f>SUM(AK83,Z83,O83)</f>
        <v>1034030</v>
      </c>
      <c r="BL83" s="246">
        <f>SUM(AR83,AY83,BF83)</f>
        <v>940357.2</v>
      </c>
      <c r="BM83" t="s">
        <v>218</v>
      </c>
      <c r="BO83" s="93" t="s">
        <v>234</v>
      </c>
      <c r="BP83" s="69">
        <f>O83</f>
        <v>136656</v>
      </c>
      <c r="BQ83" s="69">
        <f>Z83</f>
        <v>323419</v>
      </c>
      <c r="BR83" s="69">
        <f>AK83</f>
        <v>573955</v>
      </c>
      <c r="BS83" s="189">
        <f t="shared" si="10"/>
        <v>1034030</v>
      </c>
    </row>
    <row r="84" spans="1:76" x14ac:dyDescent="0.35">
      <c r="F84" s="15"/>
      <c r="AA84" s="15"/>
    </row>
    <row r="85" spans="1:76" ht="16" thickBot="1" x14ac:dyDescent="0.4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</row>
    <row r="86" spans="1:76" ht="16" thickTop="1" x14ac:dyDescent="0.35">
      <c r="F86" s="15"/>
      <c r="AA86" s="15"/>
    </row>
    <row r="87" spans="1:76" ht="21" customHeight="1" x14ac:dyDescent="0.5">
      <c r="A87" s="82" t="s">
        <v>84</v>
      </c>
      <c r="F87" s="15"/>
      <c r="AA87" s="15"/>
    </row>
    <row r="88" spans="1:76" ht="16" thickBot="1" x14ac:dyDescent="0.4">
      <c r="A88" t="s">
        <v>106</v>
      </c>
      <c r="F88" s="15"/>
      <c r="AA88" s="15"/>
      <c r="AM88" t="s">
        <v>233</v>
      </c>
      <c r="AT88" t="s">
        <v>233</v>
      </c>
      <c r="BH88" s="258"/>
      <c r="BI88" s="258"/>
      <c r="BJ88" s="258"/>
      <c r="BK88" s="258"/>
      <c r="BL88" s="258"/>
      <c r="BM88" s="258"/>
    </row>
    <row r="89" spans="1:76" ht="34" customHeight="1" thickBot="1" x14ac:dyDescent="0.4">
      <c r="F89" s="15"/>
      <c r="G89" s="266" t="s">
        <v>50</v>
      </c>
      <c r="H89" s="263"/>
      <c r="I89" s="263"/>
      <c r="J89" s="263"/>
      <c r="K89" s="263"/>
      <c r="L89" s="263"/>
      <c r="M89" s="263"/>
      <c r="N89" s="263"/>
      <c r="O89" s="265"/>
      <c r="P89" s="105"/>
      <c r="Q89" s="266" t="s">
        <v>51</v>
      </c>
      <c r="R89" s="263"/>
      <c r="S89" s="263"/>
      <c r="T89" s="263"/>
      <c r="U89" s="263"/>
      <c r="V89" s="263"/>
      <c r="W89" s="263"/>
      <c r="X89" s="263"/>
      <c r="Y89" s="263"/>
      <c r="Z89" s="265"/>
      <c r="AA89" s="105"/>
      <c r="AB89" s="266" t="s">
        <v>52</v>
      </c>
      <c r="AC89" s="263"/>
      <c r="AD89" s="263"/>
      <c r="AE89" s="263"/>
      <c r="AF89" s="263"/>
      <c r="AG89" s="263"/>
      <c r="AH89" s="263"/>
      <c r="AI89" s="263"/>
      <c r="AJ89" s="263"/>
      <c r="AK89" s="265"/>
      <c r="AL89" s="105"/>
      <c r="AM89" s="254" t="s">
        <v>50</v>
      </c>
      <c r="AN89" s="99"/>
      <c r="AO89" s="99"/>
      <c r="AP89" s="99"/>
      <c r="AQ89" s="99"/>
      <c r="AR89" s="100"/>
      <c r="AT89" s="254" t="s">
        <v>51</v>
      </c>
      <c r="AU89" s="96"/>
      <c r="AV89" s="96"/>
      <c r="AW89" s="96"/>
      <c r="AX89" s="96"/>
      <c r="AY89" s="97"/>
      <c r="BA89" s="254" t="s">
        <v>52</v>
      </c>
      <c r="BB89" s="96"/>
      <c r="BC89" s="96"/>
      <c r="BD89" s="96"/>
      <c r="BE89" s="96"/>
      <c r="BF89" s="97"/>
      <c r="BH89" s="258"/>
      <c r="BI89" s="273"/>
      <c r="BJ89" s="273"/>
      <c r="BK89" s="274"/>
      <c r="BL89" s="275"/>
      <c r="BM89" s="258"/>
      <c r="BO89" s="298" t="s">
        <v>76</v>
      </c>
      <c r="BP89" s="299"/>
      <c r="BQ89" s="299"/>
      <c r="BR89" s="299"/>
      <c r="BS89" s="300"/>
      <c r="BU89" s="271"/>
      <c r="BV89" s="271"/>
      <c r="BW89" s="271"/>
      <c r="BX89" s="271"/>
    </row>
    <row r="90" spans="1:76" ht="51" customHeight="1" thickBot="1" x14ac:dyDescent="0.4">
      <c r="A90" s="46" t="s">
        <v>81</v>
      </c>
      <c r="B90" s="41"/>
      <c r="C90" s="42"/>
      <c r="D90" s="42"/>
      <c r="E90" s="43"/>
      <c r="F90" s="15"/>
      <c r="G90" s="418" t="s">
        <v>53</v>
      </c>
      <c r="H90" s="416" t="s">
        <v>55</v>
      </c>
      <c r="I90" s="417"/>
      <c r="J90" s="417"/>
      <c r="K90" s="417"/>
      <c r="L90" s="417"/>
      <c r="M90" s="423" t="s">
        <v>80</v>
      </c>
      <c r="N90" s="417" t="s">
        <v>57</v>
      </c>
      <c r="O90" s="420" t="s">
        <v>241</v>
      </c>
      <c r="P90" s="293"/>
      <c r="Q90" s="418" t="s">
        <v>53</v>
      </c>
      <c r="R90" s="417" t="s">
        <v>79</v>
      </c>
      <c r="S90" s="417"/>
      <c r="T90" s="417"/>
      <c r="U90" s="417"/>
      <c r="V90" s="417"/>
      <c r="W90" s="423" t="s">
        <v>104</v>
      </c>
      <c r="X90" s="423" t="s">
        <v>72</v>
      </c>
      <c r="Y90" s="423" t="s">
        <v>74</v>
      </c>
      <c r="Z90" s="420" t="s">
        <v>241</v>
      </c>
      <c r="AA90" s="293"/>
      <c r="AB90" s="418" t="s">
        <v>53</v>
      </c>
      <c r="AC90" s="416" t="s">
        <v>55</v>
      </c>
      <c r="AD90" s="417"/>
      <c r="AE90" s="417"/>
      <c r="AF90" s="417"/>
      <c r="AG90" s="417"/>
      <c r="AH90" s="423" t="s">
        <v>78</v>
      </c>
      <c r="AI90" s="423" t="s">
        <v>72</v>
      </c>
      <c r="AJ90" s="423" t="s">
        <v>74</v>
      </c>
      <c r="AK90" s="420" t="s">
        <v>241</v>
      </c>
      <c r="AL90" s="293"/>
      <c r="AM90" s="418" t="s">
        <v>53</v>
      </c>
      <c r="AN90" s="416" t="s">
        <v>56</v>
      </c>
      <c r="AO90" s="417" t="s">
        <v>58</v>
      </c>
      <c r="AP90" s="423" t="s">
        <v>242</v>
      </c>
      <c r="AQ90" s="423" t="s">
        <v>60</v>
      </c>
      <c r="AR90" s="420" t="s">
        <v>97</v>
      </c>
      <c r="AT90" s="418" t="s">
        <v>53</v>
      </c>
      <c r="AU90" s="423" t="s">
        <v>73</v>
      </c>
      <c r="AV90" s="423" t="s">
        <v>75</v>
      </c>
      <c r="AW90" s="423" t="s">
        <v>242</v>
      </c>
      <c r="AX90" s="423" t="s">
        <v>60</v>
      </c>
      <c r="AY90" s="420" t="s">
        <v>97</v>
      </c>
      <c r="BA90" s="418" t="s">
        <v>53</v>
      </c>
      <c r="BB90" s="423" t="s">
        <v>73</v>
      </c>
      <c r="BC90" s="423" t="s">
        <v>75</v>
      </c>
      <c r="BD90" s="423" t="s">
        <v>242</v>
      </c>
      <c r="BE90" s="423" t="s">
        <v>60</v>
      </c>
      <c r="BF90" s="420" t="s">
        <v>97</v>
      </c>
      <c r="BH90" s="258"/>
      <c r="BI90" s="430"/>
      <c r="BJ90" s="430"/>
      <c r="BK90" s="430"/>
      <c r="BL90" s="430"/>
      <c r="BM90" s="258"/>
      <c r="BO90" s="92"/>
      <c r="BP90" s="296" t="s">
        <v>50</v>
      </c>
      <c r="BQ90" s="296" t="s">
        <v>51</v>
      </c>
      <c r="BR90" s="296" t="s">
        <v>52</v>
      </c>
      <c r="BS90" s="292" t="s">
        <v>77</v>
      </c>
      <c r="BU90" s="294"/>
      <c r="BV90" s="294"/>
      <c r="BW90" s="294"/>
      <c r="BX90" s="293"/>
    </row>
    <row r="91" spans="1:76" ht="16" thickBot="1" x14ac:dyDescent="0.4">
      <c r="A91" s="35"/>
      <c r="B91" s="35" t="s">
        <v>164</v>
      </c>
      <c r="C91" s="15" t="s">
        <v>50</v>
      </c>
      <c r="D91" s="15" t="s">
        <v>51</v>
      </c>
      <c r="E91" s="38" t="s">
        <v>52</v>
      </c>
      <c r="F91" s="15"/>
      <c r="G91" s="415"/>
      <c r="H91" s="426" t="s">
        <v>163</v>
      </c>
      <c r="I91" s="427"/>
      <c r="J91" s="427"/>
      <c r="K91" s="427" t="s">
        <v>47</v>
      </c>
      <c r="L91" s="427" t="s">
        <v>31</v>
      </c>
      <c r="M91" s="424"/>
      <c r="N91" s="427"/>
      <c r="O91" s="421"/>
      <c r="P91" s="293"/>
      <c r="Q91" s="415"/>
      <c r="R91" s="427" t="s">
        <v>163</v>
      </c>
      <c r="S91" s="427"/>
      <c r="T91" s="427"/>
      <c r="U91" s="427" t="s">
        <v>47</v>
      </c>
      <c r="V91" s="427" t="s">
        <v>31</v>
      </c>
      <c r="W91" s="424"/>
      <c r="X91" s="424"/>
      <c r="Y91" s="424"/>
      <c r="Z91" s="421"/>
      <c r="AA91" s="293"/>
      <c r="AB91" s="415"/>
      <c r="AC91" s="426" t="s">
        <v>163</v>
      </c>
      <c r="AD91" s="427"/>
      <c r="AE91" s="427"/>
      <c r="AF91" s="427" t="s">
        <v>47</v>
      </c>
      <c r="AG91" s="427" t="s">
        <v>31</v>
      </c>
      <c r="AH91" s="424"/>
      <c r="AI91" s="424"/>
      <c r="AJ91" s="424"/>
      <c r="AK91" s="421"/>
      <c r="AL91" s="293"/>
      <c r="AM91" s="415"/>
      <c r="AN91" s="426"/>
      <c r="AO91" s="427"/>
      <c r="AP91" s="424"/>
      <c r="AQ91" s="424"/>
      <c r="AR91" s="421"/>
      <c r="AT91" s="415"/>
      <c r="AU91" s="424"/>
      <c r="AV91" s="424"/>
      <c r="AW91" s="424"/>
      <c r="AX91" s="424"/>
      <c r="AY91" s="421"/>
      <c r="BA91" s="415"/>
      <c r="BB91" s="424"/>
      <c r="BC91" s="424"/>
      <c r="BD91" s="424"/>
      <c r="BE91" s="424"/>
      <c r="BF91" s="421"/>
      <c r="BH91" s="258"/>
      <c r="BI91" s="430"/>
      <c r="BJ91" s="430"/>
      <c r="BK91" s="430"/>
      <c r="BL91" s="430"/>
      <c r="BM91" s="258"/>
      <c r="BO91" s="254" t="s">
        <v>91</v>
      </c>
      <c r="BP91" s="260">
        <f>SUM(BP50,BP60,BP70,BP80)</f>
        <v>2827300</v>
      </c>
      <c r="BQ91" s="260">
        <f t="shared" ref="BQ91:BR91" si="11">SUM(BQ50,BQ60,BQ70,BQ80)</f>
        <v>4124666</v>
      </c>
      <c r="BR91" s="260">
        <f t="shared" si="11"/>
        <v>7873307.0800000001</v>
      </c>
      <c r="BS91" s="269">
        <f>SUM(BP91:BR91)</f>
        <v>14825273.08</v>
      </c>
      <c r="BU91" s="67"/>
      <c r="BV91" s="67"/>
      <c r="BW91" s="67"/>
      <c r="BX91" s="272"/>
    </row>
    <row r="92" spans="1:76" ht="16" thickBot="1" x14ac:dyDescent="0.4">
      <c r="A92" s="35"/>
      <c r="B92" s="112" t="s">
        <v>48</v>
      </c>
      <c r="C92" s="138">
        <f>SUM(C51,C61,C71,C81)</f>
        <v>518400</v>
      </c>
      <c r="D92" s="138">
        <f t="shared" ref="D92:E92" si="12">SUM(D51,D61,D71,D81)</f>
        <v>518400</v>
      </c>
      <c r="E92" s="141">
        <f t="shared" si="12"/>
        <v>518400</v>
      </c>
      <c r="F92" s="15"/>
      <c r="G92" s="419"/>
      <c r="H92" s="267">
        <v>0.4</v>
      </c>
      <c r="I92" s="264">
        <v>0.6</v>
      </c>
      <c r="J92" s="264">
        <v>0.8</v>
      </c>
      <c r="K92" s="428"/>
      <c r="L92" s="428"/>
      <c r="M92" s="425"/>
      <c r="N92" s="428"/>
      <c r="O92" s="422"/>
      <c r="P92" s="293"/>
      <c r="Q92" s="419"/>
      <c r="R92" s="264">
        <v>0.4</v>
      </c>
      <c r="S92" s="264">
        <v>0.6</v>
      </c>
      <c r="T92" s="264">
        <v>0.8</v>
      </c>
      <c r="U92" s="428"/>
      <c r="V92" s="428"/>
      <c r="W92" s="425"/>
      <c r="X92" s="425"/>
      <c r="Y92" s="425"/>
      <c r="Z92" s="422"/>
      <c r="AA92" s="293"/>
      <c r="AB92" s="419"/>
      <c r="AC92" s="267">
        <v>0.4</v>
      </c>
      <c r="AD92" s="264">
        <v>0.6</v>
      </c>
      <c r="AE92" s="264">
        <v>0.8</v>
      </c>
      <c r="AF92" s="428"/>
      <c r="AG92" s="428"/>
      <c r="AH92" s="425"/>
      <c r="AI92" s="425"/>
      <c r="AJ92" s="425"/>
      <c r="AK92" s="422"/>
      <c r="AL92" s="293"/>
      <c r="AM92" s="419"/>
      <c r="AN92" s="429"/>
      <c r="AO92" s="428"/>
      <c r="AP92" s="425"/>
      <c r="AQ92" s="425"/>
      <c r="AR92" s="422"/>
      <c r="AT92" s="419"/>
      <c r="AU92" s="425"/>
      <c r="AV92" s="425"/>
      <c r="AW92" s="425"/>
      <c r="AX92" s="425"/>
      <c r="AY92" s="422"/>
      <c r="BA92" s="419"/>
      <c r="BB92" s="425"/>
      <c r="BC92" s="425"/>
      <c r="BD92" s="425"/>
      <c r="BE92" s="425"/>
      <c r="BF92" s="422"/>
      <c r="BH92" s="258"/>
      <c r="BI92" s="430"/>
      <c r="BJ92" s="430"/>
      <c r="BK92" s="430"/>
      <c r="BL92" s="430"/>
      <c r="BM92" s="258"/>
      <c r="BO92" s="92" t="s">
        <v>235</v>
      </c>
      <c r="BP92" s="270">
        <f t="shared" ref="BP92:BR94" si="13">SUM(BP51,BP61,BP71,BP81)</f>
        <v>321</v>
      </c>
      <c r="BQ92" s="270">
        <f t="shared" si="13"/>
        <v>438</v>
      </c>
      <c r="BR92" s="270">
        <f t="shared" si="13"/>
        <v>598</v>
      </c>
      <c r="BS92" s="215">
        <f>SUM(BP92:BR92)</f>
        <v>1357</v>
      </c>
    </row>
    <row r="93" spans="1:76" x14ac:dyDescent="0.35">
      <c r="A93" s="35"/>
      <c r="B93" s="112" t="s">
        <v>146</v>
      </c>
      <c r="C93" s="138">
        <f t="shared" ref="C93:E94" si="14">SUM(C52,C62,C72,C82)</f>
        <v>33537.524999999994</v>
      </c>
      <c r="D93" s="138">
        <f t="shared" si="14"/>
        <v>79473.999999999985</v>
      </c>
      <c r="E93" s="141">
        <f t="shared" si="14"/>
        <v>141292.69999999998</v>
      </c>
      <c r="F93" s="15"/>
      <c r="G93" s="235" t="s">
        <v>32</v>
      </c>
      <c r="H93" s="101"/>
      <c r="I93" s="101"/>
      <c r="J93" s="101"/>
      <c r="K93" s="102"/>
      <c r="L93" s="102"/>
      <c r="M93" s="9">
        <f>SUM(M52,M62,M72,M82)</f>
        <v>1436</v>
      </c>
      <c r="N93" s="9">
        <f t="shared" ref="N93:O93" si="15">SUM(N52,N62,N72,N82)</f>
        <v>132</v>
      </c>
      <c r="O93" s="76">
        <f t="shared" si="15"/>
        <v>3270633</v>
      </c>
      <c r="P93" s="67"/>
      <c r="Q93" s="235" t="s">
        <v>32</v>
      </c>
      <c r="R93" s="101"/>
      <c r="S93" s="101"/>
      <c r="T93" s="101"/>
      <c r="U93" s="102"/>
      <c r="V93" s="102"/>
      <c r="W93" s="9">
        <f t="shared" ref="W93:Z95" si="16">SUM(W52,W62,W72,W82)</f>
        <v>2286</v>
      </c>
      <c r="X93" s="9">
        <f t="shared" si="16"/>
        <v>850</v>
      </c>
      <c r="Y93" s="9">
        <f t="shared" si="16"/>
        <v>78</v>
      </c>
      <c r="Z93" s="76">
        <f t="shared" si="16"/>
        <v>5206593</v>
      </c>
      <c r="AA93" s="67"/>
      <c r="AB93" s="235" t="s">
        <v>32</v>
      </c>
      <c r="AC93" s="101"/>
      <c r="AD93" s="101"/>
      <c r="AE93" s="101"/>
      <c r="AF93" s="102"/>
      <c r="AG93" s="102"/>
      <c r="AH93" s="9">
        <f t="shared" ref="AH93:AK95" si="17">SUM(AH52,AH62,AH72,AH82)</f>
        <v>3504</v>
      </c>
      <c r="AI93" s="9">
        <f t="shared" si="17"/>
        <v>1218</v>
      </c>
      <c r="AJ93" s="9">
        <f t="shared" si="17"/>
        <v>112</v>
      </c>
      <c r="AK93" s="76">
        <f t="shared" si="17"/>
        <v>7980711</v>
      </c>
      <c r="AL93" s="67"/>
      <c r="AM93" s="235" t="s">
        <v>32</v>
      </c>
      <c r="AN93" s="36">
        <f t="shared" ref="AN93:AR95" si="18">SUM(AN52,AN62,AN72,AN82)</f>
        <v>1220600</v>
      </c>
      <c r="AO93" s="36">
        <f t="shared" si="18"/>
        <v>660000</v>
      </c>
      <c r="AP93" s="36">
        <f t="shared" si="18"/>
        <v>168110</v>
      </c>
      <c r="AQ93" s="36">
        <f t="shared" si="18"/>
        <v>0</v>
      </c>
      <c r="AR93" s="72">
        <f t="shared" si="18"/>
        <v>2048710</v>
      </c>
      <c r="AT93" s="235" t="s">
        <v>32</v>
      </c>
      <c r="AU93" s="36">
        <f t="shared" ref="AU93:AY95" si="19">SUM(AU52,AU62,AU72,AU82)</f>
        <v>736950</v>
      </c>
      <c r="AV93" s="36">
        <f t="shared" si="19"/>
        <v>390000</v>
      </c>
      <c r="AW93" s="36">
        <f t="shared" si="19"/>
        <v>267619</v>
      </c>
      <c r="AX93" s="36">
        <f t="shared" si="19"/>
        <v>244120</v>
      </c>
      <c r="AY93" s="72">
        <f t="shared" si="19"/>
        <v>1638689</v>
      </c>
      <c r="BA93" s="235" t="s">
        <v>32</v>
      </c>
      <c r="BB93" s="36">
        <f t="shared" ref="BB93:BF95" si="20">SUM(BB52,BB62,BB72,BB82)</f>
        <v>1077126.1200000001</v>
      </c>
      <c r="BC93" s="36">
        <f t="shared" si="20"/>
        <v>560000</v>
      </c>
      <c r="BD93" s="36">
        <f t="shared" si="20"/>
        <v>410209</v>
      </c>
      <c r="BE93" s="36">
        <f t="shared" si="20"/>
        <v>391510.00000000006</v>
      </c>
      <c r="BF93" s="72">
        <f t="shared" si="20"/>
        <v>2438845.12</v>
      </c>
      <c r="BH93" s="258"/>
      <c r="BI93" s="131"/>
      <c r="BJ93" s="131"/>
      <c r="BK93" s="131"/>
      <c r="BL93" s="276"/>
      <c r="BM93" s="258"/>
      <c r="BO93" s="235" t="s">
        <v>236</v>
      </c>
      <c r="BP93" s="9">
        <f t="shared" si="13"/>
        <v>51</v>
      </c>
      <c r="BQ93" s="9">
        <f t="shared" si="13"/>
        <v>68</v>
      </c>
      <c r="BR93" s="9">
        <f t="shared" si="13"/>
        <v>96</v>
      </c>
      <c r="BS93" s="188">
        <f t="shared" ref="BS93:BS94" si="21">SUM(BP93:BR93)</f>
        <v>215</v>
      </c>
    </row>
    <row r="94" spans="1:76" ht="16" thickBot="1" x14ac:dyDescent="0.4">
      <c r="A94" s="39"/>
      <c r="B94" s="113" t="s">
        <v>49</v>
      </c>
      <c r="C94" s="142">
        <f t="shared" si="14"/>
        <v>623.24347791999992</v>
      </c>
      <c r="D94" s="142">
        <f t="shared" si="14"/>
        <v>1476.9024298666664</v>
      </c>
      <c r="E94" s="143">
        <f t="shared" si="14"/>
        <v>2625.7081806933325</v>
      </c>
      <c r="F94" s="15"/>
      <c r="G94" s="93" t="s">
        <v>41</v>
      </c>
      <c r="H94" s="103"/>
      <c r="I94" s="103"/>
      <c r="J94" s="103"/>
      <c r="K94" s="104"/>
      <c r="L94" s="104"/>
      <c r="M94" s="69">
        <f t="shared" ref="M94:O95" si="22">SUM(M53,M63,M73,M83)</f>
        <v>657</v>
      </c>
      <c r="N94" s="69">
        <f t="shared" si="22"/>
        <v>95</v>
      </c>
      <c r="O94" s="77">
        <f t="shared" si="22"/>
        <v>1496383</v>
      </c>
      <c r="P94" s="67"/>
      <c r="Q94" s="93" t="s">
        <v>41</v>
      </c>
      <c r="R94" s="103"/>
      <c r="S94" s="103"/>
      <c r="T94" s="103"/>
      <c r="U94" s="104"/>
      <c r="V94" s="104"/>
      <c r="W94" s="69">
        <f t="shared" si="16"/>
        <v>1083</v>
      </c>
      <c r="X94" s="69">
        <f t="shared" si="16"/>
        <v>426</v>
      </c>
      <c r="Y94" s="69">
        <f t="shared" si="16"/>
        <v>62</v>
      </c>
      <c r="Z94" s="77">
        <f t="shared" si="16"/>
        <v>2466640</v>
      </c>
      <c r="AA94" s="67"/>
      <c r="AB94" s="93" t="s">
        <v>41</v>
      </c>
      <c r="AC94" s="103"/>
      <c r="AD94" s="103"/>
      <c r="AE94" s="103"/>
      <c r="AF94" s="104"/>
      <c r="AG94" s="104"/>
      <c r="AH94" s="69">
        <f t="shared" si="17"/>
        <v>1754</v>
      </c>
      <c r="AI94" s="69">
        <f t="shared" si="17"/>
        <v>671</v>
      </c>
      <c r="AJ94" s="69">
        <f t="shared" si="17"/>
        <v>97</v>
      </c>
      <c r="AK94" s="77">
        <f t="shared" si="17"/>
        <v>3994910</v>
      </c>
      <c r="AL94" s="67"/>
      <c r="AM94" s="93" t="s">
        <v>41</v>
      </c>
      <c r="AN94" s="75">
        <f t="shared" si="18"/>
        <v>1543950</v>
      </c>
      <c r="AO94" s="75">
        <f t="shared" si="18"/>
        <v>475000</v>
      </c>
      <c r="AP94" s="75">
        <f t="shared" si="18"/>
        <v>76914</v>
      </c>
      <c r="AQ94" s="75">
        <f t="shared" si="18"/>
        <v>0</v>
      </c>
      <c r="AR94" s="320">
        <f t="shared" si="18"/>
        <v>2095864</v>
      </c>
      <c r="AT94" s="93" t="s">
        <v>41</v>
      </c>
      <c r="AU94" s="40">
        <f t="shared" si="19"/>
        <v>1021122</v>
      </c>
      <c r="AV94" s="40">
        <f t="shared" si="19"/>
        <v>310000</v>
      </c>
      <c r="AW94" s="40">
        <f t="shared" si="19"/>
        <v>126786</v>
      </c>
      <c r="AX94" s="40">
        <f t="shared" si="19"/>
        <v>308790</v>
      </c>
      <c r="AY94" s="320">
        <f t="shared" si="19"/>
        <v>1766698</v>
      </c>
      <c r="BA94" s="93" t="s">
        <v>41</v>
      </c>
      <c r="BB94" s="40">
        <f t="shared" si="20"/>
        <v>1640554.7400000002</v>
      </c>
      <c r="BC94" s="40">
        <f t="shared" si="20"/>
        <v>485000</v>
      </c>
      <c r="BD94" s="40">
        <f t="shared" si="20"/>
        <v>205339</v>
      </c>
      <c r="BE94" s="40">
        <f t="shared" si="20"/>
        <v>513014.4</v>
      </c>
      <c r="BF94" s="320">
        <f t="shared" si="20"/>
        <v>2843908.1400000006</v>
      </c>
      <c r="BH94" s="258"/>
      <c r="BI94" s="131"/>
      <c r="BJ94" s="131"/>
      <c r="BK94" s="131"/>
      <c r="BL94" s="276"/>
      <c r="BM94" s="258"/>
      <c r="BO94" s="93" t="s">
        <v>234</v>
      </c>
      <c r="BP94" s="69">
        <f t="shared" si="13"/>
        <v>806446</v>
      </c>
      <c r="BQ94" s="69">
        <f t="shared" si="13"/>
        <v>1894437</v>
      </c>
      <c r="BR94" s="69">
        <f>SUM(BR53,BR63,BR73,BR83)</f>
        <v>3354204</v>
      </c>
      <c r="BS94" s="189">
        <f t="shared" si="21"/>
        <v>6055087</v>
      </c>
    </row>
    <row r="95" spans="1:76" ht="16" thickBot="1" x14ac:dyDescent="0.4">
      <c r="G95" s="93" t="s">
        <v>317</v>
      </c>
      <c r="H95" s="103"/>
      <c r="I95" s="103"/>
      <c r="J95" s="103"/>
      <c r="K95" s="104"/>
      <c r="L95" s="104"/>
      <c r="M95" s="69">
        <f t="shared" si="22"/>
        <v>10</v>
      </c>
      <c r="N95" s="69">
        <f t="shared" si="22"/>
        <v>6</v>
      </c>
      <c r="O95" s="77">
        <f t="shared" si="22"/>
        <v>98112</v>
      </c>
      <c r="Q95" s="93" t="s">
        <v>317</v>
      </c>
      <c r="R95" s="103"/>
      <c r="S95" s="103"/>
      <c r="T95" s="103"/>
      <c r="U95" s="104"/>
      <c r="V95" s="104"/>
      <c r="W95" s="69">
        <f t="shared" si="16"/>
        <v>22</v>
      </c>
      <c r="X95" s="69">
        <f t="shared" si="16"/>
        <v>12</v>
      </c>
      <c r="Y95" s="69">
        <f t="shared" si="16"/>
        <v>6</v>
      </c>
      <c r="Z95" s="77">
        <f t="shared" si="16"/>
        <v>215846</v>
      </c>
      <c r="AB95" s="93" t="s">
        <v>317</v>
      </c>
      <c r="AC95" s="103"/>
      <c r="AD95" s="103"/>
      <c r="AE95" s="103"/>
      <c r="AF95" s="104"/>
      <c r="AG95" s="104"/>
      <c r="AH95" s="69">
        <f t="shared" si="17"/>
        <v>38</v>
      </c>
      <c r="AI95" s="69">
        <f t="shared" si="17"/>
        <v>26</v>
      </c>
      <c r="AJ95" s="69">
        <f t="shared" si="17"/>
        <v>14</v>
      </c>
      <c r="AK95" s="77">
        <f t="shared" si="17"/>
        <v>372826</v>
      </c>
      <c r="AM95" s="93" t="s">
        <v>317</v>
      </c>
      <c r="AN95" s="75">
        <f t="shared" si="18"/>
        <v>1800000</v>
      </c>
      <c r="AO95" s="75">
        <f t="shared" si="18"/>
        <v>30000</v>
      </c>
      <c r="AP95" s="75">
        <f t="shared" si="18"/>
        <v>5042</v>
      </c>
      <c r="AQ95" s="75">
        <f t="shared" si="18"/>
        <v>0</v>
      </c>
      <c r="AR95" s="320">
        <f t="shared" si="18"/>
        <v>1835042</v>
      </c>
      <c r="AT95" s="93" t="s">
        <v>317</v>
      </c>
      <c r="AU95" s="40">
        <f t="shared" si="19"/>
        <v>2160000</v>
      </c>
      <c r="AV95" s="40">
        <f t="shared" si="19"/>
        <v>30000</v>
      </c>
      <c r="AW95" s="40">
        <f t="shared" si="19"/>
        <v>11094</v>
      </c>
      <c r="AX95" s="40">
        <f t="shared" si="19"/>
        <v>360000</v>
      </c>
      <c r="AY95" s="320">
        <f t="shared" si="19"/>
        <v>2561094</v>
      </c>
      <c r="BA95" s="93" t="s">
        <v>317</v>
      </c>
      <c r="BB95" s="40">
        <f t="shared" si="20"/>
        <v>4680000</v>
      </c>
      <c r="BC95" s="40">
        <f t="shared" si="20"/>
        <v>70000</v>
      </c>
      <c r="BD95" s="40">
        <f t="shared" si="20"/>
        <v>19164</v>
      </c>
      <c r="BE95" s="40">
        <f t="shared" si="20"/>
        <v>792000</v>
      </c>
      <c r="BF95" s="320">
        <f t="shared" si="20"/>
        <v>5561164</v>
      </c>
    </row>
    <row r="96" spans="1:76" x14ac:dyDescent="0.35">
      <c r="W96" s="15"/>
    </row>
    <row r="97" spans="1:93" x14ac:dyDescent="0.35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111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</row>
    <row r="98" spans="1:93" x14ac:dyDescent="0.35">
      <c r="W98" s="15"/>
    </row>
    <row r="99" spans="1:93" ht="21" x14ac:dyDescent="0.5">
      <c r="A99" s="82" t="s">
        <v>85</v>
      </c>
      <c r="W99" s="15"/>
    </row>
    <row r="100" spans="1:93" x14ac:dyDescent="0.35">
      <c r="A100" t="s">
        <v>167</v>
      </c>
      <c r="W100" s="15"/>
    </row>
    <row r="101" spans="1:93" x14ac:dyDescent="0.35">
      <c r="A101" t="s">
        <v>168</v>
      </c>
      <c r="W101" s="15"/>
    </row>
    <row r="102" spans="1:93" x14ac:dyDescent="0.35">
      <c r="A102" t="s">
        <v>169</v>
      </c>
      <c r="W102" s="15"/>
    </row>
    <row r="103" spans="1:93" x14ac:dyDescent="0.35">
      <c r="A103" t="s">
        <v>208</v>
      </c>
      <c r="W103" s="15"/>
    </row>
    <row r="104" spans="1:93" x14ac:dyDescent="0.35">
      <c r="A104" t="s">
        <v>347</v>
      </c>
      <c r="W104" s="15"/>
    </row>
    <row r="105" spans="1:93" x14ac:dyDescent="0.35">
      <c r="A105" t="s">
        <v>229</v>
      </c>
      <c r="W105" s="15"/>
    </row>
    <row r="106" spans="1:93" x14ac:dyDescent="0.35">
      <c r="W106" s="15"/>
    </row>
    <row r="107" spans="1:93" x14ac:dyDescent="0.35">
      <c r="A107" s="11" t="s">
        <v>221</v>
      </c>
      <c r="W107" s="15"/>
    </row>
    <row r="108" spans="1:93" ht="16" thickBot="1" x14ac:dyDescent="0.4">
      <c r="W108" s="15"/>
    </row>
    <row r="109" spans="1:93" ht="16" thickBot="1" x14ac:dyDescent="0.4">
      <c r="A109" s="46" t="s">
        <v>212</v>
      </c>
      <c r="B109" s="92"/>
      <c r="C109" s="296" t="s">
        <v>50</v>
      </c>
      <c r="D109" s="296" t="s">
        <v>51</v>
      </c>
      <c r="E109" s="80" t="s">
        <v>52</v>
      </c>
      <c r="G109" s="435" t="s">
        <v>94</v>
      </c>
      <c r="H109" s="247" t="s">
        <v>209</v>
      </c>
      <c r="I109" s="241"/>
      <c r="J109" s="242"/>
      <c r="V109" s="15"/>
    </row>
    <row r="110" spans="1:93" ht="34" customHeight="1" thickBot="1" x14ac:dyDescent="0.4">
      <c r="A110" s="39"/>
      <c r="B110" s="249" t="s">
        <v>49</v>
      </c>
      <c r="C110" s="233">
        <f>Bandwidth!$O$39</f>
        <v>388.21250271999992</v>
      </c>
      <c r="D110" s="233">
        <f>Bandwidth!$O$41</f>
        <v>919.94863786666656</v>
      </c>
      <c r="E110" s="234">
        <f>Bandwidth!$O$43</f>
        <v>1635.5289390933331</v>
      </c>
      <c r="G110" s="436"/>
      <c r="H110" s="236" t="s">
        <v>50</v>
      </c>
      <c r="I110" s="237" t="s">
        <v>51</v>
      </c>
      <c r="J110" s="238" t="s">
        <v>52</v>
      </c>
      <c r="V110" s="15"/>
    </row>
    <row r="111" spans="1:93" x14ac:dyDescent="0.35">
      <c r="G111" s="235" t="s">
        <v>90</v>
      </c>
      <c r="H111" s="188">
        <f>ROUNDUP(C110/gig_bw,0)*2</f>
        <v>1036</v>
      </c>
      <c r="I111" s="188">
        <f>ROUNDUP(D110/gig_bw,0)*2</f>
        <v>2454</v>
      </c>
      <c r="J111" s="188">
        <f>ROUNDUP(E110/gig_bw,0)*2</f>
        <v>4362</v>
      </c>
      <c r="V111" s="15"/>
    </row>
    <row r="112" spans="1:93" x14ac:dyDescent="0.35">
      <c r="G112" s="235" t="s">
        <v>92</v>
      </c>
      <c r="H112" s="188">
        <f>ROUNDUP(C110/oc48_bw,0)*2</f>
        <v>416</v>
      </c>
      <c r="I112" s="188">
        <f>ROUNDUP(D110/oc48_bw,0)*2</f>
        <v>982</v>
      </c>
      <c r="J112" s="188">
        <f>ROUNDUP(E110/oc48_bw,0)*2</f>
        <v>1746</v>
      </c>
      <c r="V112" s="15"/>
    </row>
    <row r="113" spans="1:51" ht="16" thickBot="1" x14ac:dyDescent="0.4">
      <c r="G113" s="93" t="s">
        <v>93</v>
      </c>
      <c r="H113" s="189">
        <f>ROUNDUP(C110/oc192_bw,0)*2</f>
        <v>104</v>
      </c>
      <c r="I113" s="189">
        <f>ROUNDUP(D110/oc192_bw,0)*2</f>
        <v>246</v>
      </c>
      <c r="J113" s="189">
        <f>ROUNDUP(E110/oc192_bw,0)*2</f>
        <v>438</v>
      </c>
      <c r="V113" s="15"/>
    </row>
    <row r="114" spans="1:51" x14ac:dyDescent="0.35">
      <c r="W114" s="15"/>
    </row>
    <row r="115" spans="1:51" x14ac:dyDescent="0.35">
      <c r="W115" s="15"/>
    </row>
    <row r="116" spans="1:51" x14ac:dyDescent="0.35">
      <c r="A116" s="11" t="s">
        <v>222</v>
      </c>
      <c r="W116" s="15"/>
    </row>
    <row r="117" spans="1:51" x14ac:dyDescent="0.35">
      <c r="A117" t="s">
        <v>219</v>
      </c>
      <c r="W117" s="15"/>
    </row>
    <row r="118" spans="1:51" x14ac:dyDescent="0.35">
      <c r="A118" t="s">
        <v>210</v>
      </c>
      <c r="F118" s="70"/>
      <c r="N118" s="70"/>
      <c r="W118" s="15"/>
    </row>
    <row r="119" spans="1:51" x14ac:dyDescent="0.35">
      <c r="A119" t="s">
        <v>211</v>
      </c>
      <c r="C119" s="5"/>
      <c r="E119" s="2"/>
      <c r="F119" s="88"/>
      <c r="G119" s="70"/>
      <c r="H119" s="8"/>
      <c r="I119" s="87"/>
      <c r="W119" s="15"/>
    </row>
    <row r="120" spans="1:51" ht="16" thickBot="1" x14ac:dyDescent="0.4">
      <c r="G120" s="5"/>
      <c r="H120" s="5"/>
      <c r="W120" s="15"/>
    </row>
    <row r="121" spans="1:51" ht="17" customHeight="1" thickBot="1" x14ac:dyDescent="0.4">
      <c r="A121" s="248" t="s">
        <v>212</v>
      </c>
      <c r="B121" s="92"/>
      <c r="C121" s="296" t="s">
        <v>50</v>
      </c>
      <c r="D121" s="296" t="s">
        <v>51</v>
      </c>
      <c r="E121" s="80" t="s">
        <v>52</v>
      </c>
      <c r="G121" s="435"/>
      <c r="H121" s="247" t="s">
        <v>209</v>
      </c>
      <c r="I121" s="241"/>
      <c r="J121" s="242"/>
      <c r="W121" s="15"/>
    </row>
    <row r="122" spans="1:51" ht="16" thickBot="1" x14ac:dyDescent="0.4">
      <c r="A122" s="73"/>
      <c r="B122" s="249" t="s">
        <v>321</v>
      </c>
      <c r="C122" s="239">
        <f>M83+M73</f>
        <v>311</v>
      </c>
      <c r="D122" s="239">
        <f>W83+W73</f>
        <v>737</v>
      </c>
      <c r="E122" s="240">
        <f>AH83+AH73</f>
        <v>1309</v>
      </c>
      <c r="G122" s="436"/>
      <c r="H122" s="236" t="s">
        <v>50</v>
      </c>
      <c r="I122" s="237" t="s">
        <v>51</v>
      </c>
      <c r="J122" s="238" t="s">
        <v>52</v>
      </c>
      <c r="W122" s="15"/>
    </row>
    <row r="123" spans="1:51" ht="16" thickBot="1" x14ac:dyDescent="0.4">
      <c r="A123" s="254"/>
      <c r="B123" s="324" t="s">
        <v>322</v>
      </c>
      <c r="C123" s="327">
        <f>M95</f>
        <v>10</v>
      </c>
      <c r="D123" s="327">
        <f>W95</f>
        <v>22</v>
      </c>
      <c r="E123" s="326">
        <f>AH95</f>
        <v>38</v>
      </c>
      <c r="G123" s="93" t="s">
        <v>90</v>
      </c>
      <c r="H123" s="189">
        <f>C122*gen_xl_ports</f>
        <v>1244</v>
      </c>
      <c r="I123" s="189">
        <f>D122*gen_xl_ports</f>
        <v>2948</v>
      </c>
      <c r="J123" s="189">
        <f>E122*gen_xl_ports</f>
        <v>5236</v>
      </c>
      <c r="K123" t="s">
        <v>220</v>
      </c>
      <c r="W123" s="15"/>
    </row>
    <row r="124" spans="1:51" ht="16" thickBot="1" x14ac:dyDescent="0.4">
      <c r="G124" s="93" t="s">
        <v>93</v>
      </c>
      <c r="H124" s="189">
        <f>C123*nas_ports</f>
        <v>80</v>
      </c>
      <c r="I124" s="189">
        <f>D123*nas_ports</f>
        <v>176</v>
      </c>
      <c r="J124" s="189">
        <f>E123*nas_ports</f>
        <v>304</v>
      </c>
      <c r="W124" s="15"/>
    </row>
    <row r="125" spans="1:51" x14ac:dyDescent="0.35">
      <c r="W125" s="15"/>
    </row>
    <row r="126" spans="1:51" ht="19" thickBot="1" x14ac:dyDescent="0.5">
      <c r="A126" s="51" t="s">
        <v>226</v>
      </c>
      <c r="W126" s="15"/>
    </row>
    <row r="127" spans="1:51" ht="16" thickBot="1" x14ac:dyDescent="0.4">
      <c r="A127" t="s">
        <v>227</v>
      </c>
      <c r="G127" s="433"/>
      <c r="H127" s="250" t="s">
        <v>231</v>
      </c>
      <c r="I127" s="241"/>
      <c r="J127" s="242"/>
      <c r="L127" s="433"/>
      <c r="M127" s="107" t="s">
        <v>107</v>
      </c>
      <c r="N127" s="108"/>
      <c r="O127" s="109"/>
      <c r="P127" s="107" t="s">
        <v>98</v>
      </c>
      <c r="Q127" s="108"/>
      <c r="R127" s="109"/>
      <c r="S127" s="107" t="s">
        <v>230</v>
      </c>
      <c r="T127" s="108"/>
      <c r="U127" s="108"/>
      <c r="V127" s="107" t="s">
        <v>243</v>
      </c>
      <c r="W127" s="108"/>
      <c r="X127" s="109"/>
      <c r="Z127" s="107" t="s">
        <v>50</v>
      </c>
      <c r="AA127" s="108"/>
      <c r="AB127" s="108"/>
      <c r="AC127" s="108"/>
      <c r="AD127" s="108"/>
      <c r="AE127" s="109"/>
      <c r="AG127" s="107" t="s">
        <v>51</v>
      </c>
      <c r="AH127" s="108"/>
      <c r="AI127" s="108"/>
      <c r="AJ127" s="108"/>
      <c r="AK127" s="108"/>
      <c r="AL127" s="109"/>
      <c r="AN127" s="107" t="s">
        <v>52</v>
      </c>
      <c r="AO127" s="108"/>
      <c r="AP127" s="108"/>
      <c r="AQ127" s="108"/>
      <c r="AR127" s="108"/>
      <c r="AS127" s="109"/>
      <c r="AU127" s="298" t="s">
        <v>76</v>
      </c>
      <c r="AV127" s="299"/>
      <c r="AW127" s="299"/>
      <c r="AX127" s="299"/>
      <c r="AY127" s="300"/>
    </row>
    <row r="128" spans="1:51" ht="31.5" thickBot="1" x14ac:dyDescent="0.4">
      <c r="A128" t="s">
        <v>223</v>
      </c>
      <c r="G128" s="426"/>
      <c r="H128" s="236" t="s">
        <v>50</v>
      </c>
      <c r="I128" s="237" t="s">
        <v>51</v>
      </c>
      <c r="J128" s="238" t="s">
        <v>52</v>
      </c>
      <c r="L128" s="432"/>
      <c r="M128" s="297" t="s">
        <v>50</v>
      </c>
      <c r="N128" s="209" t="s">
        <v>51</v>
      </c>
      <c r="O128" s="210" t="s">
        <v>52</v>
      </c>
      <c r="P128" s="174" t="s">
        <v>50</v>
      </c>
      <c r="Q128" s="108" t="s">
        <v>51</v>
      </c>
      <c r="R128" s="109" t="s">
        <v>52</v>
      </c>
      <c r="S128" s="174" t="s">
        <v>50</v>
      </c>
      <c r="T128" s="108" t="s">
        <v>51</v>
      </c>
      <c r="U128" s="108" t="s">
        <v>52</v>
      </c>
      <c r="V128" s="174" t="s">
        <v>50</v>
      </c>
      <c r="W128" s="108" t="s">
        <v>51</v>
      </c>
      <c r="X128" s="109" t="s">
        <v>52</v>
      </c>
      <c r="Z128" s="174" t="s">
        <v>170</v>
      </c>
      <c r="AA128" s="175" t="s">
        <v>87</v>
      </c>
      <c r="AB128" s="175" t="s">
        <v>58</v>
      </c>
      <c r="AC128" s="181" t="s">
        <v>242</v>
      </c>
      <c r="AD128" s="181" t="s">
        <v>60</v>
      </c>
      <c r="AE128" s="190" t="s">
        <v>97</v>
      </c>
      <c r="AG128" s="174" t="s">
        <v>170</v>
      </c>
      <c r="AH128" s="175" t="s">
        <v>87</v>
      </c>
      <c r="AI128" s="175" t="s">
        <v>58</v>
      </c>
      <c r="AJ128" s="181" t="s">
        <v>242</v>
      </c>
      <c r="AK128" s="181" t="s">
        <v>60</v>
      </c>
      <c r="AL128" s="190" t="s">
        <v>97</v>
      </c>
      <c r="AN128" s="174" t="s">
        <v>170</v>
      </c>
      <c r="AO128" s="175" t="s">
        <v>87</v>
      </c>
      <c r="AP128" s="175" t="s">
        <v>58</v>
      </c>
      <c r="AQ128" s="181" t="s">
        <v>242</v>
      </c>
      <c r="AR128" s="181" t="s">
        <v>60</v>
      </c>
      <c r="AS128" s="190" t="s">
        <v>97</v>
      </c>
      <c r="AU128" s="92"/>
      <c r="AV128" s="295" t="s">
        <v>50</v>
      </c>
      <c r="AW128" s="296" t="s">
        <v>51</v>
      </c>
      <c r="AX128" s="80" t="s">
        <v>52</v>
      </c>
      <c r="AY128" s="292" t="s">
        <v>77</v>
      </c>
    </row>
    <row r="129" spans="1:93" ht="17" customHeight="1" thickBot="1" x14ac:dyDescent="0.4">
      <c r="A129" s="437" t="s">
        <v>224</v>
      </c>
      <c r="B129" s="437"/>
      <c r="C129" s="437"/>
      <c r="D129" s="437"/>
      <c r="E129" s="437"/>
      <c r="G129" s="71" t="s">
        <v>90</v>
      </c>
      <c r="H129" s="188">
        <f>H123</f>
        <v>1244</v>
      </c>
      <c r="I129" s="188">
        <f t="shared" ref="I129:J129" si="23">I123</f>
        <v>2948</v>
      </c>
      <c r="J129" s="188">
        <f t="shared" si="23"/>
        <v>5236</v>
      </c>
      <c r="L129" s="235" t="s">
        <v>90</v>
      </c>
      <c r="M129" s="255">
        <f>ROUNDUP(H129/gig_ports,0)</f>
        <v>156</v>
      </c>
      <c r="N129" s="9">
        <f>ROUNDUP(I129/gig_ports,0)</f>
        <v>369</v>
      </c>
      <c r="O129" s="76">
        <f>ROUNDUP(J129/gig_ports,0)</f>
        <v>655</v>
      </c>
      <c r="P129" s="255">
        <f>ROUNDUP(M129/22,0)</f>
        <v>8</v>
      </c>
      <c r="Q129" s="9">
        <f>ROUNDUP(N129/22,0)</f>
        <v>17</v>
      </c>
      <c r="R129" s="76">
        <f>ROUNDUP(O129/22,0)</f>
        <v>30</v>
      </c>
      <c r="S129" s="259"/>
      <c r="T129" s="259"/>
      <c r="U129" s="259"/>
      <c r="V129" s="261">
        <f>ROUNDUP(M129*gig_pwr*24*365,0)</f>
        <v>73795</v>
      </c>
      <c r="W129" s="131">
        <f>ROUNDUP(N129*gig_pwr*24*365,0)</f>
        <v>174552</v>
      </c>
      <c r="X129" s="262">
        <f>ROUNDUP(O129*gig_pwr*24*365,0)</f>
        <v>309842</v>
      </c>
      <c r="Z129" s="68">
        <f>M129*gig_cost+M130*oc48_cost+(M131+M132)*oc192_cost</f>
        <v>1760000</v>
      </c>
      <c r="AA129" s="75">
        <f>P133*shelf_cost</f>
        <v>100000</v>
      </c>
      <c r="AB129" s="75">
        <f>S133*rack_cost</f>
        <v>50000</v>
      </c>
      <c r="AC129" s="75">
        <f>ROUNDUP(V133*kwh_cost,0)</f>
        <v>14249</v>
      </c>
      <c r="AD129" s="75">
        <v>0</v>
      </c>
      <c r="AE129" s="244">
        <f>SUM(Z129:AD129)</f>
        <v>1924249</v>
      </c>
      <c r="AG129" s="68">
        <f>N129*gig_cost+N130*oc48_cost+(N131+N132)*oc192_cost-Z129</f>
        <v>2236000</v>
      </c>
      <c r="AH129" s="75">
        <f>Q133*shelf_cost-AA129</f>
        <v>110000</v>
      </c>
      <c r="AI129" s="75">
        <f>T133*rack_cost-AB129</f>
        <v>55000</v>
      </c>
      <c r="AJ129" s="75">
        <f>ROUNDUP(W133*kwh_cost,0)</f>
        <v>32010</v>
      </c>
      <c r="AK129" s="75">
        <f>ROUND(hw_supt*SUM(Z129,AA129),0)</f>
        <v>372000</v>
      </c>
      <c r="AL129" s="244">
        <f>SUM(AG129:AK129)</f>
        <v>2805010</v>
      </c>
      <c r="AN129" s="68">
        <f>O129*gig_cost+O130*oc48_cost+(O131+O132)*oc192_cost-AG129-Z129</f>
        <v>3062000</v>
      </c>
      <c r="AO129" s="75">
        <f>R133*shelf_cost-AH129-AA129</f>
        <v>160000</v>
      </c>
      <c r="AP129" s="75">
        <f>U133*rack_cost-AI129-AB129</f>
        <v>80000</v>
      </c>
      <c r="AQ129" s="75">
        <f>ROUNDUP(X133*kwh_cost,0)</f>
        <v>56470</v>
      </c>
      <c r="AR129" s="75">
        <f>ROUND(hw_supt*SUM(Z129,AG129,AA129,AH129),0)</f>
        <v>841200</v>
      </c>
      <c r="AS129" s="244">
        <f>SUM(AN129:AR129)</f>
        <v>4199670</v>
      </c>
      <c r="AU129" s="254" t="s">
        <v>91</v>
      </c>
      <c r="AV129" s="280">
        <f>AE129</f>
        <v>1924249</v>
      </c>
      <c r="AW129" s="281">
        <f>AL129</f>
        <v>2805010</v>
      </c>
      <c r="AX129" s="282">
        <f>AS129</f>
        <v>4199670</v>
      </c>
      <c r="AY129" s="283">
        <f>SUM(AV129:AX129)</f>
        <v>8928929</v>
      </c>
    </row>
    <row r="130" spans="1:93" x14ac:dyDescent="0.35">
      <c r="A130" s="437"/>
      <c r="B130" s="437"/>
      <c r="C130" s="437"/>
      <c r="D130" s="437"/>
      <c r="E130" s="437"/>
      <c r="G130" s="71" t="s">
        <v>92</v>
      </c>
      <c r="H130" s="188">
        <f>H112</f>
        <v>416</v>
      </c>
      <c r="I130" s="188">
        <f t="shared" ref="I130:J130" si="24">I112</f>
        <v>982</v>
      </c>
      <c r="J130" s="188">
        <f t="shared" si="24"/>
        <v>1746</v>
      </c>
      <c r="L130" s="235" t="s">
        <v>92</v>
      </c>
      <c r="M130" s="255">
        <f>ROUNDUP(H130/oc48_ports,0)</f>
        <v>52</v>
      </c>
      <c r="N130" s="9">
        <f>ROUNDUP(I130/oc48_ports,0)</f>
        <v>123</v>
      </c>
      <c r="O130" s="76">
        <f>ROUNDUP(J130/oc48_ports,0)</f>
        <v>219</v>
      </c>
      <c r="P130" s="255">
        <f>ROUNDUP(M130/6,0)</f>
        <v>9</v>
      </c>
      <c r="Q130" s="9">
        <f>ROUNDUP(N130/6,0)</f>
        <v>21</v>
      </c>
      <c r="R130" s="76">
        <f>ROUNDUP(O130/6,0)</f>
        <v>37</v>
      </c>
      <c r="S130" s="259"/>
      <c r="T130" s="259"/>
      <c r="U130" s="259"/>
      <c r="V130" s="261">
        <f>ROUNDUP(M130*oc48_pwr*24*365,0)</f>
        <v>61496</v>
      </c>
      <c r="W130" s="131">
        <f>ROUNDUP(N130*oc48_pwr*24*365,0)</f>
        <v>145460</v>
      </c>
      <c r="X130" s="262">
        <f>ROUNDUP(O130*oc48_pwr*24*365,0)</f>
        <v>258990</v>
      </c>
      <c r="AU130" s="235" t="s">
        <v>237</v>
      </c>
      <c r="AV130" s="255">
        <f>M133</f>
        <v>268</v>
      </c>
      <c r="AW130" s="9">
        <f>N133-M133</f>
        <v>352</v>
      </c>
      <c r="AX130" s="76">
        <f>O133-N133</f>
        <v>478</v>
      </c>
      <c r="AY130" s="188">
        <f>SUM(AV130:AX130)</f>
        <v>1098</v>
      </c>
    </row>
    <row r="131" spans="1:93" ht="16" thickBot="1" x14ac:dyDescent="0.4">
      <c r="A131" s="437"/>
      <c r="B131" s="437"/>
      <c r="C131" s="437"/>
      <c r="D131" s="437"/>
      <c r="E131" s="437"/>
      <c r="G131" s="71" t="s">
        <v>93</v>
      </c>
      <c r="H131" s="188">
        <f>H124</f>
        <v>80</v>
      </c>
      <c r="I131" s="188">
        <f t="shared" ref="I131:J131" si="25">I124</f>
        <v>176</v>
      </c>
      <c r="J131" s="188">
        <f t="shared" si="25"/>
        <v>304</v>
      </c>
      <c r="L131" s="235" t="s">
        <v>325</v>
      </c>
      <c r="M131" s="255">
        <f>ROUNDUP(H131/oc192_ports,0)</f>
        <v>20</v>
      </c>
      <c r="N131" s="9">
        <f>ROUNDUP(I131/oc192_ports,0)</f>
        <v>44</v>
      </c>
      <c r="O131" s="76">
        <f>ROUNDUP(J131/oc192_ports,0)</f>
        <v>76</v>
      </c>
      <c r="P131" s="255">
        <f>ROUNDUP(M131/2,0)</f>
        <v>10</v>
      </c>
      <c r="Q131" s="9">
        <f t="shared" ref="Q131:R131" si="26">ROUNDUP(N131/4,0)</f>
        <v>11</v>
      </c>
      <c r="R131" s="76">
        <f t="shared" si="26"/>
        <v>19</v>
      </c>
      <c r="S131" s="259"/>
      <c r="T131" s="259"/>
      <c r="U131" s="259"/>
      <c r="V131" s="261">
        <f t="shared" ref="V131:X132" si="27">ROUNDUP(M131*oc192_pwr*24*365,0)</f>
        <v>47304</v>
      </c>
      <c r="W131" s="131">
        <f t="shared" si="27"/>
        <v>104069</v>
      </c>
      <c r="X131" s="262">
        <f t="shared" si="27"/>
        <v>179756</v>
      </c>
      <c r="AU131" s="235" t="s">
        <v>238</v>
      </c>
      <c r="AV131" s="255">
        <f>P133</f>
        <v>10</v>
      </c>
      <c r="AW131" s="9">
        <f>Q133-P133</f>
        <v>11</v>
      </c>
      <c r="AX131" s="76">
        <f>R133-Q133</f>
        <v>16</v>
      </c>
      <c r="AY131" s="188">
        <f t="shared" ref="AY131:AY133" si="28">SUM(AV131:AX131)</f>
        <v>37</v>
      </c>
    </row>
    <row r="132" spans="1:93" ht="16" thickBot="1" x14ac:dyDescent="0.4">
      <c r="G132" s="107" t="s">
        <v>84</v>
      </c>
      <c r="H132" s="253">
        <f>SUM(H129:H130)</f>
        <v>1660</v>
      </c>
      <c r="I132" s="253">
        <f t="shared" ref="I132:J132" si="29">SUM(I129:I130)</f>
        <v>3930</v>
      </c>
      <c r="J132" s="253">
        <f t="shared" si="29"/>
        <v>6982</v>
      </c>
      <c r="L132" s="235" t="s">
        <v>326</v>
      </c>
      <c r="M132" s="255">
        <f>P133*4</f>
        <v>40</v>
      </c>
      <c r="N132" s="9">
        <f>Q133*4</f>
        <v>84</v>
      </c>
      <c r="O132" s="76">
        <f>R133*4</f>
        <v>148</v>
      </c>
      <c r="P132" s="277" t="s">
        <v>196</v>
      </c>
      <c r="Q132" s="278" t="s">
        <v>196</v>
      </c>
      <c r="R132" s="279" t="s">
        <v>196</v>
      </c>
      <c r="S132" s="259"/>
      <c r="T132" s="259"/>
      <c r="U132" s="259"/>
      <c r="V132" s="261">
        <f t="shared" si="27"/>
        <v>94608</v>
      </c>
      <c r="W132" s="131">
        <f t="shared" si="27"/>
        <v>198677</v>
      </c>
      <c r="X132" s="262">
        <f t="shared" si="27"/>
        <v>350050</v>
      </c>
      <c r="AU132" s="235" t="s">
        <v>236</v>
      </c>
      <c r="AV132" s="255">
        <f>S133</f>
        <v>10</v>
      </c>
      <c r="AW132" s="9">
        <f>T133-S133</f>
        <v>11</v>
      </c>
      <c r="AX132" s="76">
        <f>U133-T133</f>
        <v>16</v>
      </c>
      <c r="AY132" s="188">
        <f t="shared" si="28"/>
        <v>37</v>
      </c>
    </row>
    <row r="133" spans="1:93" ht="16" thickBot="1" x14ac:dyDescent="0.4">
      <c r="L133" s="254" t="s">
        <v>84</v>
      </c>
      <c r="M133" s="257">
        <f>SUM(M129:M132)</f>
        <v>268</v>
      </c>
      <c r="N133" s="251">
        <f>SUM(N129:N132)</f>
        <v>620</v>
      </c>
      <c r="O133" s="252">
        <f>SUM(O129:O132)</f>
        <v>1098</v>
      </c>
      <c r="P133" s="257">
        <f>MAX(P129:P132)</f>
        <v>10</v>
      </c>
      <c r="Q133" s="251">
        <f>MAX(Q129:Q132)</f>
        <v>21</v>
      </c>
      <c r="R133" s="252">
        <f>MAX(R129:R132)</f>
        <v>37</v>
      </c>
      <c r="S133" s="257">
        <f>P133</f>
        <v>10</v>
      </c>
      <c r="T133" s="251">
        <f t="shared" ref="T133:U133" si="30">Q133</f>
        <v>21</v>
      </c>
      <c r="U133" s="251">
        <f t="shared" si="30"/>
        <v>37</v>
      </c>
      <c r="V133" s="257">
        <f>SUM(V129:V132)</f>
        <v>277203</v>
      </c>
      <c r="W133" s="251">
        <f>SUM(W129:W132)</f>
        <v>622758</v>
      </c>
      <c r="X133" s="252">
        <f>SUM(X129:X132)</f>
        <v>1098638</v>
      </c>
      <c r="AU133" s="93" t="s">
        <v>234</v>
      </c>
      <c r="AV133" s="110">
        <f>V133</f>
        <v>277203</v>
      </c>
      <c r="AW133" s="69">
        <f>W133</f>
        <v>622758</v>
      </c>
      <c r="AX133" s="77">
        <f>X133</f>
        <v>1098638</v>
      </c>
      <c r="AY133" s="189">
        <f t="shared" si="28"/>
        <v>1998599</v>
      </c>
    </row>
    <row r="134" spans="1:93" x14ac:dyDescent="0.35">
      <c r="W134" s="15"/>
    </row>
    <row r="135" spans="1:93" x14ac:dyDescent="0.35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111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  <c r="BY135" s="86"/>
      <c r="BZ135" s="86"/>
      <c r="CA135" s="86"/>
      <c r="CB135" s="86"/>
      <c r="CC135" s="86"/>
      <c r="CD135" s="86"/>
      <c r="CE135" s="86"/>
      <c r="CF135" s="86"/>
      <c r="CG135" s="86"/>
      <c r="CH135" s="86"/>
      <c r="CI135" s="86"/>
      <c r="CJ135" s="86"/>
      <c r="CK135" s="86"/>
      <c r="CL135" s="86"/>
      <c r="CM135" s="86"/>
      <c r="CN135" s="86"/>
      <c r="CO135" s="86"/>
    </row>
    <row r="136" spans="1:93" x14ac:dyDescent="0.35">
      <c r="U136" s="15"/>
    </row>
    <row r="137" spans="1:93" ht="18.5" x14ac:dyDescent="0.45">
      <c r="A137" s="83" t="s">
        <v>101</v>
      </c>
      <c r="U137" s="15"/>
    </row>
    <row r="138" spans="1:93" x14ac:dyDescent="0.35">
      <c r="A138" t="s">
        <v>302</v>
      </c>
      <c r="U138" s="15"/>
    </row>
    <row r="139" spans="1:93" x14ac:dyDescent="0.35">
      <c r="A139" t="s">
        <v>244</v>
      </c>
      <c r="U139" s="15"/>
    </row>
    <row r="140" spans="1:93" x14ac:dyDescent="0.35">
      <c r="A140" t="s">
        <v>294</v>
      </c>
      <c r="U140" s="15"/>
    </row>
    <row r="141" spans="1:93" x14ac:dyDescent="0.35">
      <c r="U141" s="15"/>
    </row>
    <row r="142" spans="1:93" x14ac:dyDescent="0.35">
      <c r="C142" s="11" t="s">
        <v>50</v>
      </c>
      <c r="D142" s="11" t="s">
        <v>51</v>
      </c>
      <c r="E142" s="11" t="s">
        <v>52</v>
      </c>
      <c r="U142" s="15"/>
    </row>
    <row r="143" spans="1:93" x14ac:dyDescent="0.35">
      <c r="A143" s="11" t="s">
        <v>287</v>
      </c>
      <c r="B143" s="289"/>
      <c r="C143" s="290"/>
      <c r="D143" s="290"/>
      <c r="E143" s="290"/>
      <c r="T143" s="15"/>
    </row>
    <row r="144" spans="1:93" x14ac:dyDescent="0.35">
      <c r="A144" s="11"/>
      <c r="B144" s="311" t="s">
        <v>288</v>
      </c>
      <c r="C144" s="290"/>
      <c r="D144" s="290"/>
      <c r="E144" s="290"/>
      <c r="T144" s="15"/>
    </row>
    <row r="145" spans="2:21" x14ac:dyDescent="0.35">
      <c r="B145" s="14" t="s">
        <v>240</v>
      </c>
      <c r="C145" s="1">
        <f>C19*rack_sf*2</f>
        <v>3904</v>
      </c>
      <c r="D145" s="1">
        <f>D19*rack_sf*2</f>
        <v>8960</v>
      </c>
      <c r="E145" s="1">
        <f>E19*rack_sf*2</f>
        <v>16128</v>
      </c>
      <c r="T145" s="15"/>
    </row>
    <row r="146" spans="2:21" x14ac:dyDescent="0.35">
      <c r="B146" s="308" t="s">
        <v>279</v>
      </c>
      <c r="C146" s="309">
        <f>acres*acre_cost</f>
        <v>500000</v>
      </c>
      <c r="D146" s="310">
        <v>0</v>
      </c>
      <c r="E146" s="310">
        <v>0</v>
      </c>
      <c r="T146" s="15"/>
    </row>
    <row r="147" spans="2:21" x14ac:dyDescent="0.35">
      <c r="B147" s="308" t="s">
        <v>280</v>
      </c>
      <c r="C147" s="309">
        <f>E163*23801/2</f>
        <v>12098412.379223745</v>
      </c>
      <c r="D147" s="310">
        <v>0</v>
      </c>
      <c r="E147" s="310">
        <v>0</v>
      </c>
      <c r="T147" s="15"/>
    </row>
    <row r="148" spans="2:21" x14ac:dyDescent="0.35">
      <c r="B148" s="308" t="s">
        <v>281</v>
      </c>
      <c r="C148" s="309">
        <f>C145/2*262</f>
        <v>511424</v>
      </c>
      <c r="D148" s="310">
        <v>0</v>
      </c>
      <c r="E148" s="310">
        <v>0</v>
      </c>
      <c r="T148" s="15"/>
    </row>
    <row r="149" spans="2:21" x14ac:dyDescent="0.35">
      <c r="B149" s="308" t="s">
        <v>290</v>
      </c>
      <c r="C149" s="309">
        <f>2%*SUM(C146:C148)</f>
        <v>262196.72758447489</v>
      </c>
      <c r="D149" s="307">
        <v>0</v>
      </c>
      <c r="E149" s="307">
        <v>0</v>
      </c>
      <c r="T149" s="15"/>
    </row>
    <row r="150" spans="2:21" x14ac:dyDescent="0.35">
      <c r="B150" s="308" t="s">
        <v>291</v>
      </c>
      <c r="C150" s="309">
        <f>5%*SUM(C147:C148)</f>
        <v>630491.81896118727</v>
      </c>
      <c r="D150" s="307"/>
      <c r="E150" s="307"/>
      <c r="T150" s="15"/>
    </row>
    <row r="151" spans="2:21" x14ac:dyDescent="0.35">
      <c r="B151" s="308" t="s">
        <v>292</v>
      </c>
      <c r="C151" s="2"/>
      <c r="U151" s="15"/>
    </row>
    <row r="152" spans="2:21" x14ac:dyDescent="0.35">
      <c r="B152" s="48" t="s">
        <v>251</v>
      </c>
      <c r="C152" s="5">
        <f>J112</f>
        <v>1746</v>
      </c>
      <c r="D152" s="47"/>
      <c r="E152" s="47"/>
      <c r="U152" s="15"/>
    </row>
    <row r="153" spans="2:21" x14ac:dyDescent="0.35">
      <c r="B153" s="48" t="s">
        <v>246</v>
      </c>
      <c r="C153" s="5">
        <f>ROUNDUP(C152/144,0)</f>
        <v>13</v>
      </c>
      <c r="D153" s="47"/>
      <c r="E153" s="47"/>
      <c r="U153" s="15"/>
    </row>
    <row r="154" spans="2:21" x14ac:dyDescent="0.35">
      <c r="B154" s="48" t="s">
        <v>248</v>
      </c>
      <c r="C154" s="1">
        <f>C153*fiber_run*110%</f>
        <v>75504</v>
      </c>
      <c r="D154" s="47"/>
      <c r="E154" s="47"/>
      <c r="U154" s="15"/>
    </row>
    <row r="155" spans="2:21" x14ac:dyDescent="0.35">
      <c r="B155" s="48" t="s">
        <v>249</v>
      </c>
      <c r="C155" s="87">
        <f>C154*fiber_cost</f>
        <v>148742.88</v>
      </c>
      <c r="D155" s="47"/>
      <c r="E155" s="47"/>
      <c r="U155" s="15"/>
    </row>
    <row r="156" spans="2:21" x14ac:dyDescent="0.35">
      <c r="B156" s="48" t="s">
        <v>252</v>
      </c>
      <c r="C156" s="87">
        <v>250000</v>
      </c>
      <c r="D156" s="47"/>
      <c r="E156" s="47"/>
      <c r="U156" s="15"/>
    </row>
    <row r="157" spans="2:21" x14ac:dyDescent="0.35">
      <c r="B157" s="64" t="s">
        <v>253</v>
      </c>
      <c r="C157" s="66">
        <f>SUM(C155:C156)</f>
        <v>398742.88</v>
      </c>
      <c r="D157" s="28">
        <v>0</v>
      </c>
      <c r="E157" s="28">
        <v>0</v>
      </c>
      <c r="U157" s="15"/>
    </row>
    <row r="158" spans="2:21" x14ac:dyDescent="0.35">
      <c r="B158" s="315" t="s">
        <v>300</v>
      </c>
      <c r="C158" s="316">
        <f>C145/2*65</f>
        <v>126880</v>
      </c>
      <c r="D158" s="28">
        <v>0</v>
      </c>
      <c r="E158" s="28">
        <v>0</v>
      </c>
      <c r="U158" s="15"/>
    </row>
    <row r="159" spans="2:21" x14ac:dyDescent="0.35">
      <c r="B159" s="308" t="s">
        <v>293</v>
      </c>
      <c r="C159" s="66">
        <f>50*E163/2</f>
        <v>25415.764840182648</v>
      </c>
      <c r="D159" s="28">
        <v>0</v>
      </c>
      <c r="E159" s="28">
        <v>0</v>
      </c>
      <c r="U159" s="15"/>
    </row>
    <row r="160" spans="2:21" x14ac:dyDescent="0.35">
      <c r="B160" s="26" t="s">
        <v>297</v>
      </c>
      <c r="C160" s="290">
        <f>SUM(C146:C150,C157,C158,C159)</f>
        <v>14553563.57060959</v>
      </c>
      <c r="D160" s="307">
        <v>0</v>
      </c>
      <c r="E160" s="307">
        <v>0</v>
      </c>
      <c r="T160" s="15"/>
    </row>
    <row r="161" spans="1:21" x14ac:dyDescent="0.35">
      <c r="A161" s="11" t="s">
        <v>299</v>
      </c>
      <c r="B161" s="29"/>
      <c r="C161" s="290"/>
      <c r="D161" s="307"/>
      <c r="E161" s="307"/>
      <c r="T161" s="15"/>
    </row>
    <row r="162" spans="1:21" x14ac:dyDescent="0.35">
      <c r="B162" s="17" t="s">
        <v>282</v>
      </c>
      <c r="C162" s="28"/>
      <c r="D162" s="28"/>
      <c r="E162" s="28"/>
      <c r="U162" s="15"/>
    </row>
    <row r="163" spans="1:21" x14ac:dyDescent="0.35">
      <c r="A163" s="11"/>
      <c r="B163" s="285" t="s">
        <v>289</v>
      </c>
      <c r="C163" s="30">
        <f>C166/24/365</f>
        <v>247.40844748858447</v>
      </c>
      <c r="D163" s="30">
        <f t="shared" ref="D163:E163" si="31">D166/24/365</f>
        <v>574.70205479452056</v>
      </c>
      <c r="E163" s="30">
        <f t="shared" si="31"/>
        <v>1016.630593607306</v>
      </c>
      <c r="U163" s="15"/>
    </row>
    <row r="164" spans="1:21" x14ac:dyDescent="0.35">
      <c r="B164" s="285" t="s">
        <v>285</v>
      </c>
      <c r="C164" s="1">
        <f>(BP94+AV133)</f>
        <v>1083649</v>
      </c>
      <c r="D164" s="1">
        <f>(BQ94+AW133)</f>
        <v>2517195</v>
      </c>
      <c r="E164" s="1">
        <f>(BR94+AX133)</f>
        <v>4452842</v>
      </c>
      <c r="T164" s="15"/>
    </row>
    <row r="165" spans="1:21" x14ac:dyDescent="0.35">
      <c r="B165" s="285" t="s">
        <v>286</v>
      </c>
      <c r="C165" s="1">
        <f>C164</f>
        <v>1083649</v>
      </c>
      <c r="D165" s="1">
        <f t="shared" ref="D165:E165" si="32">D164</f>
        <v>2517195</v>
      </c>
      <c r="E165" s="1">
        <f t="shared" si="32"/>
        <v>4452842</v>
      </c>
      <c r="T165" s="15"/>
    </row>
    <row r="166" spans="1:21" x14ac:dyDescent="0.35">
      <c r="B166" s="285" t="s">
        <v>284</v>
      </c>
      <c r="C166" s="1">
        <f>SUM(C164:C165)</f>
        <v>2167298</v>
      </c>
      <c r="D166" s="1">
        <f t="shared" ref="D166:E166" si="33">SUM(D164:D165)</f>
        <v>5034390</v>
      </c>
      <c r="E166" s="1">
        <f t="shared" si="33"/>
        <v>8905684</v>
      </c>
      <c r="T166" s="15"/>
    </row>
    <row r="167" spans="1:21" x14ac:dyDescent="0.35">
      <c r="B167" s="306" t="s">
        <v>295</v>
      </c>
      <c r="C167" s="309">
        <f>C166*kwh_cost</f>
        <v>111399.11720000001</v>
      </c>
      <c r="D167" s="309">
        <f>D166*kwh_cost</f>
        <v>258767.64600000001</v>
      </c>
      <c r="E167" s="309">
        <f>E166*kwh_cost</f>
        <v>457752.15760000004</v>
      </c>
      <c r="T167" s="15"/>
    </row>
    <row r="168" spans="1:21" x14ac:dyDescent="0.35">
      <c r="B168" s="311" t="s">
        <v>296</v>
      </c>
      <c r="C168" s="309">
        <f>(((Bandwidth!$O$39-Bandwidth!$O$37)/2)*1000)*ip_tx_cost*12</f>
        <v>655157.7253439998</v>
      </c>
      <c r="D168" s="309">
        <f>(((Bandwidth!$O$41-Bandwidth!$O$39)/2)*1000)*ip_tx_cost*12</f>
        <v>1435687.5648959999</v>
      </c>
      <c r="E168" s="309">
        <f>(((Bandwidth!$O$43-Bandwidth!$O$41)/2)*1000)*ip_tx_cost*12</f>
        <v>1932066.8133119997</v>
      </c>
      <c r="U168" s="15"/>
    </row>
    <row r="169" spans="1:21" x14ac:dyDescent="0.35">
      <c r="B169" s="311" t="s">
        <v>304</v>
      </c>
      <c r="C169" s="309">
        <v>0</v>
      </c>
      <c r="D169" s="309">
        <f>AX94+AK129</f>
        <v>680790</v>
      </c>
      <c r="E169" s="309">
        <f>SUM(BE94,AR129)</f>
        <v>1354214.3999999999</v>
      </c>
      <c r="U169" s="15"/>
    </row>
    <row r="170" spans="1:21" x14ac:dyDescent="0.35">
      <c r="B170" s="311" t="s">
        <v>272</v>
      </c>
      <c r="C170" s="87">
        <f>prop_tax*$C160</f>
        <v>145535.6357060959</v>
      </c>
      <c r="D170" s="87">
        <f>prop_tax*$C160</f>
        <v>145535.6357060959</v>
      </c>
      <c r="E170" s="87">
        <f>prop_tax*$C160</f>
        <v>145535.6357060959</v>
      </c>
      <c r="T170" s="15"/>
    </row>
    <row r="171" spans="1:21" x14ac:dyDescent="0.35">
      <c r="B171" s="26" t="s">
        <v>298</v>
      </c>
      <c r="C171" s="312">
        <f>SUM(C167,C168,C169,C170)</f>
        <v>912092.47825009562</v>
      </c>
      <c r="D171" s="312">
        <f t="shared" ref="D171:E171" si="34">SUM(D167,D168,D169,D170)</f>
        <v>2520780.8466020958</v>
      </c>
      <c r="E171" s="312">
        <f t="shared" si="34"/>
        <v>3889569.0066180956</v>
      </c>
      <c r="U171" s="15"/>
    </row>
    <row r="172" spans="1:21" x14ac:dyDescent="0.35">
      <c r="A172" s="26" t="s">
        <v>273</v>
      </c>
      <c r="U172" s="15"/>
    </row>
    <row r="173" spans="1:21" x14ac:dyDescent="0.35">
      <c r="B173" s="302" t="s">
        <v>274</v>
      </c>
      <c r="C173" s="87">
        <f>D193*1000</f>
        <v>390000</v>
      </c>
      <c r="D173" s="66">
        <f>C173*1.03</f>
        <v>401700</v>
      </c>
      <c r="E173" s="66">
        <f>D173*1.03</f>
        <v>413751</v>
      </c>
      <c r="U173" s="15"/>
    </row>
    <row r="174" spans="1:21" x14ac:dyDescent="0.35">
      <c r="B174" s="302" t="s">
        <v>275</v>
      </c>
      <c r="C174" s="87">
        <f>E193*1000</f>
        <v>520000</v>
      </c>
      <c r="D174" s="66">
        <f t="shared" ref="D174:E178" si="35">C174*1.03</f>
        <v>535600</v>
      </c>
      <c r="E174" s="66">
        <f t="shared" si="35"/>
        <v>551668</v>
      </c>
      <c r="U174" s="15"/>
    </row>
    <row r="175" spans="1:21" x14ac:dyDescent="0.35">
      <c r="B175" s="302" t="s">
        <v>258</v>
      </c>
      <c r="C175" s="87">
        <f>F193*1000</f>
        <v>416000</v>
      </c>
      <c r="D175" s="66">
        <f t="shared" si="35"/>
        <v>428480</v>
      </c>
      <c r="E175" s="66">
        <f>D175*1.03*1.333</f>
        <v>588298.75520000001</v>
      </c>
      <c r="U175" s="15"/>
    </row>
    <row r="176" spans="1:21" x14ac:dyDescent="0.35">
      <c r="B176" s="302" t="s">
        <v>277</v>
      </c>
      <c r="C176" s="87">
        <f>G193*1000</f>
        <v>702000</v>
      </c>
      <c r="D176" s="66">
        <f t="shared" si="35"/>
        <v>723060</v>
      </c>
      <c r="E176" s="66">
        <f t="shared" si="35"/>
        <v>744751.8</v>
      </c>
      <c r="U176" s="15"/>
    </row>
    <row r="177" spans="1:21" x14ac:dyDescent="0.35">
      <c r="B177" s="302" t="s">
        <v>276</v>
      </c>
      <c r="C177" s="87">
        <f>E194*C145</f>
        <v>15616</v>
      </c>
      <c r="D177" s="66">
        <f>C177*1.03</f>
        <v>16084.48</v>
      </c>
      <c r="E177" s="66">
        <f>D177*1.03</f>
        <v>16567.0144</v>
      </c>
      <c r="U177" s="15"/>
    </row>
    <row r="178" spans="1:21" x14ac:dyDescent="0.35">
      <c r="B178" s="26" t="s">
        <v>278</v>
      </c>
      <c r="C178" s="312">
        <f>SUM(C173:C176)</f>
        <v>2028000</v>
      </c>
      <c r="D178" s="312">
        <f t="shared" si="35"/>
        <v>2088840</v>
      </c>
      <c r="E178" s="312">
        <f t="shared" si="35"/>
        <v>2151505.2000000002</v>
      </c>
      <c r="U178" s="15"/>
    </row>
    <row r="179" spans="1:21" x14ac:dyDescent="0.35">
      <c r="A179" s="11" t="s">
        <v>301</v>
      </c>
      <c r="B179" s="289"/>
      <c r="C179" s="312">
        <f>SUM(C160,C171,C178)</f>
        <v>17493656.048859686</v>
      </c>
      <c r="D179" s="312">
        <f>SUM(D160,D171,D178)</f>
        <v>4609620.8466020953</v>
      </c>
      <c r="E179" s="312">
        <f>SUM(E160,E171,E178)</f>
        <v>6041074.2066180957</v>
      </c>
      <c r="U179" s="15"/>
    </row>
    <row r="180" spans="1:21" x14ac:dyDescent="0.35">
      <c r="B180" s="289"/>
      <c r="C180" s="305"/>
      <c r="D180" s="305"/>
      <c r="E180" s="305"/>
      <c r="U180" s="15"/>
    </row>
    <row r="181" spans="1:21" x14ac:dyDescent="0.35">
      <c r="B181" s="289"/>
      <c r="C181" s="305"/>
      <c r="D181" s="305"/>
      <c r="E181" s="305"/>
      <c r="U181" s="15"/>
    </row>
    <row r="182" spans="1:21" x14ac:dyDescent="0.35">
      <c r="U182" s="15"/>
    </row>
    <row r="183" spans="1:21" x14ac:dyDescent="0.35">
      <c r="U183" s="15"/>
    </row>
    <row r="184" spans="1:21" x14ac:dyDescent="0.35">
      <c r="U184" s="15"/>
    </row>
    <row r="185" spans="1:21" x14ac:dyDescent="0.35">
      <c r="U185" s="15"/>
    </row>
    <row r="186" spans="1:21" x14ac:dyDescent="0.35">
      <c r="B186" t="s">
        <v>283</v>
      </c>
      <c r="U186" s="15"/>
    </row>
    <row r="187" spans="1:21" x14ac:dyDescent="0.35">
      <c r="D187" t="s">
        <v>255</v>
      </c>
      <c r="E187" t="s">
        <v>256</v>
      </c>
      <c r="U187" s="15"/>
    </row>
    <row r="188" spans="1:21" x14ac:dyDescent="0.35">
      <c r="D188" t="s">
        <v>257</v>
      </c>
      <c r="E188" t="s">
        <v>257</v>
      </c>
      <c r="F188" t="s">
        <v>258</v>
      </c>
      <c r="G188" t="s">
        <v>259</v>
      </c>
      <c r="U188" s="15"/>
    </row>
    <row r="189" spans="1:21" x14ac:dyDescent="0.35">
      <c r="B189" t="s">
        <v>260</v>
      </c>
      <c r="C189" t="s">
        <v>261</v>
      </c>
      <c r="D189" s="303">
        <v>100</v>
      </c>
      <c r="E189" s="303">
        <v>100</v>
      </c>
      <c r="F189" s="303">
        <v>80</v>
      </c>
      <c r="G189" s="303">
        <v>60</v>
      </c>
      <c r="U189" s="15"/>
    </row>
    <row r="190" spans="1:21" x14ac:dyDescent="0.35">
      <c r="B190" t="s">
        <v>262</v>
      </c>
      <c r="C190" t="s">
        <v>263</v>
      </c>
      <c r="D190" s="303">
        <v>3</v>
      </c>
      <c r="E190" s="303">
        <v>4</v>
      </c>
      <c r="F190" s="303">
        <v>4</v>
      </c>
      <c r="G190" s="303">
        <v>3</v>
      </c>
      <c r="U190" s="15"/>
    </row>
    <row r="191" spans="1:21" x14ac:dyDescent="0.35">
      <c r="B191" t="s">
        <v>264</v>
      </c>
      <c r="C191" t="s">
        <v>263</v>
      </c>
      <c r="D191" s="303">
        <v>1</v>
      </c>
      <c r="E191" s="303">
        <v>1</v>
      </c>
      <c r="F191" s="303">
        <v>1</v>
      </c>
      <c r="G191" s="303">
        <v>3</v>
      </c>
      <c r="U191" s="15"/>
    </row>
    <row r="192" spans="1:21" x14ac:dyDescent="0.35">
      <c r="B192" t="s">
        <v>265</v>
      </c>
      <c r="C192" t="s">
        <v>266</v>
      </c>
      <c r="D192" s="304">
        <v>0.3</v>
      </c>
      <c r="E192" s="304">
        <v>0.3</v>
      </c>
      <c r="F192" s="304">
        <v>0.3</v>
      </c>
      <c r="G192" s="304">
        <v>0.3</v>
      </c>
      <c r="U192" s="15"/>
    </row>
    <row r="193" spans="2:21" x14ac:dyDescent="0.35">
      <c r="B193" t="s">
        <v>267</v>
      </c>
      <c r="C193" t="s">
        <v>261</v>
      </c>
      <c r="D193">
        <f>D190*D191*D189*(1+D192)</f>
        <v>390</v>
      </c>
      <c r="E193">
        <f>E190*E191*E189*(1+E192)</f>
        <v>520</v>
      </c>
      <c r="F193">
        <f>F190*F191*F189*(1+F192)</f>
        <v>416</v>
      </c>
      <c r="G193">
        <f>G190*G191*G189*(1+G192)</f>
        <v>702</v>
      </c>
      <c r="U193" s="15"/>
    </row>
    <row r="194" spans="2:21" x14ac:dyDescent="0.35">
      <c r="B194" t="s">
        <v>268</v>
      </c>
      <c r="E194" s="28">
        <v>4</v>
      </c>
      <c r="F194" t="s">
        <v>269</v>
      </c>
      <c r="U194" s="15"/>
    </row>
  </sheetData>
  <mergeCells count="249">
    <mergeCell ref="G109:G110"/>
    <mergeCell ref="G121:G122"/>
    <mergeCell ref="G127:G128"/>
    <mergeCell ref="L127:L128"/>
    <mergeCell ref="A129:E131"/>
    <mergeCell ref="BJ90:BJ92"/>
    <mergeCell ref="BK90:BK92"/>
    <mergeCell ref="BL90:BL92"/>
    <mergeCell ref="H91:J91"/>
    <mergeCell ref="K91:K92"/>
    <mergeCell ref="L91:L92"/>
    <mergeCell ref="R91:T91"/>
    <mergeCell ref="U91:U92"/>
    <mergeCell ref="V91:V92"/>
    <mergeCell ref="AC91:AE91"/>
    <mergeCell ref="AF91:AF92"/>
    <mergeCell ref="AG91:AG92"/>
    <mergeCell ref="AX90:AX92"/>
    <mergeCell ref="AY90:AY92"/>
    <mergeCell ref="BA90:BA92"/>
    <mergeCell ref="BB90:BB92"/>
    <mergeCell ref="BC90:BC92"/>
    <mergeCell ref="BD90:BD92"/>
    <mergeCell ref="BE90:BE92"/>
    <mergeCell ref="BF90:BF92"/>
    <mergeCell ref="BI90:BI92"/>
    <mergeCell ref="AN90:AN92"/>
    <mergeCell ref="AO90:AO92"/>
    <mergeCell ref="AP90:AP92"/>
    <mergeCell ref="AQ90:AQ92"/>
    <mergeCell ref="AR90:AR92"/>
    <mergeCell ref="AT90:AT92"/>
    <mergeCell ref="AU90:AU92"/>
    <mergeCell ref="AV90:AV92"/>
    <mergeCell ref="AW90:AW92"/>
    <mergeCell ref="Y90:Y92"/>
    <mergeCell ref="Z90:Z92"/>
    <mergeCell ref="AB90:AB92"/>
    <mergeCell ref="AC90:AG90"/>
    <mergeCell ref="AH90:AH92"/>
    <mergeCell ref="AI90:AI92"/>
    <mergeCell ref="AJ90:AJ92"/>
    <mergeCell ref="AK90:AK92"/>
    <mergeCell ref="AM90:AM92"/>
    <mergeCell ref="G90:G92"/>
    <mergeCell ref="H90:L90"/>
    <mergeCell ref="M90:M92"/>
    <mergeCell ref="N90:N92"/>
    <mergeCell ref="O90:O92"/>
    <mergeCell ref="Q90:Q92"/>
    <mergeCell ref="R90:V90"/>
    <mergeCell ref="W90:W92"/>
    <mergeCell ref="X90:X92"/>
    <mergeCell ref="BI79:BI81"/>
    <mergeCell ref="BJ79:BJ81"/>
    <mergeCell ref="BK79:BK81"/>
    <mergeCell ref="BL79:BL81"/>
    <mergeCell ref="H80:J80"/>
    <mergeCell ref="K80:K81"/>
    <mergeCell ref="L80:L81"/>
    <mergeCell ref="R80:T80"/>
    <mergeCell ref="U80:U81"/>
    <mergeCell ref="V80:V81"/>
    <mergeCell ref="AC80:AE80"/>
    <mergeCell ref="AF80:AF81"/>
    <mergeCell ref="AG80:AG81"/>
    <mergeCell ref="AW79:AW81"/>
    <mergeCell ref="AX79:AX81"/>
    <mergeCell ref="AY79:AY81"/>
    <mergeCell ref="BA79:BA81"/>
    <mergeCell ref="BB79:BB81"/>
    <mergeCell ref="BC79:BC81"/>
    <mergeCell ref="BD79:BD81"/>
    <mergeCell ref="BE79:BE81"/>
    <mergeCell ref="BF79:BF81"/>
    <mergeCell ref="AM79:AM81"/>
    <mergeCell ref="AN79:AN81"/>
    <mergeCell ref="AO79:AO81"/>
    <mergeCell ref="AP79:AP81"/>
    <mergeCell ref="AQ79:AQ81"/>
    <mergeCell ref="AR79:AR81"/>
    <mergeCell ref="AT79:AT81"/>
    <mergeCell ref="AU79:AU81"/>
    <mergeCell ref="AV79:AV81"/>
    <mergeCell ref="X79:X81"/>
    <mergeCell ref="Y79:Y81"/>
    <mergeCell ref="Z79:Z81"/>
    <mergeCell ref="AB79:AB81"/>
    <mergeCell ref="AC79:AG79"/>
    <mergeCell ref="AH79:AH81"/>
    <mergeCell ref="AI79:AI81"/>
    <mergeCell ref="AJ79:AJ81"/>
    <mergeCell ref="AK79:AK81"/>
    <mergeCell ref="A78:E78"/>
    <mergeCell ref="G79:G81"/>
    <mergeCell ref="H79:L79"/>
    <mergeCell ref="M79:M81"/>
    <mergeCell ref="N79:N81"/>
    <mergeCell ref="O79:O81"/>
    <mergeCell ref="Q79:Q81"/>
    <mergeCell ref="R79:V79"/>
    <mergeCell ref="W79:W81"/>
    <mergeCell ref="BI69:BI71"/>
    <mergeCell ref="BJ69:BJ71"/>
    <mergeCell ref="BK69:BK71"/>
    <mergeCell ref="BL69:BL71"/>
    <mergeCell ref="H70:J70"/>
    <mergeCell ref="K70:K71"/>
    <mergeCell ref="L70:L71"/>
    <mergeCell ref="R70:T70"/>
    <mergeCell ref="U70:U71"/>
    <mergeCell ref="V70:V71"/>
    <mergeCell ref="AC70:AE70"/>
    <mergeCell ref="AF70:AF71"/>
    <mergeCell ref="AG70:AG71"/>
    <mergeCell ref="AW69:AW71"/>
    <mergeCell ref="AX69:AX71"/>
    <mergeCell ref="AY69:AY71"/>
    <mergeCell ref="BA69:BA71"/>
    <mergeCell ref="BB69:BB71"/>
    <mergeCell ref="BC69:BC71"/>
    <mergeCell ref="BD69:BD71"/>
    <mergeCell ref="BE69:BE71"/>
    <mergeCell ref="BF69:BF71"/>
    <mergeCell ref="AM69:AM71"/>
    <mergeCell ref="AN69:AN71"/>
    <mergeCell ref="AO69:AO71"/>
    <mergeCell ref="AP69:AP71"/>
    <mergeCell ref="AQ69:AQ71"/>
    <mergeCell ref="AR69:AR71"/>
    <mergeCell ref="AT69:AT71"/>
    <mergeCell ref="AU69:AU71"/>
    <mergeCell ref="AV69:AV71"/>
    <mergeCell ref="X69:X71"/>
    <mergeCell ref="Y69:Y71"/>
    <mergeCell ref="Z69:Z71"/>
    <mergeCell ref="AB69:AB71"/>
    <mergeCell ref="AC69:AG69"/>
    <mergeCell ref="AH69:AH71"/>
    <mergeCell ref="AI69:AI71"/>
    <mergeCell ref="AJ69:AJ71"/>
    <mergeCell ref="AK69:AK71"/>
    <mergeCell ref="A68:E68"/>
    <mergeCell ref="G69:G71"/>
    <mergeCell ref="H69:L69"/>
    <mergeCell ref="M69:M71"/>
    <mergeCell ref="N69:N71"/>
    <mergeCell ref="O69:O71"/>
    <mergeCell ref="Q69:Q71"/>
    <mergeCell ref="R69:V69"/>
    <mergeCell ref="W69:W71"/>
    <mergeCell ref="BI59:BI61"/>
    <mergeCell ref="BJ59:BJ61"/>
    <mergeCell ref="BK59:BK61"/>
    <mergeCell ref="BL59:BL61"/>
    <mergeCell ref="H60:J60"/>
    <mergeCell ref="K60:K61"/>
    <mergeCell ref="L60:L61"/>
    <mergeCell ref="R60:T60"/>
    <mergeCell ref="U60:U61"/>
    <mergeCell ref="V60:V61"/>
    <mergeCell ref="AC60:AE60"/>
    <mergeCell ref="AF60:AF61"/>
    <mergeCell ref="AG60:AG61"/>
    <mergeCell ref="AW59:AW61"/>
    <mergeCell ref="AX59:AX61"/>
    <mergeCell ref="AY59:AY61"/>
    <mergeCell ref="BA59:BA61"/>
    <mergeCell ref="BB59:BB61"/>
    <mergeCell ref="BC59:BC61"/>
    <mergeCell ref="BD59:BD61"/>
    <mergeCell ref="BE59:BE61"/>
    <mergeCell ref="BF59:BF61"/>
    <mergeCell ref="AM59:AM61"/>
    <mergeCell ref="AN59:AN61"/>
    <mergeCell ref="AO59:AO61"/>
    <mergeCell ref="AP59:AP61"/>
    <mergeCell ref="AQ59:AQ61"/>
    <mergeCell ref="AR59:AR61"/>
    <mergeCell ref="AT59:AT61"/>
    <mergeCell ref="AU59:AU61"/>
    <mergeCell ref="AV59:AV61"/>
    <mergeCell ref="X59:X61"/>
    <mergeCell ref="Y59:Y61"/>
    <mergeCell ref="Z59:Z61"/>
    <mergeCell ref="AB59:AB61"/>
    <mergeCell ref="AC59:AG59"/>
    <mergeCell ref="AH59:AH61"/>
    <mergeCell ref="AI59:AI61"/>
    <mergeCell ref="AJ59:AJ61"/>
    <mergeCell ref="AK59:AK61"/>
    <mergeCell ref="A58:E58"/>
    <mergeCell ref="G59:G61"/>
    <mergeCell ref="H59:L59"/>
    <mergeCell ref="M59:M61"/>
    <mergeCell ref="N59:N61"/>
    <mergeCell ref="O59:O61"/>
    <mergeCell ref="Q59:Q61"/>
    <mergeCell ref="R59:V59"/>
    <mergeCell ref="W59:W61"/>
    <mergeCell ref="BI49:BI51"/>
    <mergeCell ref="BJ49:BJ51"/>
    <mergeCell ref="BK49:BK51"/>
    <mergeCell ref="BL49:BL51"/>
    <mergeCell ref="H50:J50"/>
    <mergeCell ref="K50:K51"/>
    <mergeCell ref="L50:L51"/>
    <mergeCell ref="R50:T50"/>
    <mergeCell ref="U50:U51"/>
    <mergeCell ref="V50:V51"/>
    <mergeCell ref="AC50:AE50"/>
    <mergeCell ref="AF50:AF51"/>
    <mergeCell ref="AG50:AG51"/>
    <mergeCell ref="AW49:AW51"/>
    <mergeCell ref="AX49:AX51"/>
    <mergeCell ref="AY49:AY51"/>
    <mergeCell ref="BA49:BA51"/>
    <mergeCell ref="BB49:BB51"/>
    <mergeCell ref="BC49:BC51"/>
    <mergeCell ref="BD49:BD51"/>
    <mergeCell ref="BE49:BE51"/>
    <mergeCell ref="BF49:BF51"/>
    <mergeCell ref="AM49:AM51"/>
    <mergeCell ref="AN49:AN51"/>
    <mergeCell ref="AO49:AO51"/>
    <mergeCell ref="AP49:AP51"/>
    <mergeCell ref="AQ49:AQ51"/>
    <mergeCell ref="AR49:AR51"/>
    <mergeCell ref="AT49:AT51"/>
    <mergeCell ref="AU49:AU51"/>
    <mergeCell ref="AV49:AV51"/>
    <mergeCell ref="X49:X51"/>
    <mergeCell ref="Y49:Y51"/>
    <mergeCell ref="Z49:Z51"/>
    <mergeCell ref="AB49:AB51"/>
    <mergeCell ref="AC49:AG49"/>
    <mergeCell ref="AH49:AH51"/>
    <mergeCell ref="AI49:AI51"/>
    <mergeCell ref="AJ49:AJ51"/>
    <mergeCell ref="AK49:AK51"/>
    <mergeCell ref="A48:E48"/>
    <mergeCell ref="G49:G51"/>
    <mergeCell ref="H49:L49"/>
    <mergeCell ref="M49:M51"/>
    <mergeCell ref="N49:N51"/>
    <mergeCell ref="O49:O51"/>
    <mergeCell ref="Q49:Q51"/>
    <mergeCell ref="R49:V49"/>
    <mergeCell ref="W49:W51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3A93-2809-E544-AA3F-88C9A41854D9}">
  <dimension ref="A1:W35"/>
  <sheetViews>
    <sheetView workbookViewId="0">
      <selection activeCell="I39" sqref="I39"/>
    </sheetView>
  </sheetViews>
  <sheetFormatPr defaultColWidth="10.6640625" defaultRowHeight="15.5" x14ac:dyDescent="0.35"/>
  <cols>
    <col min="4" max="22" width="13.6640625" customWidth="1"/>
  </cols>
  <sheetData>
    <row r="1" spans="1:23" ht="21" x14ac:dyDescent="0.5">
      <c r="A1" s="137" t="s">
        <v>190</v>
      </c>
    </row>
    <row r="2" spans="1:23" x14ac:dyDescent="0.35">
      <c r="D2" s="11"/>
      <c r="E2" s="11"/>
    </row>
    <row r="3" spans="1:23" ht="16" thickBot="1" x14ac:dyDescent="0.4">
      <c r="D3" s="11"/>
      <c r="E3" s="11"/>
    </row>
    <row r="4" spans="1:23" ht="16" thickBot="1" x14ac:dyDescent="0.4">
      <c r="D4" s="449" t="s">
        <v>175</v>
      </c>
      <c r="E4" s="410" t="s">
        <v>172</v>
      </c>
      <c r="F4" s="98" t="s">
        <v>192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  <c r="S4" s="443" t="s">
        <v>183</v>
      </c>
      <c r="T4" s="444"/>
      <c r="U4" s="444"/>
      <c r="V4" s="445"/>
    </row>
    <row r="5" spans="1:23" ht="16" thickBot="1" x14ac:dyDescent="0.4">
      <c r="D5" s="450"/>
      <c r="E5" s="451"/>
      <c r="F5" s="182">
        <v>2000</v>
      </c>
      <c r="G5" s="186" t="s">
        <v>146</v>
      </c>
      <c r="H5" s="186"/>
      <c r="I5" s="186"/>
      <c r="J5" s="183"/>
      <c r="K5" s="98" t="s">
        <v>185</v>
      </c>
      <c r="L5" s="99"/>
      <c r="M5" s="99"/>
      <c r="N5" s="100"/>
      <c r="O5" s="99" t="s">
        <v>184</v>
      </c>
      <c r="P5" s="99"/>
      <c r="Q5" s="100"/>
      <c r="S5" s="446"/>
      <c r="T5" s="447"/>
      <c r="U5" s="447"/>
      <c r="V5" s="448"/>
    </row>
    <row r="6" spans="1:23" ht="31.5" thickBot="1" x14ac:dyDescent="0.4">
      <c r="D6" s="450"/>
      <c r="E6" s="451"/>
      <c r="F6" s="171" t="s">
        <v>191</v>
      </c>
      <c r="G6" s="21" t="s">
        <v>176</v>
      </c>
      <c r="H6" s="173" t="s">
        <v>177</v>
      </c>
      <c r="I6" s="21" t="s">
        <v>195</v>
      </c>
      <c r="J6" s="171" t="s">
        <v>178</v>
      </c>
      <c r="K6" s="171" t="s">
        <v>181</v>
      </c>
      <c r="L6" s="173" t="s">
        <v>182</v>
      </c>
      <c r="M6" s="173" t="s">
        <v>197</v>
      </c>
      <c r="N6" s="172" t="s">
        <v>180</v>
      </c>
      <c r="O6" s="173" t="s">
        <v>173</v>
      </c>
      <c r="P6" s="173" t="s">
        <v>179</v>
      </c>
      <c r="Q6" s="172" t="s">
        <v>187</v>
      </c>
      <c r="S6" s="190" t="s">
        <v>50</v>
      </c>
      <c r="T6" s="190" t="s">
        <v>51</v>
      </c>
      <c r="U6" s="190" t="s">
        <v>52</v>
      </c>
      <c r="V6" s="190" t="s">
        <v>148</v>
      </c>
    </row>
    <row r="7" spans="1:23" x14ac:dyDescent="0.35">
      <c r="C7" t="s">
        <v>32</v>
      </c>
      <c r="D7" s="161">
        <f>gen_l_cost</f>
        <v>850</v>
      </c>
      <c r="E7" s="165">
        <f>gen_l_pow80*24*365*2</f>
        <v>4555.2</v>
      </c>
      <c r="F7" s="163">
        <f>gen_l_tps80</f>
        <v>1500</v>
      </c>
      <c r="G7" s="188">
        <f>ROUNDUP(F5/F7,0)</f>
        <v>2</v>
      </c>
      <c r="H7" s="139">
        <f>(G7*gen_l_ru)/max_ru</f>
        <v>0.14285714285714285</v>
      </c>
      <c r="I7" s="196" t="s">
        <v>196</v>
      </c>
      <c r="J7" s="157">
        <f>E7*G7</f>
        <v>9110.4</v>
      </c>
      <c r="K7" s="176">
        <f>D7*G7</f>
        <v>1700</v>
      </c>
      <c r="L7" s="177">
        <f>H7*rack_cost</f>
        <v>714.28571428571422</v>
      </c>
      <c r="M7" s="177">
        <v>0</v>
      </c>
      <c r="N7" s="158">
        <f>SUM(K7:M7)</f>
        <v>2414.2857142857142</v>
      </c>
      <c r="O7" s="177">
        <f>J7*kwh_cost</f>
        <v>468.27456000000001</v>
      </c>
      <c r="P7" s="179">
        <f>hw_supt*(K7+M7)</f>
        <v>340</v>
      </c>
      <c r="Q7" s="168">
        <f>SUM(O7:P7)</f>
        <v>808.27456000000006</v>
      </c>
      <c r="S7" s="191">
        <f>N7+O7</f>
        <v>2882.5602742857141</v>
      </c>
      <c r="T7" s="191">
        <f>Q7</f>
        <v>808.27456000000006</v>
      </c>
      <c r="U7" s="191">
        <f>Q7</f>
        <v>808.27456000000006</v>
      </c>
      <c r="V7" s="191">
        <f>SUM(S7:U7)</f>
        <v>4499.1093942857142</v>
      </c>
      <c r="W7" t="s">
        <v>194</v>
      </c>
    </row>
    <row r="8" spans="1:23" ht="16" thickBot="1" x14ac:dyDescent="0.4">
      <c r="C8" t="s">
        <v>41</v>
      </c>
      <c r="D8" s="162">
        <f>gen_xl_cost</f>
        <v>2350</v>
      </c>
      <c r="E8" s="166">
        <f>gen_xl_pow80*24*265*2</f>
        <v>5088.0000000000009</v>
      </c>
      <c r="F8" s="164">
        <f>gen_xl_tps80</f>
        <v>3600</v>
      </c>
      <c r="G8" s="189">
        <f>ROUNDUP(F5/F8,0)</f>
        <v>1</v>
      </c>
      <c r="H8" s="90">
        <f>G8*gen_xl_ru/max_ru</f>
        <v>0.14285714285714285</v>
      </c>
      <c r="I8" s="197" t="s">
        <v>196</v>
      </c>
      <c r="J8" s="159">
        <f>E8*G8</f>
        <v>5088.0000000000009</v>
      </c>
      <c r="K8" s="178">
        <f>D8*G8</f>
        <v>2350</v>
      </c>
      <c r="L8" s="91">
        <f>H8*rack_cost</f>
        <v>714.28571428571422</v>
      </c>
      <c r="M8" s="91">
        <v>0</v>
      </c>
      <c r="N8" s="160">
        <f>SUM(K8:M8)</f>
        <v>3064.2857142857142</v>
      </c>
      <c r="O8" s="91">
        <f>J8*kwh_cost</f>
        <v>261.52320000000003</v>
      </c>
      <c r="P8" s="180">
        <f>hw_supt*(K8+M8)</f>
        <v>470</v>
      </c>
      <c r="Q8" s="169">
        <f>SUM(O8:P8)</f>
        <v>731.52320000000009</v>
      </c>
      <c r="S8" s="192">
        <f>N8+O8</f>
        <v>3325.8089142857143</v>
      </c>
      <c r="T8" s="192">
        <f>Q8</f>
        <v>731.52320000000009</v>
      </c>
      <c r="U8" s="192">
        <f>Q8</f>
        <v>731.52320000000009</v>
      </c>
      <c r="V8" s="192">
        <f>SUM(S8:U8)</f>
        <v>4788.8553142857145</v>
      </c>
    </row>
    <row r="9" spans="1:23" x14ac:dyDescent="0.35">
      <c r="C9" s="155"/>
      <c r="I9" s="8"/>
    </row>
    <row r="10" spans="1:23" ht="16" thickBot="1" x14ac:dyDescent="0.4">
      <c r="I10" s="8"/>
    </row>
    <row r="11" spans="1:23" ht="16" thickBot="1" x14ac:dyDescent="0.4">
      <c r="D11" s="449" t="s">
        <v>175</v>
      </c>
      <c r="E11" s="410" t="s">
        <v>172</v>
      </c>
      <c r="F11" s="98" t="s">
        <v>188</v>
      </c>
      <c r="G11" s="99"/>
      <c r="H11" s="99"/>
      <c r="I11" s="187"/>
      <c r="J11" s="99"/>
      <c r="K11" s="99"/>
      <c r="L11" s="99"/>
      <c r="M11" s="99"/>
      <c r="N11" s="99"/>
      <c r="O11" s="99"/>
      <c r="P11" s="99"/>
      <c r="Q11" s="100"/>
      <c r="S11" s="443" t="s">
        <v>183</v>
      </c>
      <c r="T11" s="444"/>
      <c r="U11" s="444"/>
      <c r="V11" s="445"/>
    </row>
    <row r="12" spans="1:23" ht="16" thickBot="1" x14ac:dyDescent="0.4">
      <c r="D12" s="450"/>
      <c r="E12" s="451"/>
      <c r="F12" s="182">
        <v>2000</v>
      </c>
      <c r="G12" s="186" t="s">
        <v>186</v>
      </c>
      <c r="H12" s="186"/>
      <c r="I12" s="198"/>
      <c r="J12" s="183"/>
      <c r="K12" s="98" t="s">
        <v>185</v>
      </c>
      <c r="L12" s="99"/>
      <c r="M12" s="99"/>
      <c r="N12" s="100"/>
      <c r="O12" s="99" t="s">
        <v>184</v>
      </c>
      <c r="P12" s="99"/>
      <c r="Q12" s="100"/>
      <c r="S12" s="446"/>
      <c r="T12" s="447"/>
      <c r="U12" s="447"/>
      <c r="V12" s="448"/>
    </row>
    <row r="13" spans="1:23" ht="31.5" thickBot="1" x14ac:dyDescent="0.4">
      <c r="D13" s="450"/>
      <c r="E13" s="451"/>
      <c r="F13" s="171" t="s">
        <v>174</v>
      </c>
      <c r="G13" s="21" t="s">
        <v>176</v>
      </c>
      <c r="H13" s="173" t="s">
        <v>177</v>
      </c>
      <c r="I13" s="21" t="s">
        <v>195</v>
      </c>
      <c r="J13" s="171" t="s">
        <v>178</v>
      </c>
      <c r="K13" s="171" t="s">
        <v>181</v>
      </c>
      <c r="L13" s="173" t="s">
        <v>182</v>
      </c>
      <c r="M13" s="173" t="s">
        <v>197</v>
      </c>
      <c r="N13" s="172" t="s">
        <v>180</v>
      </c>
      <c r="O13" s="173" t="s">
        <v>173</v>
      </c>
      <c r="P13" s="173" t="s">
        <v>179</v>
      </c>
      <c r="Q13" s="172" t="s">
        <v>187</v>
      </c>
      <c r="S13" s="190" t="s">
        <v>50</v>
      </c>
      <c r="T13" s="190" t="s">
        <v>51</v>
      </c>
      <c r="U13" s="190" t="s">
        <v>52</v>
      </c>
      <c r="V13" s="190" t="s">
        <v>148</v>
      </c>
    </row>
    <row r="14" spans="1:23" x14ac:dyDescent="0.35">
      <c r="C14" t="s">
        <v>32</v>
      </c>
      <c r="D14" s="161">
        <f>gen_l_cost</f>
        <v>850</v>
      </c>
      <c r="E14" s="165">
        <f>gen_l_pow80*24*365*2</f>
        <v>4555.2</v>
      </c>
      <c r="F14" s="163">
        <f>gen_l_disk</f>
        <v>637.5</v>
      </c>
      <c r="G14" s="188">
        <f>ROUNDUP(F12/F14,0)</f>
        <v>4</v>
      </c>
      <c r="H14" s="139">
        <f>(G14*gen_l_ru)/max_ru</f>
        <v>0.2857142857142857</v>
      </c>
      <c r="I14" s="196" t="s">
        <v>196</v>
      </c>
      <c r="J14" s="157">
        <f>E14*G14</f>
        <v>18220.8</v>
      </c>
      <c r="K14" s="176">
        <f>D14*G14</f>
        <v>3400</v>
      </c>
      <c r="L14" s="177">
        <f>H14*rack_cost</f>
        <v>1428.5714285714284</v>
      </c>
      <c r="M14" s="177">
        <v>0</v>
      </c>
      <c r="N14" s="158">
        <f>SUM(K14:M14)</f>
        <v>4828.5714285714284</v>
      </c>
      <c r="O14" s="177">
        <f>J14*kwh_cost</f>
        <v>936.54912000000002</v>
      </c>
      <c r="P14" s="179">
        <f>hw_supt*(K14+M14)</f>
        <v>680</v>
      </c>
      <c r="Q14" s="168">
        <f>SUM(O14:P14)</f>
        <v>1616.5491200000001</v>
      </c>
      <c r="S14" s="191">
        <f>N14+O14</f>
        <v>5765.1205485714281</v>
      </c>
      <c r="T14" s="191">
        <f>Q14</f>
        <v>1616.5491200000001</v>
      </c>
      <c r="U14" s="191">
        <f>Q14</f>
        <v>1616.5491200000001</v>
      </c>
      <c r="V14" s="191">
        <f>SUM(S14:U14)</f>
        <v>8998.2187885714284</v>
      </c>
      <c r="W14" t="s">
        <v>193</v>
      </c>
    </row>
    <row r="15" spans="1:23" ht="16" thickBot="1" x14ac:dyDescent="0.4">
      <c r="C15" t="s">
        <v>41</v>
      </c>
      <c r="D15" s="162">
        <f>gen_xl_cost</f>
        <v>2350</v>
      </c>
      <c r="E15" s="166">
        <f>gen_xl_pow80*24*265*2</f>
        <v>5088.0000000000009</v>
      </c>
      <c r="F15" s="164">
        <f>gen_xl_disk</f>
        <v>1500</v>
      </c>
      <c r="G15" s="189">
        <f>ROUNDUP(F12/F15,0)</f>
        <v>2</v>
      </c>
      <c r="H15" s="90">
        <f>G15*gen_xl_ru/max_ru</f>
        <v>0.2857142857142857</v>
      </c>
      <c r="I15" s="197" t="s">
        <v>196</v>
      </c>
      <c r="J15" s="159">
        <f>E15*G15</f>
        <v>10176.000000000002</v>
      </c>
      <c r="K15" s="178">
        <f>D15*G15</f>
        <v>4700</v>
      </c>
      <c r="L15" s="91">
        <f>H15*rack_cost</f>
        <v>1428.5714285714284</v>
      </c>
      <c r="M15" s="91">
        <v>0</v>
      </c>
      <c r="N15" s="160">
        <f>SUM(K15:M15)</f>
        <v>6128.5714285714284</v>
      </c>
      <c r="O15" s="91">
        <f>J15*kwh_cost</f>
        <v>523.04640000000006</v>
      </c>
      <c r="P15" s="180">
        <f>hw_supt*(K15+M15)</f>
        <v>940</v>
      </c>
      <c r="Q15" s="169">
        <f>SUM(O15:P15)</f>
        <v>1463.0464000000002</v>
      </c>
      <c r="S15" s="192">
        <f>N15+O15</f>
        <v>6651.6178285714286</v>
      </c>
      <c r="T15" s="192">
        <f>Q15</f>
        <v>1463.0464000000002</v>
      </c>
      <c r="U15" s="192">
        <f>Q15</f>
        <v>1463.0464000000002</v>
      </c>
      <c r="V15" s="192">
        <f>SUM(S15:U15)</f>
        <v>9577.710628571429</v>
      </c>
    </row>
    <row r="16" spans="1:23" x14ac:dyDescent="0.35">
      <c r="I16" s="8"/>
    </row>
    <row r="17" spans="1:23" ht="16" thickBot="1" x14ac:dyDescent="0.4">
      <c r="I17" s="8"/>
    </row>
    <row r="18" spans="1:23" ht="16" thickBot="1" x14ac:dyDescent="0.4">
      <c r="D18" s="449" t="s">
        <v>175</v>
      </c>
      <c r="E18" s="410" t="s">
        <v>172</v>
      </c>
      <c r="F18" s="98" t="s">
        <v>189</v>
      </c>
      <c r="G18" s="99"/>
      <c r="H18" s="99"/>
      <c r="I18" s="187"/>
      <c r="J18" s="99"/>
      <c r="K18" s="99"/>
      <c r="L18" s="99"/>
      <c r="M18" s="99"/>
      <c r="N18" s="99"/>
      <c r="O18" s="99"/>
      <c r="P18" s="99"/>
      <c r="Q18" s="100"/>
      <c r="S18" s="443" t="s">
        <v>183</v>
      </c>
      <c r="T18" s="444"/>
      <c r="U18" s="444"/>
      <c r="V18" s="445"/>
    </row>
    <row r="19" spans="1:23" ht="16" thickBot="1" x14ac:dyDescent="0.4">
      <c r="D19" s="450"/>
      <c r="E19" s="451"/>
      <c r="F19" s="182">
        <v>1000</v>
      </c>
      <c r="G19" s="186" t="s">
        <v>157</v>
      </c>
      <c r="H19" s="186"/>
      <c r="I19" s="198"/>
      <c r="J19" s="183"/>
      <c r="K19" s="98" t="s">
        <v>185</v>
      </c>
      <c r="L19" s="99"/>
      <c r="M19" s="99"/>
      <c r="N19" s="100"/>
      <c r="O19" s="99" t="s">
        <v>184</v>
      </c>
      <c r="P19" s="99"/>
      <c r="Q19" s="100"/>
      <c r="S19" s="446"/>
      <c r="T19" s="447"/>
      <c r="U19" s="447"/>
      <c r="V19" s="448"/>
    </row>
    <row r="20" spans="1:23" ht="31.5" thickBot="1" x14ac:dyDescent="0.4">
      <c r="D20" s="450"/>
      <c r="E20" s="451"/>
      <c r="F20" s="171" t="s">
        <v>118</v>
      </c>
      <c r="G20" s="21" t="s">
        <v>176</v>
      </c>
      <c r="H20" s="173" t="s">
        <v>177</v>
      </c>
      <c r="I20" s="21" t="s">
        <v>195</v>
      </c>
      <c r="J20" s="171" t="s">
        <v>178</v>
      </c>
      <c r="K20" s="171" t="s">
        <v>181</v>
      </c>
      <c r="L20" s="173" t="s">
        <v>182</v>
      </c>
      <c r="M20" s="173" t="s">
        <v>197</v>
      </c>
      <c r="N20" s="172" t="s">
        <v>180</v>
      </c>
      <c r="O20" s="173" t="s">
        <v>173</v>
      </c>
      <c r="P20" s="173" t="s">
        <v>179</v>
      </c>
      <c r="Q20" s="172" t="s">
        <v>187</v>
      </c>
      <c r="S20" s="190" t="s">
        <v>50</v>
      </c>
      <c r="T20" s="190" t="s">
        <v>51</v>
      </c>
      <c r="U20" s="190" t="s">
        <v>52</v>
      </c>
      <c r="V20" s="190" t="s">
        <v>148</v>
      </c>
    </row>
    <row r="21" spans="1:23" x14ac:dyDescent="0.35">
      <c r="C21" t="s">
        <v>32</v>
      </c>
      <c r="D21" s="161">
        <f>gen_l_cost</f>
        <v>850</v>
      </c>
      <c r="E21" s="165">
        <f>gen_l_pow80*24*365*2</f>
        <v>4555.2</v>
      </c>
      <c r="F21" s="184">
        <f>gen_l_bw</f>
        <v>0.75</v>
      </c>
      <c r="G21" s="188">
        <f>ROUNDUP(F19/F21,0)</f>
        <v>1334</v>
      </c>
      <c r="H21" s="139">
        <f>(G21*gen_l_ru)/max_ru</f>
        <v>95.285714285714292</v>
      </c>
      <c r="I21" s="199">
        <f>G21*gen_l_ports/gig_ports</f>
        <v>333.5</v>
      </c>
      <c r="J21" s="157">
        <f>E21*G21</f>
        <v>6076636.7999999998</v>
      </c>
      <c r="K21" s="176">
        <f>D21*G21</f>
        <v>1133900</v>
      </c>
      <c r="L21" s="177">
        <f>H21*rack_cost</f>
        <v>476428.57142857148</v>
      </c>
      <c r="M21" s="177">
        <f>I21*gig_cost</f>
        <v>1667500</v>
      </c>
      <c r="N21" s="158">
        <f>SUM(K21:M21)</f>
        <v>3277828.5714285714</v>
      </c>
      <c r="O21" s="177">
        <f>J21*kwh_cost</f>
        <v>312339.13152</v>
      </c>
      <c r="P21" s="179">
        <f>hw_supt*(K21+M21)</f>
        <v>560280</v>
      </c>
      <c r="Q21" s="168">
        <f>SUM(O21:P21)</f>
        <v>872619.13152000005</v>
      </c>
      <c r="S21" s="191">
        <f>N21+O21</f>
        <v>3590167.7029485712</v>
      </c>
      <c r="T21" s="191">
        <f>Q21</f>
        <v>872619.13152000005</v>
      </c>
      <c r="U21" s="191">
        <f>Q21</f>
        <v>872619.13152000005</v>
      </c>
      <c r="V21" s="191">
        <f>SUM(S21:U21)</f>
        <v>5335405.9659885718</v>
      </c>
      <c r="W21" t="s">
        <v>198</v>
      </c>
    </row>
    <row r="22" spans="1:23" ht="16" thickBot="1" x14ac:dyDescent="0.4">
      <c r="C22" t="s">
        <v>41</v>
      </c>
      <c r="D22" s="162">
        <f>gen_xl_cost</f>
        <v>2350</v>
      </c>
      <c r="E22" s="166">
        <f>gen_xl_pow80*24*265*2</f>
        <v>5088.0000000000009</v>
      </c>
      <c r="F22" s="185">
        <f>gen_xl_bw</f>
        <v>1.5</v>
      </c>
      <c r="G22" s="189">
        <f>ROUNDUP(F19/F22,0)</f>
        <v>667</v>
      </c>
      <c r="H22" s="90">
        <f>G22*gen_xl_ru/max_ru</f>
        <v>95.285714285714292</v>
      </c>
      <c r="I22" s="200">
        <f>G22*gen_xl_ports/gig_ports</f>
        <v>333.5</v>
      </c>
      <c r="J22" s="159">
        <f>E22*G22</f>
        <v>3393696.0000000005</v>
      </c>
      <c r="K22" s="178">
        <f>D22*G22</f>
        <v>1567450</v>
      </c>
      <c r="L22" s="91">
        <f>H22*rack_cost</f>
        <v>476428.57142857148</v>
      </c>
      <c r="M22" s="91">
        <f>I22*gig_cost</f>
        <v>1667500</v>
      </c>
      <c r="N22" s="160">
        <f>SUM(K22:M22)</f>
        <v>3711378.5714285714</v>
      </c>
      <c r="O22" s="91">
        <f>J22*kwh_cost</f>
        <v>174435.97440000004</v>
      </c>
      <c r="P22" s="180">
        <f>hw_supt*(K22+M22)</f>
        <v>646990</v>
      </c>
      <c r="Q22" s="169">
        <f>SUM(O22:P22)</f>
        <v>821425.97440000006</v>
      </c>
      <c r="S22" s="192">
        <f>N22+O22</f>
        <v>3885814.5458285715</v>
      </c>
      <c r="T22" s="192">
        <f>Q22</f>
        <v>821425.97440000006</v>
      </c>
      <c r="U22" s="192">
        <f>Q22</f>
        <v>821425.97440000006</v>
      </c>
      <c r="V22" s="192">
        <f>SUM(S22:U22)</f>
        <v>5528666.494628571</v>
      </c>
    </row>
    <row r="28" spans="1:23" ht="21" x14ac:dyDescent="0.5">
      <c r="A28" s="137" t="s">
        <v>200</v>
      </c>
    </row>
    <row r="29" spans="1:23" ht="16" thickBot="1" x14ac:dyDescent="0.4"/>
    <row r="30" spans="1:23" ht="16" thickBot="1" x14ac:dyDescent="0.4">
      <c r="D30" s="449" t="s">
        <v>201</v>
      </c>
      <c r="E30" s="410" t="s">
        <v>172</v>
      </c>
      <c r="F30" s="227" t="s">
        <v>202</v>
      </c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8"/>
      <c r="S30" s="443" t="s">
        <v>183</v>
      </c>
      <c r="T30" s="444"/>
      <c r="U30" s="444"/>
      <c r="V30" s="445"/>
    </row>
    <row r="31" spans="1:23" ht="17" customHeight="1" thickBot="1" x14ac:dyDescent="0.4">
      <c r="D31" s="450"/>
      <c r="E31" s="451"/>
      <c r="F31" s="106">
        <v>500</v>
      </c>
      <c r="G31" s="106" t="s">
        <v>157</v>
      </c>
      <c r="H31" s="106"/>
      <c r="I31" s="106"/>
      <c r="J31" s="106"/>
      <c r="K31" s="203" t="s">
        <v>185</v>
      </c>
      <c r="L31" s="204"/>
      <c r="M31" s="204"/>
      <c r="N31" s="205"/>
      <c r="O31" s="204" t="s">
        <v>184</v>
      </c>
      <c r="P31" s="204"/>
      <c r="Q31" s="205"/>
      <c r="S31" s="446"/>
      <c r="T31" s="447"/>
      <c r="U31" s="447"/>
      <c r="V31" s="448"/>
    </row>
    <row r="32" spans="1:23" ht="31.5" thickBot="1" x14ac:dyDescent="0.4">
      <c r="D32" s="452"/>
      <c r="E32" s="411"/>
      <c r="F32" s="21" t="s">
        <v>203</v>
      </c>
      <c r="G32" s="21" t="s">
        <v>204</v>
      </c>
      <c r="H32" s="21" t="s">
        <v>177</v>
      </c>
      <c r="I32" s="229"/>
      <c r="J32" s="171" t="s">
        <v>178</v>
      </c>
      <c r="K32" s="171" t="s">
        <v>205</v>
      </c>
      <c r="L32" s="173" t="s">
        <v>182</v>
      </c>
      <c r="M32" s="201"/>
      <c r="N32" s="172" t="s">
        <v>180</v>
      </c>
      <c r="O32" s="173" t="s">
        <v>173</v>
      </c>
      <c r="P32" s="173" t="s">
        <v>179</v>
      </c>
      <c r="Q32" s="172" t="s">
        <v>187</v>
      </c>
      <c r="S32" s="190" t="s">
        <v>50</v>
      </c>
      <c r="T32" s="190" t="s">
        <v>51</v>
      </c>
      <c r="U32" s="190" t="s">
        <v>52</v>
      </c>
      <c r="V32" s="190" t="s">
        <v>148</v>
      </c>
    </row>
    <row r="33" spans="3:23" x14ac:dyDescent="0.35">
      <c r="C33" t="s">
        <v>90</v>
      </c>
      <c r="D33" s="213">
        <f>gig_cost</f>
        <v>5000</v>
      </c>
      <c r="E33" s="214">
        <f>gig_pwr*24*265*2</f>
        <v>686.87999999999988</v>
      </c>
      <c r="F33" s="214">
        <f>gig_bw*gig_ports</f>
        <v>6</v>
      </c>
      <c r="G33" s="215">
        <f>ROUNDUP(F31/F33,0)</f>
        <v>84</v>
      </c>
      <c r="H33" s="216">
        <f>G33/shelf_cards*shelf_rus/max_ru</f>
        <v>1.5</v>
      </c>
      <c r="I33" s="217"/>
      <c r="J33" s="218">
        <f>E33*G33</f>
        <v>57697.919999999991</v>
      </c>
      <c r="K33" s="219">
        <f>D33*G33</f>
        <v>420000</v>
      </c>
      <c r="L33" s="220">
        <f>H33*rack_cost</f>
        <v>7500</v>
      </c>
      <c r="M33" s="221"/>
      <c r="N33" s="222">
        <f>SUM(K33:M33)</f>
        <v>427500</v>
      </c>
      <c r="O33" s="220">
        <f>J33*kwh_cost</f>
        <v>2965.6730879999996</v>
      </c>
      <c r="P33" s="223">
        <f>hw_supt*(K33+M33)</f>
        <v>84000</v>
      </c>
      <c r="Q33" s="224">
        <f>SUM(O33:P33)</f>
        <v>86965.673087999996</v>
      </c>
      <c r="S33" s="191">
        <f>N33+O33</f>
        <v>430465.67308799998</v>
      </c>
      <c r="T33" s="191">
        <f>Q33</f>
        <v>86965.673087999996</v>
      </c>
      <c r="U33" s="191">
        <f>Q33</f>
        <v>86965.673087999996</v>
      </c>
      <c r="V33" s="191">
        <f>SUM(S33:U33)</f>
        <v>604397.019264</v>
      </c>
    </row>
    <row r="34" spans="3:23" x14ac:dyDescent="0.35">
      <c r="C34" t="s">
        <v>92</v>
      </c>
      <c r="D34" s="206">
        <f>oc48_cost</f>
        <v>5000</v>
      </c>
      <c r="E34" s="193">
        <f>oc48_pwr*24*265*2</f>
        <v>1717.1999999999996</v>
      </c>
      <c r="F34" s="193">
        <f>oc48_bw*oc48_ports</f>
        <v>15</v>
      </c>
      <c r="G34" s="188">
        <f>ROUNDUP(F31/F34,0)</f>
        <v>34</v>
      </c>
      <c r="H34" s="211">
        <f>G34/shelf_cards*shelf_rus/max_ru</f>
        <v>0.6071428571428571</v>
      </c>
      <c r="I34" s="225"/>
      <c r="J34" s="157">
        <f t="shared" ref="J34:J35" si="0">E34*G34</f>
        <v>58384.799999999988</v>
      </c>
      <c r="K34" s="176">
        <f t="shared" ref="K34:K35" si="1">D34*G34</f>
        <v>170000</v>
      </c>
      <c r="L34" s="177">
        <f>H34*rack_cost</f>
        <v>3035.7142857142853</v>
      </c>
      <c r="M34" s="202"/>
      <c r="N34" s="158">
        <f t="shared" ref="N34:N35" si="2">SUM(K34:M34)</f>
        <v>173035.71428571429</v>
      </c>
      <c r="O34" s="177">
        <f>J34*kwh_cost</f>
        <v>3000.9787199999996</v>
      </c>
      <c r="P34" s="179">
        <f>hw_supt*(K34+M34)</f>
        <v>34000</v>
      </c>
      <c r="Q34" s="168">
        <f t="shared" ref="Q34:Q35" si="3">SUM(O34:P34)</f>
        <v>37000.978719999999</v>
      </c>
      <c r="S34" s="191">
        <f t="shared" ref="S34:S35" si="4">N34+O34</f>
        <v>176036.6930057143</v>
      </c>
      <c r="T34" s="191">
        <f t="shared" ref="T34:T35" si="5">Q34</f>
        <v>37000.978719999999</v>
      </c>
      <c r="U34" s="191">
        <f t="shared" ref="U34:U35" si="6">Q34</f>
        <v>37000.978719999999</v>
      </c>
      <c r="V34" s="191">
        <f t="shared" ref="V34:V35" si="7">SUM(S34:U34)</f>
        <v>250038.6504457143</v>
      </c>
      <c r="W34" t="s">
        <v>206</v>
      </c>
    </row>
    <row r="35" spans="3:23" ht="16" thickBot="1" x14ac:dyDescent="0.4">
      <c r="C35" t="s">
        <v>93</v>
      </c>
      <c r="D35" s="207">
        <f>oc192_cost</f>
        <v>12000</v>
      </c>
      <c r="E35" s="208">
        <f>oc192_pwr*24*365*2</f>
        <v>4730.3999999999987</v>
      </c>
      <c r="F35" s="208">
        <f>oc192_bw*oc192_ports</f>
        <v>30</v>
      </c>
      <c r="G35" s="189">
        <f>ROUNDUP(F31/F35,0)</f>
        <v>17</v>
      </c>
      <c r="H35" s="194">
        <f>G35/shelf_cards*shelf_rus/max_ru</f>
        <v>0.30357142857142855</v>
      </c>
      <c r="I35" s="212"/>
      <c r="J35" s="159">
        <f t="shared" si="0"/>
        <v>80416.799999999974</v>
      </c>
      <c r="K35" s="178">
        <f t="shared" si="1"/>
        <v>204000</v>
      </c>
      <c r="L35" s="91">
        <f>H35*rack_cost</f>
        <v>1517.8571428571427</v>
      </c>
      <c r="M35" s="226"/>
      <c r="N35" s="160">
        <f t="shared" si="2"/>
        <v>205517.85714285713</v>
      </c>
      <c r="O35" s="91">
        <f>J35*kwh_cost</f>
        <v>4133.4235199999985</v>
      </c>
      <c r="P35" s="180">
        <f>hw_supt*(K35+M35)</f>
        <v>40800</v>
      </c>
      <c r="Q35" s="169">
        <f t="shared" si="3"/>
        <v>44933.423519999997</v>
      </c>
      <c r="S35" s="192">
        <f t="shared" si="4"/>
        <v>209651.28066285714</v>
      </c>
      <c r="T35" s="192">
        <f t="shared" si="5"/>
        <v>44933.423519999997</v>
      </c>
      <c r="U35" s="192">
        <f t="shared" si="6"/>
        <v>44933.423519999997</v>
      </c>
      <c r="V35" s="192">
        <f t="shared" si="7"/>
        <v>299518.12770285713</v>
      </c>
    </row>
  </sheetData>
  <mergeCells count="12">
    <mergeCell ref="D30:D32"/>
    <mergeCell ref="E30:E32"/>
    <mergeCell ref="S30:V31"/>
    <mergeCell ref="D18:D20"/>
    <mergeCell ref="E18:E20"/>
    <mergeCell ref="S18:V19"/>
    <mergeCell ref="S4:V5"/>
    <mergeCell ref="D11:D13"/>
    <mergeCell ref="E11:E13"/>
    <mergeCell ref="S11:V12"/>
    <mergeCell ref="D4:D6"/>
    <mergeCell ref="E4:E6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EA7B-0CC3-3A43-BF87-72956B9431CD}">
  <dimension ref="A2:AB52"/>
  <sheetViews>
    <sheetView zoomScaleNormal="100" workbookViewId="0">
      <selection activeCell="E31" sqref="E31"/>
    </sheetView>
  </sheetViews>
  <sheetFormatPr defaultColWidth="12.5" defaultRowHeight="15.5" x14ac:dyDescent="0.35"/>
  <cols>
    <col min="1" max="1" width="49.33203125" bestFit="1" customWidth="1"/>
    <col min="2" max="2" width="13.1640625" bestFit="1" customWidth="1"/>
    <col min="5" max="5" width="20.83203125" bestFit="1" customWidth="1"/>
    <col min="6" max="6" width="14.1640625" bestFit="1" customWidth="1"/>
    <col min="7" max="7" width="12.6640625" style="70" customWidth="1"/>
  </cols>
  <sheetData>
    <row r="2" spans="1:10" x14ac:dyDescent="0.35">
      <c r="A2" s="11" t="s">
        <v>64</v>
      </c>
    </row>
    <row r="3" spans="1:10" x14ac:dyDescent="0.35">
      <c r="A3" s="29" t="s">
        <v>67</v>
      </c>
      <c r="B3" s="1">
        <v>40000000</v>
      </c>
    </row>
    <row r="4" spans="1:10" x14ac:dyDescent="0.35">
      <c r="A4" s="29"/>
      <c r="B4" s="1"/>
    </row>
    <row r="5" spans="1:10" x14ac:dyDescent="0.35">
      <c r="A5" s="29" t="s">
        <v>134</v>
      </c>
      <c r="B5" s="135" t="s">
        <v>135</v>
      </c>
      <c r="C5" s="116" t="s">
        <v>136</v>
      </c>
    </row>
    <row r="6" spans="1:10" x14ac:dyDescent="0.35">
      <c r="A6" s="29"/>
      <c r="B6">
        <v>44</v>
      </c>
      <c r="C6" s="32">
        <f>ROUND(tot_req_hr/3600,3)</f>
        <v>1.2E-2</v>
      </c>
    </row>
    <row r="7" spans="1:10" x14ac:dyDescent="0.35">
      <c r="A7" s="29"/>
      <c r="B7" s="32"/>
    </row>
    <row r="8" spans="1:10" ht="31" x14ac:dyDescent="0.35">
      <c r="A8" s="125" t="s">
        <v>137</v>
      </c>
      <c r="B8" s="117" t="s">
        <v>127</v>
      </c>
      <c r="C8" s="117" t="s">
        <v>128</v>
      </c>
      <c r="D8" s="117" t="s">
        <v>129</v>
      </c>
      <c r="E8" s="117" t="s">
        <v>132</v>
      </c>
      <c r="F8" s="117" t="s">
        <v>130</v>
      </c>
      <c r="G8" s="117" t="s">
        <v>131</v>
      </c>
      <c r="H8" s="117" t="s">
        <v>1</v>
      </c>
      <c r="I8" s="117" t="s">
        <v>133</v>
      </c>
      <c r="J8" s="116" t="s">
        <v>126</v>
      </c>
    </row>
    <row r="9" spans="1:10" x14ac:dyDescent="0.35">
      <c r="A9" s="29"/>
      <c r="B9">
        <v>112</v>
      </c>
      <c r="C9">
        <v>192</v>
      </c>
      <c r="D9">
        <v>240</v>
      </c>
      <c r="E9" s="22">
        <v>0.2</v>
      </c>
      <c r="F9" s="22">
        <v>0.6</v>
      </c>
      <c r="G9" s="22">
        <v>0.2</v>
      </c>
      <c r="H9">
        <v>192</v>
      </c>
      <c r="I9">
        <v>24</v>
      </c>
      <c r="J9" s="63">
        <f>stream_req/tot_req_hr</f>
        <v>0.54545454545454541</v>
      </c>
    </row>
    <row r="10" spans="1:10" x14ac:dyDescent="0.35">
      <c r="A10" s="29"/>
    </row>
    <row r="11" spans="1:10" ht="31" x14ac:dyDescent="0.35">
      <c r="A11" s="29" t="s">
        <v>138</v>
      </c>
      <c r="B11" s="11" t="s">
        <v>24</v>
      </c>
      <c r="C11" s="117" t="s">
        <v>133</v>
      </c>
      <c r="D11" s="116" t="s">
        <v>126</v>
      </c>
    </row>
    <row r="12" spans="1:10" x14ac:dyDescent="0.35">
      <c r="A12" s="29"/>
      <c r="B12">
        <f>7.2/1000</f>
        <v>7.1999999999999998E-3</v>
      </c>
      <c r="C12">
        <v>4</v>
      </c>
      <c r="D12" s="63">
        <f>down_req/tot_req_hr</f>
        <v>9.0909090909090912E-2</v>
      </c>
    </row>
    <row r="13" spans="1:10" x14ac:dyDescent="0.35">
      <c r="A13" s="29"/>
      <c r="D13" s="63"/>
    </row>
    <row r="14" spans="1:10" ht="31" x14ac:dyDescent="0.35">
      <c r="A14" s="29" t="s">
        <v>65</v>
      </c>
      <c r="B14" s="117" t="s">
        <v>139</v>
      </c>
      <c r="C14" s="117" t="s">
        <v>133</v>
      </c>
      <c r="D14" s="116" t="s">
        <v>126</v>
      </c>
    </row>
    <row r="15" spans="1:10" x14ac:dyDescent="0.35">
      <c r="A15" s="64" t="s">
        <v>71</v>
      </c>
      <c r="B15">
        <f>0.2/1000</f>
        <v>2.0000000000000001E-4</v>
      </c>
      <c r="C15">
        <v>16</v>
      </c>
      <c r="D15" s="63">
        <f>16/44</f>
        <v>0.36363636363636365</v>
      </c>
    </row>
    <row r="16" spans="1:10" x14ac:dyDescent="0.35">
      <c r="A16" s="48"/>
    </row>
    <row r="17" spans="1:28" x14ac:dyDescent="0.35">
      <c r="A17" s="11" t="s">
        <v>70</v>
      </c>
      <c r="B17" s="116" t="s">
        <v>29</v>
      </c>
      <c r="C17" s="116" t="s">
        <v>30</v>
      </c>
      <c r="D17" s="116" t="s">
        <v>0</v>
      </c>
      <c r="E17" s="116" t="s">
        <v>31</v>
      </c>
    </row>
    <row r="18" spans="1:28" x14ac:dyDescent="0.35">
      <c r="A18" s="14"/>
      <c r="B18" s="22">
        <v>0.8</v>
      </c>
      <c r="C18" s="22">
        <v>0.75</v>
      </c>
      <c r="D18" s="22">
        <v>0.8</v>
      </c>
      <c r="E18" s="22">
        <v>0.75</v>
      </c>
    </row>
    <row r="23" spans="1:28" x14ac:dyDescent="0.35">
      <c r="A23" s="26" t="s">
        <v>34</v>
      </c>
    </row>
    <row r="24" spans="1:28" ht="34" customHeight="1" x14ac:dyDescent="0.35">
      <c r="B24" s="453" t="s">
        <v>33</v>
      </c>
      <c r="C24" s="453" t="s">
        <v>42</v>
      </c>
      <c r="D24" s="454" t="s">
        <v>116</v>
      </c>
      <c r="E24" s="454" t="s">
        <v>117</v>
      </c>
      <c r="F24" s="454" t="s">
        <v>118</v>
      </c>
      <c r="G24" s="454" t="s">
        <v>105</v>
      </c>
      <c r="H24" s="454" t="s">
        <v>150</v>
      </c>
      <c r="I24" s="454"/>
      <c r="J24" s="454"/>
      <c r="K24" s="454"/>
      <c r="L24" s="453" t="s">
        <v>151</v>
      </c>
      <c r="M24" s="453"/>
      <c r="N24" s="453"/>
      <c r="O24" s="453"/>
      <c r="P24" s="453" t="s">
        <v>39</v>
      </c>
      <c r="Q24" s="453"/>
      <c r="R24" s="453"/>
      <c r="S24" s="453"/>
      <c r="T24" s="453" t="s">
        <v>59</v>
      </c>
      <c r="U24" s="453"/>
      <c r="V24" s="453"/>
      <c r="W24" s="453"/>
      <c r="X24" s="453" t="s">
        <v>40</v>
      </c>
      <c r="Y24" s="453"/>
      <c r="Z24" s="453"/>
      <c r="AA24" s="453"/>
      <c r="AB24" s="453"/>
    </row>
    <row r="25" spans="1:28" x14ac:dyDescent="0.35">
      <c r="B25" s="453"/>
      <c r="C25" s="453"/>
      <c r="D25" s="454"/>
      <c r="E25" s="454"/>
      <c r="F25" s="454"/>
      <c r="G25" s="454"/>
      <c r="H25" s="33" t="s">
        <v>35</v>
      </c>
      <c r="I25" s="33" t="s">
        <v>36</v>
      </c>
      <c r="J25" s="33" t="s">
        <v>37</v>
      </c>
      <c r="K25" s="118" t="s">
        <v>38</v>
      </c>
      <c r="L25" s="33" t="s">
        <v>35</v>
      </c>
      <c r="M25" s="33" t="s">
        <v>36</v>
      </c>
      <c r="N25" s="33" t="s">
        <v>37</v>
      </c>
      <c r="O25" s="118" t="s">
        <v>38</v>
      </c>
      <c r="P25" s="33" t="s">
        <v>35</v>
      </c>
      <c r="Q25" s="33" t="s">
        <v>36</v>
      </c>
      <c r="R25" s="33" t="s">
        <v>37</v>
      </c>
      <c r="S25" s="118" t="s">
        <v>38</v>
      </c>
      <c r="T25" s="33" t="s">
        <v>35</v>
      </c>
      <c r="U25" s="33" t="s">
        <v>36</v>
      </c>
      <c r="V25" s="33" t="s">
        <v>37</v>
      </c>
      <c r="W25" s="118" t="s">
        <v>38</v>
      </c>
      <c r="X25" s="453"/>
      <c r="Y25" s="33"/>
      <c r="Z25" s="33"/>
      <c r="AA25" s="33"/>
      <c r="AB25" s="33"/>
    </row>
    <row r="26" spans="1:28" x14ac:dyDescent="0.35">
      <c r="A26" s="29" t="s">
        <v>32</v>
      </c>
      <c r="B26" s="31">
        <v>3</v>
      </c>
      <c r="C26" s="31">
        <v>4</v>
      </c>
      <c r="D26" s="30">
        <f>8*mem_limit</f>
        <v>6.4</v>
      </c>
      <c r="E26" s="30">
        <f>850*disk_limit</f>
        <v>637.5</v>
      </c>
      <c r="F26" s="30">
        <f>gen_l_ports*bw_limit/2</f>
        <v>0.75</v>
      </c>
      <c r="G26" s="123">
        <v>2</v>
      </c>
      <c r="H26" s="1">
        <v>750</v>
      </c>
      <c r="I26" s="1">
        <v>1125</v>
      </c>
      <c r="J26" s="1">
        <v>1500</v>
      </c>
      <c r="K26" s="119">
        <v>1875</v>
      </c>
      <c r="L26" s="1">
        <f t="shared" ref="L26:O27" si="0">H26/tot_req_sec</f>
        <v>62500</v>
      </c>
      <c r="M26" s="1">
        <f t="shared" si="0"/>
        <v>93750</v>
      </c>
      <c r="N26" s="1">
        <f t="shared" si="0"/>
        <v>125000</v>
      </c>
      <c r="O26" s="119">
        <f t="shared" si="0"/>
        <v>156250</v>
      </c>
      <c r="P26" s="32">
        <f>0.4*S26</f>
        <v>0.13</v>
      </c>
      <c r="Q26" s="32">
        <f>0.6*S26</f>
        <v>0.19500000000000001</v>
      </c>
      <c r="R26" s="32">
        <f>0.8*S26</f>
        <v>0.26</v>
      </c>
      <c r="S26" s="121">
        <v>0.32500000000000001</v>
      </c>
      <c r="T26" s="6">
        <f>ROUNDDOWN(MIN(max_rpwr/gen_l_pow40,max_ru/gen_l_ru),0)</f>
        <v>14</v>
      </c>
      <c r="U26" s="6">
        <f>ROUNDDOWN(MIN(max_rpwr/gen_l_pow60,max_ru/gen_l_ru),0)</f>
        <v>14</v>
      </c>
      <c r="V26" s="6">
        <f>ROUNDDOWN(MIN(max_rpwr/gen_l_pow80,max_ru/gen_l_ru),0)</f>
        <v>11</v>
      </c>
      <c r="W26" s="122">
        <f>ROUNDDOWN(MIN(max_rpwr/gen_l_pow100,max_ru/gen_l_ru),0)</f>
        <v>9</v>
      </c>
      <c r="X26" s="28">
        <v>850</v>
      </c>
      <c r="Y26" s="28"/>
      <c r="Z26" s="28"/>
      <c r="AA26" s="28"/>
      <c r="AB26" s="28"/>
    </row>
    <row r="27" spans="1:28" x14ac:dyDescent="0.35">
      <c r="A27" s="29" t="s">
        <v>41</v>
      </c>
      <c r="B27" s="31">
        <v>6</v>
      </c>
      <c r="C27" s="31">
        <v>8</v>
      </c>
      <c r="D27" s="30">
        <f>32*mem_limit</f>
        <v>25.6</v>
      </c>
      <c r="E27" s="30">
        <f>2000*disk_limit</f>
        <v>1500</v>
      </c>
      <c r="F27" s="30">
        <f>gen_xl_ports*bw_limit/2</f>
        <v>1.5</v>
      </c>
      <c r="G27" s="123">
        <v>4</v>
      </c>
      <c r="H27" s="1">
        <v>1800</v>
      </c>
      <c r="I27" s="1">
        <v>2700</v>
      </c>
      <c r="J27" s="1">
        <v>3600</v>
      </c>
      <c r="K27" s="119">
        <v>4500</v>
      </c>
      <c r="L27" s="1">
        <f t="shared" si="0"/>
        <v>150000</v>
      </c>
      <c r="M27" s="1">
        <f t="shared" si="0"/>
        <v>225000</v>
      </c>
      <c r="N27" s="1">
        <f t="shared" si="0"/>
        <v>300000</v>
      </c>
      <c r="O27" s="119">
        <f t="shared" si="0"/>
        <v>375000</v>
      </c>
      <c r="P27" s="32">
        <f>0.4*S27</f>
        <v>0.2</v>
      </c>
      <c r="Q27" s="32">
        <f>0.6*S27</f>
        <v>0.3</v>
      </c>
      <c r="R27" s="32">
        <f>0.8*S27</f>
        <v>0.4</v>
      </c>
      <c r="S27" s="121">
        <v>0.5</v>
      </c>
      <c r="T27" s="6">
        <f>ROUNDDOWN(MIN(max_rpwr/gen_xl_pow40,max_ru/gen_xl_ru),0)</f>
        <v>7</v>
      </c>
      <c r="U27" s="6">
        <f>ROUNDDOWN(MIN(max_rpwr/gen_xl_pow60,max_ru/gen_xl_ru),0)</f>
        <v>7</v>
      </c>
      <c r="V27" s="6">
        <f>ROUNDDOWN(MIN(max_rpwr/gen_xl_pow80,max_ru/gen_xl_ru),0)</f>
        <v>7</v>
      </c>
      <c r="W27" s="122">
        <f>ROUNDDOWN(MIN(max_rpwr/gen_xl_pow100,max_ru/gen_xl_ru),0)</f>
        <v>6</v>
      </c>
      <c r="X27" s="28">
        <v>2350</v>
      </c>
      <c r="Y27" s="28"/>
      <c r="Z27" s="28"/>
      <c r="AA27" s="28"/>
      <c r="AB27" s="28"/>
    </row>
    <row r="29" spans="1:28" ht="31" x14ac:dyDescent="0.35">
      <c r="A29" s="11" t="s">
        <v>318</v>
      </c>
      <c r="B29" s="116" t="s">
        <v>33</v>
      </c>
      <c r="C29" s="117" t="s">
        <v>117</v>
      </c>
      <c r="D29" s="116" t="s">
        <v>319</v>
      </c>
      <c r="E29" s="117" t="s">
        <v>118</v>
      </c>
      <c r="F29" s="116" t="s">
        <v>96</v>
      </c>
      <c r="G29" s="117" t="s">
        <v>91</v>
      </c>
      <c r="H29" s="116" t="s">
        <v>122</v>
      </c>
    </row>
    <row r="30" spans="1:28" x14ac:dyDescent="0.35">
      <c r="A30" s="14"/>
      <c r="B30" s="1">
        <v>4</v>
      </c>
      <c r="C30" s="1">
        <f>120000*bw_limit</f>
        <v>90000</v>
      </c>
      <c r="D30">
        <v>8</v>
      </c>
      <c r="E30" s="120">
        <f>24*bw_limit</f>
        <v>18</v>
      </c>
      <c r="F30" s="88">
        <v>1.1200000000000001</v>
      </c>
      <c r="G30" s="124">
        <v>180000</v>
      </c>
      <c r="H30" s="6">
        <f>ROUNDDOWN(MIN(max_rpwr/nas_pwr,max_ru/nas_ru),0)</f>
        <v>2</v>
      </c>
    </row>
    <row r="31" spans="1:28" x14ac:dyDescent="0.35">
      <c r="A31" s="14"/>
      <c r="B31" s="1"/>
      <c r="C31" s="1"/>
      <c r="E31" s="120"/>
      <c r="F31" s="88"/>
      <c r="G31" s="124"/>
      <c r="H31" s="6"/>
    </row>
    <row r="32" spans="1:28" x14ac:dyDescent="0.35">
      <c r="A32" s="11" t="s">
        <v>86</v>
      </c>
    </row>
    <row r="33" spans="1:16" x14ac:dyDescent="0.35">
      <c r="A33" s="14" t="s">
        <v>171</v>
      </c>
      <c r="B33" s="453" t="s">
        <v>87</v>
      </c>
      <c r="C33" s="453" t="s">
        <v>88</v>
      </c>
      <c r="D33" s="454" t="s">
        <v>225</v>
      </c>
      <c r="E33" s="453" t="s">
        <v>89</v>
      </c>
      <c r="F33" s="453"/>
      <c r="G33" s="453"/>
      <c r="H33" s="453"/>
      <c r="I33" s="453"/>
      <c r="J33" s="453"/>
      <c r="K33" s="453"/>
      <c r="L33" s="453"/>
      <c r="M33" s="453"/>
      <c r="N33" s="453"/>
      <c r="O33" s="453"/>
      <c r="P33" s="453"/>
    </row>
    <row r="34" spans="1:16" x14ac:dyDescent="0.35">
      <c r="B34" s="453"/>
      <c r="C34" s="453"/>
      <c r="D34" s="454"/>
      <c r="E34" s="156" t="s">
        <v>90</v>
      </c>
      <c r="F34" s="156"/>
      <c r="G34" s="156"/>
      <c r="H34" s="156"/>
      <c r="I34" s="156" t="s">
        <v>92</v>
      </c>
      <c r="J34" s="156"/>
      <c r="K34" s="156"/>
      <c r="L34" s="156"/>
      <c r="M34" s="156" t="s">
        <v>93</v>
      </c>
      <c r="N34" s="156"/>
      <c r="O34" s="156"/>
      <c r="P34" s="156"/>
    </row>
    <row r="35" spans="1:16" ht="31" x14ac:dyDescent="0.35">
      <c r="B35" s="453"/>
      <c r="C35" s="453"/>
      <c r="D35" s="454"/>
      <c r="E35" s="61" t="s">
        <v>165</v>
      </c>
      <c r="F35" s="117" t="s">
        <v>207</v>
      </c>
      <c r="G35" s="117" t="s">
        <v>96</v>
      </c>
      <c r="H35" s="61" t="s">
        <v>91</v>
      </c>
      <c r="I35" s="61" t="s">
        <v>95</v>
      </c>
      <c r="J35" s="151" t="s">
        <v>207</v>
      </c>
      <c r="K35" s="61" t="s">
        <v>96</v>
      </c>
      <c r="L35" s="61" t="s">
        <v>91</v>
      </c>
      <c r="M35" s="61" t="s">
        <v>95</v>
      </c>
      <c r="N35" s="151" t="s">
        <v>207</v>
      </c>
      <c r="O35" s="61" t="s">
        <v>96</v>
      </c>
      <c r="P35" s="61" t="s">
        <v>91</v>
      </c>
    </row>
    <row r="36" spans="1:16" x14ac:dyDescent="0.35">
      <c r="B36" s="87">
        <v>10000</v>
      </c>
      <c r="C36">
        <v>21</v>
      </c>
      <c r="D36">
        <v>28</v>
      </c>
      <c r="E36">
        <v>8</v>
      </c>
      <c r="F36">
        <f>1*bw_limit</f>
        <v>0.75</v>
      </c>
      <c r="G36" s="70">
        <f>0.009*gig_bw*gig_ports</f>
        <v>5.3999999999999992E-2</v>
      </c>
      <c r="H36" s="87">
        <v>5000</v>
      </c>
      <c r="I36">
        <v>8</v>
      </c>
      <c r="J36">
        <f>2.5*bw_limit</f>
        <v>1.875</v>
      </c>
      <c r="K36" s="154">
        <f>0.009*oc48_bw*oc48_ports</f>
        <v>0.13499999999999998</v>
      </c>
      <c r="L36" s="87">
        <v>5000</v>
      </c>
      <c r="M36">
        <v>4</v>
      </c>
      <c r="N36">
        <f>10*bw_limit</f>
        <v>7.5</v>
      </c>
      <c r="O36" s="88">
        <f>0.009*oc192_bw*oc192_ports</f>
        <v>0.26999999999999996</v>
      </c>
      <c r="P36" s="87">
        <v>12000</v>
      </c>
    </row>
    <row r="37" spans="1:16" x14ac:dyDescent="0.35">
      <c r="A37" s="14"/>
      <c r="B37" s="1"/>
      <c r="C37" s="1"/>
    </row>
    <row r="38" spans="1:16" x14ac:dyDescent="0.35">
      <c r="A38" s="11" t="s">
        <v>124</v>
      </c>
      <c r="B38" s="116" t="s">
        <v>123</v>
      </c>
      <c r="C38" s="116" t="s">
        <v>96</v>
      </c>
      <c r="D38" s="116" t="s">
        <v>125</v>
      </c>
    </row>
    <row r="39" spans="1:16" x14ac:dyDescent="0.35">
      <c r="A39" s="11"/>
      <c r="B39" s="1">
        <v>42</v>
      </c>
      <c r="C39" s="32">
        <v>3</v>
      </c>
      <c r="D39" s="34">
        <v>5000</v>
      </c>
    </row>
    <row r="40" spans="1:16" x14ac:dyDescent="0.35">
      <c r="A40" s="11"/>
    </row>
    <row r="42" spans="1:16" x14ac:dyDescent="0.35">
      <c r="A42" s="26" t="s">
        <v>102</v>
      </c>
    </row>
    <row r="43" spans="1:16" x14ac:dyDescent="0.35">
      <c r="A43" s="14" t="s">
        <v>61</v>
      </c>
      <c r="B43" s="22">
        <v>0.2</v>
      </c>
      <c r="C43" t="s">
        <v>100</v>
      </c>
    </row>
    <row r="44" spans="1:16" x14ac:dyDescent="0.35">
      <c r="A44" s="14" t="s">
        <v>103</v>
      </c>
      <c r="B44" s="1">
        <v>32</v>
      </c>
    </row>
    <row r="45" spans="1:16" x14ac:dyDescent="0.35">
      <c r="A45" s="14" t="s">
        <v>54</v>
      </c>
      <c r="B45" s="62">
        <v>5.1400000000000001E-2</v>
      </c>
    </row>
    <row r="46" spans="1:16" x14ac:dyDescent="0.35">
      <c r="A46" s="14" t="s">
        <v>245</v>
      </c>
      <c r="B46" s="28">
        <v>0.45</v>
      </c>
    </row>
    <row r="47" spans="1:16" x14ac:dyDescent="0.35">
      <c r="A47" s="14" t="s">
        <v>247</v>
      </c>
      <c r="B47" s="1">
        <v>5280</v>
      </c>
    </row>
    <row r="48" spans="1:16" x14ac:dyDescent="0.35">
      <c r="A48" s="14" t="s">
        <v>250</v>
      </c>
      <c r="B48" s="28">
        <v>1.97</v>
      </c>
      <c r="F48" s="28"/>
      <c r="G48" s="288"/>
      <c r="H48" s="167"/>
    </row>
    <row r="49" spans="1:2" x14ac:dyDescent="0.35">
      <c r="A49" s="14" t="s">
        <v>254</v>
      </c>
      <c r="B49" s="28">
        <v>100000</v>
      </c>
    </row>
    <row r="50" spans="1:2" x14ac:dyDescent="0.35">
      <c r="A50" s="14" t="s">
        <v>270</v>
      </c>
      <c r="B50" s="28">
        <v>5</v>
      </c>
    </row>
    <row r="51" spans="1:2" x14ac:dyDescent="0.35">
      <c r="A51" s="14" t="s">
        <v>271</v>
      </c>
      <c r="B51" s="28">
        <v>50</v>
      </c>
    </row>
    <row r="52" spans="1:2" x14ac:dyDescent="0.35">
      <c r="A52" s="14" t="s">
        <v>315</v>
      </c>
      <c r="B52" s="63">
        <v>0.01</v>
      </c>
    </row>
  </sheetData>
  <mergeCells count="16">
    <mergeCell ref="Y24:AB24"/>
    <mergeCell ref="H24:K24"/>
    <mergeCell ref="B24:B25"/>
    <mergeCell ref="C24:C25"/>
    <mergeCell ref="D24:D25"/>
    <mergeCell ref="E24:E25"/>
    <mergeCell ref="F24:F25"/>
    <mergeCell ref="B33:B35"/>
    <mergeCell ref="C33:C35"/>
    <mergeCell ref="D33:D35"/>
    <mergeCell ref="E33:P33"/>
    <mergeCell ref="X24:X25"/>
    <mergeCell ref="T24:W24"/>
    <mergeCell ref="P24:S24"/>
    <mergeCell ref="L24:O24"/>
    <mergeCell ref="G24:G2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zoomScaleNormal="100" zoomScalePageLayoutView="120" workbookViewId="0"/>
  </sheetViews>
  <sheetFormatPr defaultColWidth="10.6640625" defaultRowHeight="15.5" x14ac:dyDescent="0.35"/>
  <cols>
    <col min="2" max="2" width="11.5" bestFit="1" customWidth="1"/>
    <col min="3" max="3" width="13" bestFit="1" customWidth="1"/>
    <col min="4" max="4" width="14.5" customWidth="1"/>
    <col min="5" max="5" width="11.5" customWidth="1"/>
    <col min="6" max="6" width="11.5" bestFit="1" customWidth="1"/>
    <col min="7" max="7" width="13" customWidth="1"/>
    <col min="8" max="8" width="14.6640625" customWidth="1"/>
    <col min="9" max="9" width="27.5" customWidth="1"/>
  </cols>
  <sheetData>
    <row r="1" spans="1:9" ht="23.5" x14ac:dyDescent="0.55000000000000004">
      <c r="A1" s="52" t="s">
        <v>155</v>
      </c>
    </row>
    <row r="3" spans="1:9" ht="16" thickBot="1" x14ac:dyDescent="0.4"/>
    <row r="4" spans="1:9" ht="51" customHeight="1" thickBot="1" x14ac:dyDescent="0.4">
      <c r="A4" s="375" t="s">
        <v>372</v>
      </c>
      <c r="B4" s="376" t="s">
        <v>378</v>
      </c>
      <c r="C4" s="377" t="s">
        <v>377</v>
      </c>
      <c r="D4" s="377" t="s">
        <v>376</v>
      </c>
      <c r="E4" s="377" t="s">
        <v>380</v>
      </c>
      <c r="F4" s="377" t="s">
        <v>379</v>
      </c>
      <c r="G4" s="377" t="s">
        <v>374</v>
      </c>
      <c r="H4" s="378" t="s">
        <v>375</v>
      </c>
      <c r="I4" s="3"/>
    </row>
    <row r="5" spans="1:9" x14ac:dyDescent="0.35">
      <c r="A5" s="355">
        <v>44197</v>
      </c>
      <c r="B5" s="356">
        <v>5000000</v>
      </c>
      <c r="C5" s="357" t="s">
        <v>373</v>
      </c>
      <c r="D5" s="357" t="s">
        <v>373</v>
      </c>
      <c r="E5" s="358">
        <v>0.3</v>
      </c>
      <c r="F5" s="359">
        <f>B5*E5</f>
        <v>1500000</v>
      </c>
      <c r="G5" s="359"/>
      <c r="H5" s="360" t="s">
        <v>373</v>
      </c>
      <c r="I5" s="5"/>
    </row>
    <row r="6" spans="1:9" ht="16" thickBot="1" x14ac:dyDescent="0.4">
      <c r="A6" s="361">
        <v>44378</v>
      </c>
      <c r="B6" s="362">
        <v>6670000</v>
      </c>
      <c r="C6" s="363">
        <f>B6-B5</f>
        <v>1670000</v>
      </c>
      <c r="D6" s="364">
        <f>C6/B5</f>
        <v>0.33400000000000002</v>
      </c>
      <c r="E6" s="365">
        <v>0.3</v>
      </c>
      <c r="F6" s="366">
        <f t="shared" ref="F6:F11" si="0">B6*E6</f>
        <v>2001000</v>
      </c>
      <c r="G6" s="366">
        <f>F6-F5</f>
        <v>501000</v>
      </c>
      <c r="H6" s="367">
        <f>G6/F5</f>
        <v>0.33400000000000002</v>
      </c>
      <c r="I6" s="5"/>
    </row>
    <row r="7" spans="1:9" ht="16" thickBot="1" x14ac:dyDescent="0.4">
      <c r="A7" s="379">
        <v>44562</v>
      </c>
      <c r="B7" s="380">
        <v>8890000</v>
      </c>
      <c r="C7" s="381">
        <f t="shared" ref="C7:C11" si="1">B7-B6</f>
        <v>2220000</v>
      </c>
      <c r="D7" s="382">
        <f t="shared" ref="D7:D11" si="2">C7/B6</f>
        <v>0.33283358320839579</v>
      </c>
      <c r="E7" s="383">
        <v>0.45</v>
      </c>
      <c r="F7" s="384">
        <f t="shared" si="0"/>
        <v>4000500</v>
      </c>
      <c r="G7" s="384">
        <f t="shared" ref="G7:G11" si="3">F7-F6</f>
        <v>1999500</v>
      </c>
      <c r="H7" s="385">
        <f t="shared" ref="H7:H11" si="4">G7/F6</f>
        <v>0.99925037481259371</v>
      </c>
      <c r="I7" s="5"/>
    </row>
    <row r="8" spans="1:9" ht="16" thickBot="1" x14ac:dyDescent="0.4">
      <c r="A8" s="361">
        <v>44743</v>
      </c>
      <c r="B8" s="362">
        <v>11850000</v>
      </c>
      <c r="C8" s="363">
        <f t="shared" si="1"/>
        <v>2960000</v>
      </c>
      <c r="D8" s="364">
        <f t="shared" si="2"/>
        <v>0.3329583802024747</v>
      </c>
      <c r="E8" s="365">
        <v>0.45</v>
      </c>
      <c r="F8" s="366">
        <f t="shared" si="0"/>
        <v>5332500</v>
      </c>
      <c r="G8" s="366">
        <f t="shared" si="3"/>
        <v>1332000</v>
      </c>
      <c r="H8" s="367">
        <f t="shared" si="4"/>
        <v>0.3329583802024747</v>
      </c>
      <c r="I8" s="5"/>
    </row>
    <row r="9" spans="1:9" ht="16" thickBot="1" x14ac:dyDescent="0.4">
      <c r="A9" s="379">
        <v>44927</v>
      </c>
      <c r="B9" s="380">
        <v>15800000</v>
      </c>
      <c r="C9" s="381">
        <f t="shared" si="1"/>
        <v>3950000</v>
      </c>
      <c r="D9" s="382">
        <f t="shared" si="2"/>
        <v>0.33333333333333331</v>
      </c>
      <c r="E9" s="383">
        <v>0.6</v>
      </c>
      <c r="F9" s="384">
        <f t="shared" si="0"/>
        <v>9480000</v>
      </c>
      <c r="G9" s="384">
        <f t="shared" si="3"/>
        <v>4147500</v>
      </c>
      <c r="H9" s="385">
        <f t="shared" si="4"/>
        <v>0.77777777777777779</v>
      </c>
      <c r="I9" s="5"/>
    </row>
    <row r="10" spans="1:9" x14ac:dyDescent="0.35">
      <c r="A10" s="361">
        <v>45108</v>
      </c>
      <c r="B10" s="362">
        <v>21070000</v>
      </c>
      <c r="C10" s="363">
        <f t="shared" si="1"/>
        <v>5270000</v>
      </c>
      <c r="D10" s="364">
        <f t="shared" si="2"/>
        <v>0.33354430379746836</v>
      </c>
      <c r="E10" s="365">
        <v>0.6</v>
      </c>
      <c r="F10" s="366">
        <f t="shared" si="0"/>
        <v>12642000</v>
      </c>
      <c r="G10" s="366">
        <f t="shared" si="3"/>
        <v>3162000</v>
      </c>
      <c r="H10" s="367">
        <f t="shared" si="4"/>
        <v>0.33354430379746836</v>
      </c>
      <c r="I10" s="5"/>
    </row>
    <row r="11" spans="1:9" ht="16" thickBot="1" x14ac:dyDescent="0.4">
      <c r="A11" s="368">
        <v>45292</v>
      </c>
      <c r="B11" s="369">
        <v>28090000</v>
      </c>
      <c r="C11" s="370">
        <f t="shared" si="1"/>
        <v>7020000</v>
      </c>
      <c r="D11" s="371">
        <f t="shared" si="2"/>
        <v>0.33317513051732323</v>
      </c>
      <c r="E11" s="372">
        <v>0.6</v>
      </c>
      <c r="F11" s="373">
        <f t="shared" si="0"/>
        <v>16854000</v>
      </c>
      <c r="G11" s="373">
        <f t="shared" si="3"/>
        <v>4212000</v>
      </c>
      <c r="H11" s="374">
        <f t="shared" si="4"/>
        <v>0.33317513051732323</v>
      </c>
      <c r="I11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0F6D-AFB5-5742-B4A4-01076D608002}">
  <dimension ref="A1:M28"/>
  <sheetViews>
    <sheetView workbookViewId="0"/>
  </sheetViews>
  <sheetFormatPr defaultColWidth="10.6640625" defaultRowHeight="15.5" x14ac:dyDescent="0.35"/>
  <cols>
    <col min="1" max="1" width="33.83203125" customWidth="1"/>
    <col min="3" max="3" width="13" bestFit="1" customWidth="1"/>
    <col min="4" max="4" width="12.33203125" customWidth="1"/>
    <col min="5" max="5" width="12.6640625" customWidth="1"/>
    <col min="6" max="6" width="11.5" bestFit="1" customWidth="1"/>
  </cols>
  <sheetData>
    <row r="1" spans="1:7" ht="23.5" x14ac:dyDescent="0.55000000000000004">
      <c r="A1" s="52" t="s">
        <v>149</v>
      </c>
    </row>
    <row r="3" spans="1:7" x14ac:dyDescent="0.35">
      <c r="A3" s="11" t="s">
        <v>145</v>
      </c>
      <c r="B3" s="134">
        <f>F7+(((F4*24)-(F7*F5))/(24-F7))</f>
        <v>7.5449999999999999</v>
      </c>
    </row>
    <row r="4" spans="1:7" x14ac:dyDescent="0.35">
      <c r="A4" t="s">
        <v>154</v>
      </c>
      <c r="C4" t="s">
        <v>144</v>
      </c>
      <c r="F4" s="30">
        <v>4.166666666666667</v>
      </c>
    </row>
    <row r="5" spans="1:7" x14ac:dyDescent="0.35">
      <c r="C5" t="s">
        <v>143</v>
      </c>
      <c r="F5" s="30">
        <f>AVERAGE(7.25,6.5,6.75,8,7,8.25,7.25,7,7.5,7.25)</f>
        <v>7.2750000000000004</v>
      </c>
    </row>
    <row r="6" spans="1:7" x14ac:dyDescent="0.35">
      <c r="C6" t="s">
        <v>141</v>
      </c>
      <c r="F6" s="30">
        <f>F5/F4</f>
        <v>1.746</v>
      </c>
    </row>
    <row r="7" spans="1:7" x14ac:dyDescent="0.35">
      <c r="C7" t="s">
        <v>142</v>
      </c>
      <c r="F7" s="1">
        <v>4</v>
      </c>
    </row>
    <row r="10" spans="1:7" x14ac:dyDescent="0.35">
      <c r="A10" s="11" t="s">
        <v>153</v>
      </c>
      <c r="C10" s="11" t="s">
        <v>69</v>
      </c>
      <c r="D10" s="11" t="s">
        <v>62</v>
      </c>
      <c r="E10" s="11" t="s">
        <v>147</v>
      </c>
      <c r="F10" s="11" t="s">
        <v>148</v>
      </c>
    </row>
    <row r="11" spans="1:7" x14ac:dyDescent="0.35">
      <c r="C11">
        <f>stream_req</f>
        <v>24</v>
      </c>
      <c r="D11">
        <f>down_req</f>
        <v>4</v>
      </c>
      <c r="E11">
        <f>perm_req</f>
        <v>16</v>
      </c>
      <c r="F11">
        <f>SUM(C11:E11)</f>
        <v>44</v>
      </c>
    </row>
    <row r="13" spans="1:7" ht="16" thickBot="1" x14ac:dyDescent="0.4"/>
    <row r="14" spans="1:7" ht="22" customHeight="1" thickBot="1" x14ac:dyDescent="0.4">
      <c r="A14" s="11" t="s">
        <v>152</v>
      </c>
      <c r="B14" s="389" t="s">
        <v>372</v>
      </c>
      <c r="C14" s="390" t="s">
        <v>68</v>
      </c>
      <c r="D14" s="391" t="s">
        <v>69</v>
      </c>
      <c r="E14" s="391" t="s">
        <v>62</v>
      </c>
      <c r="F14" s="391" t="s">
        <v>147</v>
      </c>
      <c r="G14" s="392" t="s">
        <v>148</v>
      </c>
    </row>
    <row r="15" spans="1:7" x14ac:dyDescent="0.35">
      <c r="B15" s="361">
        <v>44197</v>
      </c>
      <c r="C15" s="386">
        <f>'User Profile'!F5</f>
        <v>1500000</v>
      </c>
      <c r="D15" s="387">
        <f t="shared" ref="D15:F21" si="0">C$11*peak_hrs*$C15/(24*3600)</f>
        <v>3143.75</v>
      </c>
      <c r="E15" s="387">
        <f t="shared" si="0"/>
        <v>523.95833333333337</v>
      </c>
      <c r="F15" s="387">
        <f t="shared" si="0"/>
        <v>2095.8333333333335</v>
      </c>
      <c r="G15" s="388">
        <f>SUM(D15:F15)</f>
        <v>5763.541666666667</v>
      </c>
    </row>
    <row r="16" spans="1:7" ht="16" thickBot="1" x14ac:dyDescent="0.4">
      <c r="B16" s="361">
        <v>44378</v>
      </c>
      <c r="C16" s="386">
        <f>'User Profile'!F6</f>
        <v>2001000</v>
      </c>
      <c r="D16" s="387">
        <f t="shared" si="0"/>
        <v>4193.7624999999989</v>
      </c>
      <c r="E16" s="387">
        <f t="shared" si="0"/>
        <v>698.96041666666667</v>
      </c>
      <c r="F16" s="387">
        <f t="shared" si="0"/>
        <v>2795.8416666666667</v>
      </c>
      <c r="G16" s="388">
        <f t="shared" ref="G16:G21" si="1">SUM(D16:F16)</f>
        <v>7688.5645833333328</v>
      </c>
    </row>
    <row r="17" spans="2:13" ht="16" thickBot="1" x14ac:dyDescent="0.4">
      <c r="B17" s="393">
        <v>44562</v>
      </c>
      <c r="C17" s="394">
        <f>'User Profile'!F7</f>
        <v>4000500</v>
      </c>
      <c r="D17" s="395">
        <f t="shared" si="0"/>
        <v>8384.3812499999985</v>
      </c>
      <c r="E17" s="395">
        <f t="shared" si="0"/>
        <v>1397.3968749999999</v>
      </c>
      <c r="F17" s="395">
        <f t="shared" si="0"/>
        <v>5589.5874999999996</v>
      </c>
      <c r="G17" s="396">
        <f t="shared" si="1"/>
        <v>15371.365624999999</v>
      </c>
    </row>
    <row r="18" spans="2:13" ht="16" thickBot="1" x14ac:dyDescent="0.4">
      <c r="B18" s="361">
        <v>44743</v>
      </c>
      <c r="C18" s="386">
        <f>'User Profile'!F8</f>
        <v>5332500</v>
      </c>
      <c r="D18" s="387">
        <f t="shared" si="0"/>
        <v>11176.031249999998</v>
      </c>
      <c r="E18" s="387">
        <f t="shared" si="0"/>
        <v>1862.671875</v>
      </c>
      <c r="F18" s="387">
        <f t="shared" si="0"/>
        <v>7450.6875</v>
      </c>
      <c r="G18" s="388">
        <f t="shared" si="1"/>
        <v>20489.390625</v>
      </c>
    </row>
    <row r="19" spans="2:13" ht="16" thickBot="1" x14ac:dyDescent="0.4">
      <c r="B19" s="393">
        <v>44927</v>
      </c>
      <c r="C19" s="394">
        <f>'User Profile'!F9</f>
        <v>9480000</v>
      </c>
      <c r="D19" s="395">
        <f t="shared" si="0"/>
        <v>19868.499999999996</v>
      </c>
      <c r="E19" s="395">
        <f t="shared" si="0"/>
        <v>3311.4166666666665</v>
      </c>
      <c r="F19" s="395">
        <f t="shared" si="0"/>
        <v>13245.666666666666</v>
      </c>
      <c r="G19" s="396">
        <f t="shared" si="1"/>
        <v>36425.583333333328</v>
      </c>
    </row>
    <row r="20" spans="2:13" ht="16" thickBot="1" x14ac:dyDescent="0.4">
      <c r="B20" s="361">
        <v>45108</v>
      </c>
      <c r="C20" s="386">
        <f>'User Profile'!F10</f>
        <v>12642000</v>
      </c>
      <c r="D20" s="387">
        <f t="shared" si="0"/>
        <v>26495.525000000001</v>
      </c>
      <c r="E20" s="387">
        <f t="shared" si="0"/>
        <v>4415.9208333333336</v>
      </c>
      <c r="F20" s="387">
        <f t="shared" si="0"/>
        <v>17663.683333333334</v>
      </c>
      <c r="G20" s="388">
        <f t="shared" si="1"/>
        <v>48575.129166666666</v>
      </c>
    </row>
    <row r="21" spans="2:13" ht="16" thickBot="1" x14ac:dyDescent="0.4">
      <c r="B21" s="397">
        <v>45292</v>
      </c>
      <c r="C21" s="398">
        <f>'User Profile'!F11</f>
        <v>16854000</v>
      </c>
      <c r="D21" s="399">
        <f t="shared" si="0"/>
        <v>35323.174999999996</v>
      </c>
      <c r="E21" s="399">
        <f t="shared" si="0"/>
        <v>5887.1958333333332</v>
      </c>
      <c r="F21" s="399">
        <f t="shared" si="0"/>
        <v>23548.783333333333</v>
      </c>
      <c r="G21" s="400">
        <f t="shared" si="1"/>
        <v>64759.15416666666</v>
      </c>
    </row>
    <row r="25" spans="2:13" ht="31" x14ac:dyDescent="0.35">
      <c r="J25" s="317" t="s">
        <v>372</v>
      </c>
      <c r="K25" s="317" t="s">
        <v>69</v>
      </c>
      <c r="L25" s="317" t="s">
        <v>381</v>
      </c>
      <c r="M25" s="318" t="s">
        <v>382</v>
      </c>
    </row>
    <row r="26" spans="2:13" x14ac:dyDescent="0.35">
      <c r="J26" s="401" t="s">
        <v>50</v>
      </c>
      <c r="K26" s="2">
        <f>D17</f>
        <v>8384.3812499999985</v>
      </c>
      <c r="L26" s="2">
        <f>E17</f>
        <v>1397.3968749999999</v>
      </c>
      <c r="M26" s="2">
        <f>F17</f>
        <v>5589.5874999999996</v>
      </c>
    </row>
    <row r="27" spans="2:13" x14ac:dyDescent="0.35">
      <c r="J27" s="401" t="s">
        <v>51</v>
      </c>
      <c r="K27" s="2">
        <f>D19</f>
        <v>19868.499999999996</v>
      </c>
      <c r="L27" s="2">
        <f>E19</f>
        <v>3311.4166666666665</v>
      </c>
      <c r="M27" s="2">
        <f>F19</f>
        <v>13245.666666666666</v>
      </c>
    </row>
    <row r="28" spans="2:13" x14ac:dyDescent="0.35">
      <c r="J28" s="401" t="s">
        <v>52</v>
      </c>
      <c r="K28" s="2">
        <f>D21</f>
        <v>35323.174999999996</v>
      </c>
      <c r="L28" s="2">
        <f>E21</f>
        <v>5887.1958333333332</v>
      </c>
      <c r="M28" s="2">
        <f>F21</f>
        <v>23548.783333333333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D443-6893-484C-AFDF-F02F4A4203C4}">
  <dimension ref="A1:V43"/>
  <sheetViews>
    <sheetView zoomScaleNormal="100" workbookViewId="0"/>
  </sheetViews>
  <sheetFormatPr defaultColWidth="15.33203125" defaultRowHeight="18" customHeight="1" x14ac:dyDescent="0.35"/>
  <cols>
    <col min="1" max="1" width="37" bestFit="1" customWidth="1"/>
    <col min="5" max="5" width="20.5" customWidth="1"/>
    <col min="15" max="15" width="17.6640625" bestFit="1" customWidth="1"/>
  </cols>
  <sheetData>
    <row r="1" spans="1:22" ht="23.5" x14ac:dyDescent="0.55000000000000004">
      <c r="A1" s="52" t="s">
        <v>9</v>
      </c>
    </row>
    <row r="2" spans="1:22" ht="18" customHeight="1" thickBot="1" x14ac:dyDescent="0.4"/>
    <row r="3" spans="1:22" ht="18" customHeight="1" x14ac:dyDescent="0.35">
      <c r="A3" s="11" t="s">
        <v>5</v>
      </c>
      <c r="B3" t="s">
        <v>158</v>
      </c>
      <c r="H3" s="105"/>
      <c r="I3" s="412" t="s">
        <v>156</v>
      </c>
      <c r="J3" s="412"/>
      <c r="K3" s="412"/>
      <c r="L3" s="412" t="s">
        <v>157</v>
      </c>
      <c r="M3" s="412"/>
      <c r="N3" s="412"/>
      <c r="O3" s="410" t="s">
        <v>140</v>
      </c>
    </row>
    <row r="4" spans="1:22" ht="36" customHeight="1" thickBot="1" x14ac:dyDescent="0.4">
      <c r="B4" t="s">
        <v>1</v>
      </c>
      <c r="D4" s="47">
        <f>stream_dur</f>
        <v>192</v>
      </c>
      <c r="G4" s="105"/>
      <c r="H4" s="115" t="s">
        <v>161</v>
      </c>
      <c r="I4" s="10" t="s">
        <v>2</v>
      </c>
      <c r="J4" s="10" t="s">
        <v>11</v>
      </c>
      <c r="K4" s="10" t="s">
        <v>8</v>
      </c>
      <c r="L4" s="10" t="s">
        <v>2</v>
      </c>
      <c r="M4" s="10" t="s">
        <v>11</v>
      </c>
      <c r="N4" s="10" t="s">
        <v>8</v>
      </c>
      <c r="O4" s="411"/>
      <c r="S4" s="317" t="s">
        <v>372</v>
      </c>
      <c r="T4" s="317" t="s">
        <v>69</v>
      </c>
      <c r="U4" s="317" t="s">
        <v>381</v>
      </c>
      <c r="V4" s="318" t="s">
        <v>382</v>
      </c>
    </row>
    <row r="5" spans="1:22" ht="18" customHeight="1" x14ac:dyDescent="0.35">
      <c r="B5" t="s">
        <v>6</v>
      </c>
      <c r="C5" s="8" t="s">
        <v>3</v>
      </c>
      <c r="D5" s="8" t="s">
        <v>10</v>
      </c>
      <c r="E5" s="8" t="s">
        <v>4</v>
      </c>
      <c r="G5" s="16">
        <v>44197</v>
      </c>
      <c r="H5" s="138">
        <f>'CPU (Workload)'!D15</f>
        <v>3143.75</v>
      </c>
      <c r="I5" s="18">
        <f>$H5*$E$6</f>
        <v>628.75</v>
      </c>
      <c r="J5" s="18">
        <f>$H5*$E$7</f>
        <v>1886.25</v>
      </c>
      <c r="K5" s="18">
        <f>$H5*$E$8</f>
        <v>628.75</v>
      </c>
      <c r="L5" s="18">
        <f>I5*$D$6/1000/1000</f>
        <v>13.52064</v>
      </c>
      <c r="M5" s="18">
        <f>J5*$D$7/1000/1000</f>
        <v>69.534720000000007</v>
      </c>
      <c r="N5" s="18">
        <f>K5*$D$8/1000/1000</f>
        <v>28.972799999999999</v>
      </c>
      <c r="O5" s="20">
        <f t="shared" ref="O5:O11" si="0">SUM(L5:N5)</f>
        <v>112.02816000000001</v>
      </c>
      <c r="S5" s="401" t="s">
        <v>50</v>
      </c>
      <c r="T5" s="2">
        <f>O7</f>
        <v>298.77910271999997</v>
      </c>
      <c r="U5" s="2">
        <f>O17</f>
        <v>80.490059999999986</v>
      </c>
      <c r="V5" s="2">
        <f>O27</f>
        <v>8.9433399999999992</v>
      </c>
    </row>
    <row r="6" spans="1:22" ht="18" customHeight="1" thickBot="1" x14ac:dyDescent="0.4">
      <c r="B6" s="14" t="s">
        <v>7</v>
      </c>
      <c r="C6" s="47">
        <f>stream_lbr</f>
        <v>112</v>
      </c>
      <c r="D6" s="1">
        <f>$D$4*C6</f>
        <v>21504</v>
      </c>
      <c r="E6" s="50">
        <f>lbr_percent</f>
        <v>0.2</v>
      </c>
      <c r="G6" s="16">
        <v>44378</v>
      </c>
      <c r="H6" s="139">
        <f>'CPU (Workload)'!D16</f>
        <v>4193.7624999999989</v>
      </c>
      <c r="I6" s="18">
        <f t="shared" ref="I6:I11" si="1">$H6*$E$6</f>
        <v>838.75249999999983</v>
      </c>
      <c r="J6" s="18">
        <f t="shared" ref="J6:J10" si="2">$H6*$E$7</f>
        <v>2516.2574999999993</v>
      </c>
      <c r="K6" s="18">
        <f t="shared" ref="K6:K11" si="3">$H6*$E$8</f>
        <v>838.75249999999983</v>
      </c>
      <c r="L6" s="18">
        <f t="shared" ref="L6:L11" si="4">I6*$D$6/1000/1000</f>
        <v>18.036533759999998</v>
      </c>
      <c r="M6" s="18">
        <f t="shared" ref="M6:M11" si="5">J6*$D$7/1000/1000</f>
        <v>92.759316479999981</v>
      </c>
      <c r="N6" s="18">
        <f t="shared" ref="N6:N11" si="6">K6*$D$8/1000/1000</f>
        <v>38.649715199999996</v>
      </c>
      <c r="O6" s="20">
        <f t="shared" si="0"/>
        <v>149.44556543999997</v>
      </c>
      <c r="S6" s="401" t="s">
        <v>51</v>
      </c>
      <c r="T6" s="2">
        <f>O9</f>
        <v>708.01797119999981</v>
      </c>
      <c r="U6" s="2">
        <f>O19</f>
        <v>190.73759999999999</v>
      </c>
      <c r="V6" s="2">
        <f>O29</f>
        <v>21.193066666666667</v>
      </c>
    </row>
    <row r="7" spans="1:22" ht="18" customHeight="1" thickBot="1" x14ac:dyDescent="0.4">
      <c r="B7" s="14" t="s">
        <v>11</v>
      </c>
      <c r="C7" s="47">
        <f>stream_sbr</f>
        <v>192</v>
      </c>
      <c r="D7" s="1">
        <f t="shared" ref="D7:D8" si="7">$D$4*C7</f>
        <v>36864</v>
      </c>
      <c r="E7" s="50">
        <f>sbr_percent</f>
        <v>0.6</v>
      </c>
      <c r="G7" s="56">
        <v>44562</v>
      </c>
      <c r="H7" s="136">
        <f>'CPU (Workload)'!D17</f>
        <v>8384.3812499999985</v>
      </c>
      <c r="I7" s="57">
        <f t="shared" si="1"/>
        <v>1676.8762499999998</v>
      </c>
      <c r="J7" s="57">
        <f t="shared" si="2"/>
        <v>5030.6287499999989</v>
      </c>
      <c r="K7" s="57">
        <f t="shared" si="3"/>
        <v>1676.8762499999998</v>
      </c>
      <c r="L7" s="57">
        <f t="shared" si="4"/>
        <v>36.059546879999992</v>
      </c>
      <c r="M7" s="57">
        <f t="shared" si="5"/>
        <v>185.44909823999996</v>
      </c>
      <c r="N7" s="57">
        <f t="shared" si="6"/>
        <v>77.2704576</v>
      </c>
      <c r="O7" s="58">
        <f t="shared" si="0"/>
        <v>298.77910271999997</v>
      </c>
      <c r="S7" s="401" t="s">
        <v>52</v>
      </c>
      <c r="T7" s="2">
        <f>O11</f>
        <v>1258.7484057599997</v>
      </c>
      <c r="U7" s="2">
        <f>O21</f>
        <v>339.10247999999996</v>
      </c>
      <c r="V7" s="2">
        <f>O31</f>
        <v>37.678053333333331</v>
      </c>
    </row>
    <row r="8" spans="1:22" ht="18" customHeight="1" thickBot="1" x14ac:dyDescent="0.4">
      <c r="B8" s="14" t="s">
        <v>8</v>
      </c>
      <c r="C8" s="47">
        <f>stream_hbr</f>
        <v>240</v>
      </c>
      <c r="D8" s="1">
        <f t="shared" si="7"/>
        <v>46080</v>
      </c>
      <c r="E8" s="50">
        <f>hbr_percent</f>
        <v>0.2</v>
      </c>
      <c r="G8" s="16">
        <v>44743</v>
      </c>
      <c r="H8" s="139">
        <f>'CPU (Workload)'!D18</f>
        <v>11176.031249999998</v>
      </c>
      <c r="I8" s="18">
        <f t="shared" si="1"/>
        <v>2235.2062499999997</v>
      </c>
      <c r="J8" s="18">
        <f t="shared" si="2"/>
        <v>6705.6187499999987</v>
      </c>
      <c r="K8" s="18">
        <f t="shared" si="3"/>
        <v>2235.2062499999997</v>
      </c>
      <c r="L8" s="18">
        <f t="shared" si="4"/>
        <v>48.065875199999994</v>
      </c>
      <c r="M8" s="18">
        <f t="shared" si="5"/>
        <v>247.19592959999997</v>
      </c>
      <c r="N8" s="18">
        <f t="shared" si="6"/>
        <v>102.99830399999999</v>
      </c>
      <c r="O8" s="20">
        <f t="shared" si="0"/>
        <v>398.2601087999999</v>
      </c>
      <c r="S8" s="129"/>
    </row>
    <row r="9" spans="1:22" ht="18" customHeight="1" thickBot="1" x14ac:dyDescent="0.4">
      <c r="G9" s="56">
        <v>44927</v>
      </c>
      <c r="H9" s="136">
        <f>'CPU (Workload)'!D19</f>
        <v>19868.499999999996</v>
      </c>
      <c r="I9" s="57">
        <f t="shared" si="1"/>
        <v>3973.6999999999994</v>
      </c>
      <c r="J9" s="57">
        <f t="shared" si="2"/>
        <v>11921.099999999997</v>
      </c>
      <c r="K9" s="57">
        <f t="shared" si="3"/>
        <v>3973.6999999999994</v>
      </c>
      <c r="L9" s="57">
        <f t="shared" si="4"/>
        <v>85.450444799999985</v>
      </c>
      <c r="M9" s="57">
        <f t="shared" si="5"/>
        <v>439.45943039999986</v>
      </c>
      <c r="N9" s="57">
        <f t="shared" si="6"/>
        <v>183.10809599999996</v>
      </c>
      <c r="O9" s="58">
        <f t="shared" si="0"/>
        <v>708.01797119999981</v>
      </c>
      <c r="S9" s="129"/>
    </row>
    <row r="10" spans="1:22" ht="18" customHeight="1" thickBot="1" x14ac:dyDescent="0.4">
      <c r="B10" s="59"/>
      <c r="C10" s="59"/>
      <c r="D10" s="140"/>
      <c r="E10" s="59"/>
      <c r="G10" s="16">
        <v>45108</v>
      </c>
      <c r="H10" s="139">
        <f>'CPU (Workload)'!D20</f>
        <v>26495.525000000001</v>
      </c>
      <c r="I10" s="18">
        <f t="shared" si="1"/>
        <v>5299.1050000000005</v>
      </c>
      <c r="J10" s="18">
        <f t="shared" si="2"/>
        <v>15897.315000000001</v>
      </c>
      <c r="K10" s="18">
        <f t="shared" si="3"/>
        <v>5299.1050000000005</v>
      </c>
      <c r="L10" s="18">
        <f t="shared" si="4"/>
        <v>113.95195392000001</v>
      </c>
      <c r="M10" s="18">
        <f t="shared" si="5"/>
        <v>586.03862015999994</v>
      </c>
      <c r="N10" s="18">
        <f t="shared" si="6"/>
        <v>244.18275840000004</v>
      </c>
      <c r="O10" s="20">
        <f t="shared" si="0"/>
        <v>944.17333248</v>
      </c>
      <c r="S10" s="129"/>
    </row>
    <row r="11" spans="1:22" ht="18" customHeight="1" thickBot="1" x14ac:dyDescent="0.4">
      <c r="E11" s="4"/>
      <c r="F11" s="4"/>
      <c r="G11" s="56">
        <v>45292</v>
      </c>
      <c r="H11" s="136">
        <f>'CPU (Workload)'!D21</f>
        <v>35323.174999999996</v>
      </c>
      <c r="I11" s="57">
        <f t="shared" si="1"/>
        <v>7064.6349999999993</v>
      </c>
      <c r="J11" s="57">
        <f>$H11*$E$7</f>
        <v>21193.904999999995</v>
      </c>
      <c r="K11" s="57">
        <f t="shared" si="3"/>
        <v>7064.6349999999993</v>
      </c>
      <c r="L11" s="57">
        <f t="shared" si="4"/>
        <v>151.91791103999998</v>
      </c>
      <c r="M11" s="57">
        <f t="shared" si="5"/>
        <v>781.29211391999979</v>
      </c>
      <c r="N11" s="57">
        <f t="shared" si="6"/>
        <v>325.53838079999991</v>
      </c>
      <c r="O11" s="58">
        <f t="shared" si="0"/>
        <v>1258.7484057599997</v>
      </c>
      <c r="S11" s="129"/>
    </row>
    <row r="12" spans="1:22" s="59" customFormat="1" ht="18" customHeight="1" x14ac:dyDescent="0.35">
      <c r="E12" s="128"/>
      <c r="F12" s="128"/>
      <c r="G12" s="129"/>
      <c r="H12" s="130"/>
      <c r="I12" s="131"/>
      <c r="J12" s="131"/>
      <c r="K12" s="131"/>
      <c r="L12" s="132"/>
      <c r="M12" s="132"/>
      <c r="N12" s="132"/>
      <c r="O12" s="132"/>
      <c r="P12" s="133"/>
    </row>
    <row r="13" spans="1:22" ht="18" customHeight="1" thickBot="1" x14ac:dyDescent="0.4">
      <c r="A13" s="11" t="s">
        <v>12</v>
      </c>
      <c r="B13" t="s">
        <v>162</v>
      </c>
    </row>
    <row r="14" spans="1:22" ht="69" customHeight="1" thickBot="1" x14ac:dyDescent="0.4">
      <c r="B14" t="s">
        <v>24</v>
      </c>
      <c r="D14" s="127">
        <f>down_song</f>
        <v>7.1999999999999998E-3</v>
      </c>
      <c r="M14" s="105"/>
      <c r="N14" s="114" t="s">
        <v>159</v>
      </c>
      <c r="O14" s="21" t="s">
        <v>140</v>
      </c>
    </row>
    <row r="15" spans="1:22" ht="18" customHeight="1" x14ac:dyDescent="0.35">
      <c r="B15" t="s">
        <v>13</v>
      </c>
      <c r="D15" s="49">
        <f>down_req</f>
        <v>4</v>
      </c>
      <c r="M15" s="16">
        <v>44197</v>
      </c>
      <c r="N15" s="138">
        <f>'CPU (Workload)'!E15</f>
        <v>523.95833333333337</v>
      </c>
      <c r="O15" s="20">
        <f t="shared" ref="O15:O21" si="8">N15*$D$14*8</f>
        <v>30.18</v>
      </c>
    </row>
    <row r="16" spans="1:22" ht="18" customHeight="1" thickBot="1" x14ac:dyDescent="0.4">
      <c r="M16" s="16">
        <v>44378</v>
      </c>
      <c r="N16" s="139">
        <f>'CPU (Workload)'!E16</f>
        <v>698.96041666666667</v>
      </c>
      <c r="O16" s="20">
        <f t="shared" si="8"/>
        <v>40.260120000000001</v>
      </c>
    </row>
    <row r="17" spans="1:15" ht="18" customHeight="1" thickBot="1" x14ac:dyDescent="0.4">
      <c r="M17" s="56">
        <v>44562</v>
      </c>
      <c r="N17" s="136">
        <f>'CPU (Workload)'!E17</f>
        <v>1397.3968749999999</v>
      </c>
      <c r="O17" s="58">
        <f t="shared" si="8"/>
        <v>80.490059999999986</v>
      </c>
    </row>
    <row r="18" spans="1:15" ht="18" customHeight="1" thickBot="1" x14ac:dyDescent="0.4">
      <c r="M18" s="16">
        <v>44743</v>
      </c>
      <c r="N18" s="139">
        <f>'CPU (Workload)'!E18</f>
        <v>1862.671875</v>
      </c>
      <c r="O18" s="20">
        <f t="shared" si="8"/>
        <v>107.2899</v>
      </c>
    </row>
    <row r="19" spans="1:15" ht="18" customHeight="1" thickBot="1" x14ac:dyDescent="0.4">
      <c r="M19" s="56">
        <v>44927</v>
      </c>
      <c r="N19" s="136">
        <f>'CPU (Workload)'!E19</f>
        <v>3311.4166666666665</v>
      </c>
      <c r="O19" s="58">
        <f t="shared" si="8"/>
        <v>190.73759999999999</v>
      </c>
    </row>
    <row r="20" spans="1:15" ht="18" customHeight="1" thickBot="1" x14ac:dyDescent="0.4">
      <c r="M20" s="16">
        <v>45108</v>
      </c>
      <c r="N20" s="139">
        <f>'CPU (Workload)'!E20</f>
        <v>4415.9208333333336</v>
      </c>
      <c r="O20" s="20">
        <f t="shared" si="8"/>
        <v>254.35704000000001</v>
      </c>
    </row>
    <row r="21" spans="1:15" ht="18" customHeight="1" thickBot="1" x14ac:dyDescent="0.4">
      <c r="M21" s="56">
        <v>45292</v>
      </c>
      <c r="N21" s="136">
        <f>'CPU (Workload)'!E21</f>
        <v>5887.1958333333332</v>
      </c>
      <c r="O21" s="58">
        <f t="shared" si="8"/>
        <v>339.10247999999996</v>
      </c>
    </row>
    <row r="23" spans="1:15" ht="18" customHeight="1" thickBot="1" x14ac:dyDescent="0.4">
      <c r="A23" s="11" t="s">
        <v>15</v>
      </c>
    </row>
    <row r="24" spans="1:15" ht="52" customHeight="1" thickBot="1" x14ac:dyDescent="0.4">
      <c r="B24" t="s">
        <v>139</v>
      </c>
      <c r="D24" s="126">
        <f>req_size</f>
        <v>2.0000000000000001E-4</v>
      </c>
      <c r="N24" s="115" t="s">
        <v>160</v>
      </c>
      <c r="O24" s="21" t="s">
        <v>140</v>
      </c>
    </row>
    <row r="25" spans="1:15" ht="18" customHeight="1" x14ac:dyDescent="0.35">
      <c r="B25" t="s">
        <v>14</v>
      </c>
      <c r="D25" s="49">
        <f>perm_req</f>
        <v>16</v>
      </c>
      <c r="E25" s="13"/>
      <c r="M25" s="16">
        <v>44197</v>
      </c>
      <c r="N25" s="138">
        <f>'CPU (Workload)'!F15</f>
        <v>2095.8333333333335</v>
      </c>
      <c r="O25" s="20">
        <f>N25*$D$24*8</f>
        <v>3.3533333333333339</v>
      </c>
    </row>
    <row r="26" spans="1:15" ht="18" customHeight="1" thickBot="1" x14ac:dyDescent="0.4">
      <c r="M26" s="16">
        <v>44378</v>
      </c>
      <c r="N26" s="139">
        <f>'CPU (Workload)'!F16</f>
        <v>2795.8416666666667</v>
      </c>
      <c r="O26" s="20">
        <f t="shared" ref="O26:O31" si="9">N26*$D$24*8</f>
        <v>4.473346666666667</v>
      </c>
    </row>
    <row r="27" spans="1:15" ht="18" customHeight="1" thickBot="1" x14ac:dyDescent="0.4">
      <c r="M27" s="56">
        <v>44562</v>
      </c>
      <c r="N27" s="136">
        <f>'CPU (Workload)'!F17</f>
        <v>5589.5874999999996</v>
      </c>
      <c r="O27" s="58">
        <f t="shared" si="9"/>
        <v>8.9433399999999992</v>
      </c>
    </row>
    <row r="28" spans="1:15" ht="18" customHeight="1" thickBot="1" x14ac:dyDescent="0.4">
      <c r="M28" s="16">
        <v>44743</v>
      </c>
      <c r="N28" s="139">
        <f>'CPU (Workload)'!F18</f>
        <v>7450.6875</v>
      </c>
      <c r="O28" s="20">
        <f t="shared" si="9"/>
        <v>11.921100000000001</v>
      </c>
    </row>
    <row r="29" spans="1:15" ht="18" customHeight="1" thickBot="1" x14ac:dyDescent="0.4">
      <c r="M29" s="56">
        <v>44927</v>
      </c>
      <c r="N29" s="136">
        <f>'CPU (Workload)'!F19</f>
        <v>13245.666666666666</v>
      </c>
      <c r="O29" s="58">
        <f t="shared" si="9"/>
        <v>21.193066666666667</v>
      </c>
    </row>
    <row r="30" spans="1:15" ht="18" customHeight="1" thickBot="1" x14ac:dyDescent="0.4">
      <c r="M30" s="16">
        <v>45108</v>
      </c>
      <c r="N30" s="139">
        <f>'CPU (Workload)'!F20</f>
        <v>17663.683333333334</v>
      </c>
      <c r="O30" s="20">
        <f t="shared" si="9"/>
        <v>28.261893333333337</v>
      </c>
    </row>
    <row r="31" spans="1:15" ht="18" customHeight="1" thickBot="1" x14ac:dyDescent="0.4">
      <c r="M31" s="56">
        <v>45292</v>
      </c>
      <c r="N31" s="136">
        <f>'CPU (Workload)'!F21</f>
        <v>23548.783333333333</v>
      </c>
      <c r="O31" s="58">
        <f t="shared" si="9"/>
        <v>37.678053333333331</v>
      </c>
    </row>
    <row r="34" spans="1:16" ht="18" customHeight="1" x14ac:dyDescent="0.35">
      <c r="O34" s="65"/>
      <c r="P34" s="2"/>
    </row>
    <row r="35" spans="1:16" ht="16" thickBot="1" x14ac:dyDescent="0.4">
      <c r="A35" s="11" t="s">
        <v>199</v>
      </c>
      <c r="P35" s="2"/>
    </row>
    <row r="36" spans="1:16" ht="31.5" thickBot="1" x14ac:dyDescent="0.4">
      <c r="O36" s="21" t="s">
        <v>140</v>
      </c>
      <c r="P36" s="2"/>
    </row>
    <row r="37" spans="1:16" ht="18" customHeight="1" x14ac:dyDescent="0.35">
      <c r="N37" s="16">
        <v>44197</v>
      </c>
      <c r="O37" s="20">
        <f>SUM(O5,O15,O25)</f>
        <v>145.56149333333335</v>
      </c>
      <c r="P37" s="2"/>
    </row>
    <row r="38" spans="1:16" ht="18" customHeight="1" thickBot="1" x14ac:dyDescent="0.4">
      <c r="N38" s="16">
        <v>44378</v>
      </c>
      <c r="O38" s="20">
        <f t="shared" ref="O38:O43" si="10">SUM(O6,O16,O26)</f>
        <v>194.17903210666663</v>
      </c>
      <c r="P38" s="2"/>
    </row>
    <row r="39" spans="1:16" ht="18" customHeight="1" thickBot="1" x14ac:dyDescent="0.4">
      <c r="N39" s="56">
        <v>44562</v>
      </c>
      <c r="O39" s="58">
        <f t="shared" si="10"/>
        <v>388.21250271999992</v>
      </c>
      <c r="P39" s="2"/>
    </row>
    <row r="40" spans="1:16" ht="18" customHeight="1" thickBot="1" x14ac:dyDescent="0.4">
      <c r="N40" s="16">
        <v>44743</v>
      </c>
      <c r="O40" s="20">
        <f t="shared" si="10"/>
        <v>517.47110879999991</v>
      </c>
      <c r="P40" s="2"/>
    </row>
    <row r="41" spans="1:16" ht="18" customHeight="1" thickBot="1" x14ac:dyDescent="0.4">
      <c r="N41" s="56">
        <v>44927</v>
      </c>
      <c r="O41" s="58">
        <f t="shared" si="10"/>
        <v>919.94863786666656</v>
      </c>
    </row>
    <row r="42" spans="1:16" ht="18" customHeight="1" thickBot="1" x14ac:dyDescent="0.4">
      <c r="N42" s="16">
        <v>45108</v>
      </c>
      <c r="O42" s="20">
        <f t="shared" si="10"/>
        <v>1226.7922658133334</v>
      </c>
    </row>
    <row r="43" spans="1:16" ht="18" customHeight="1" thickBot="1" x14ac:dyDescent="0.4">
      <c r="N43" s="56">
        <v>45292</v>
      </c>
      <c r="O43" s="58">
        <f t="shared" si="10"/>
        <v>1635.5289390933331</v>
      </c>
    </row>
  </sheetData>
  <mergeCells count="3">
    <mergeCell ref="O3:O4"/>
    <mergeCell ref="I3:K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4462-82A4-C747-88EA-AE2B6DDB8501}">
  <dimension ref="A1:X42"/>
  <sheetViews>
    <sheetView workbookViewId="0"/>
  </sheetViews>
  <sheetFormatPr defaultColWidth="11" defaultRowHeight="15.5" x14ac:dyDescent="0.35"/>
  <cols>
    <col min="1" max="1" width="18.5" bestFit="1" customWidth="1"/>
    <col min="3" max="3" width="10.6640625" customWidth="1"/>
    <col min="4" max="4" width="12.83203125" bestFit="1" customWidth="1"/>
    <col min="14" max="14" width="13" bestFit="1" customWidth="1"/>
  </cols>
  <sheetData>
    <row r="1" spans="1:24" ht="23.5" x14ac:dyDescent="0.55000000000000004">
      <c r="A1" s="52" t="s">
        <v>328</v>
      </c>
    </row>
    <row r="3" spans="1:24" ht="16" customHeight="1" thickBot="1" x14ac:dyDescent="0.4">
      <c r="A3" s="11" t="s">
        <v>5</v>
      </c>
      <c r="B3" s="330" t="s">
        <v>329</v>
      </c>
    </row>
    <row r="4" spans="1:24" x14ac:dyDescent="0.35">
      <c r="B4" t="s">
        <v>158</v>
      </c>
      <c r="H4" s="412" t="s">
        <v>336</v>
      </c>
      <c r="I4" s="412"/>
      <c r="J4" s="412"/>
      <c r="K4" s="412"/>
      <c r="L4" s="412" t="s">
        <v>330</v>
      </c>
      <c r="M4" s="412"/>
      <c r="N4" s="413"/>
      <c r="O4" s="410" t="s">
        <v>331</v>
      </c>
    </row>
    <row r="5" spans="1:24" ht="47" thickBot="1" x14ac:dyDescent="0.4">
      <c r="B5" t="s">
        <v>1</v>
      </c>
      <c r="D5" s="47">
        <f>stream_dur</f>
        <v>192</v>
      </c>
      <c r="G5" s="105"/>
      <c r="H5" s="115" t="s">
        <v>332</v>
      </c>
      <c r="I5" s="115" t="s">
        <v>334</v>
      </c>
      <c r="J5" s="115" t="s">
        <v>335</v>
      </c>
      <c r="K5" s="115" t="s">
        <v>333</v>
      </c>
      <c r="L5" s="291" t="s">
        <v>2</v>
      </c>
      <c r="M5" s="291" t="s">
        <v>11</v>
      </c>
      <c r="N5" s="291" t="s">
        <v>8</v>
      </c>
      <c r="O5" s="411"/>
      <c r="U5" s="317" t="s">
        <v>372</v>
      </c>
      <c r="V5" s="317" t="s">
        <v>69</v>
      </c>
      <c r="W5" s="317" t="s">
        <v>381</v>
      </c>
      <c r="X5" s="318" t="s">
        <v>382</v>
      </c>
    </row>
    <row r="6" spans="1:24" ht="16" customHeight="1" x14ac:dyDescent="0.35">
      <c r="B6" t="s">
        <v>6</v>
      </c>
      <c r="C6" s="8" t="s">
        <v>3</v>
      </c>
      <c r="D6" s="8" t="s">
        <v>10</v>
      </c>
      <c r="E6" s="8" t="s">
        <v>4</v>
      </c>
      <c r="G6" s="16">
        <v>44197</v>
      </c>
      <c r="H6" s="138">
        <f>'CPU (Workload)'!D15</f>
        <v>3143.75</v>
      </c>
      <c r="I6" s="18">
        <f t="shared" ref="I6:I12" si="0">$H6*$E$7</f>
        <v>628.75</v>
      </c>
      <c r="J6" s="18">
        <f t="shared" ref="J6:J12" si="1">$H6*$E$8</f>
        <v>1886.25</v>
      </c>
      <c r="K6" s="18">
        <f t="shared" ref="K6:K12" si="2">$H6*$E$9</f>
        <v>628.75</v>
      </c>
      <c r="L6" s="18">
        <f t="shared" ref="L6:N12" si="3">I6*$D$7/1000/1000/8</f>
        <v>1.69008</v>
      </c>
      <c r="M6" s="18">
        <f t="shared" si="3"/>
        <v>5.0702400000000001</v>
      </c>
      <c r="N6" s="18">
        <f t="shared" si="3"/>
        <v>1.69008</v>
      </c>
      <c r="O6" s="20">
        <f t="shared" ref="O6:O12" si="4">SUM(L6:N6)</f>
        <v>8.4504000000000001</v>
      </c>
      <c r="U6" s="401" t="s">
        <v>50</v>
      </c>
      <c r="V6" s="2">
        <f>O8</f>
        <v>22.537216799999996</v>
      </c>
      <c r="W6" s="2">
        <f>O18</f>
        <v>10.061257499999998</v>
      </c>
      <c r="X6" s="2">
        <f>O28</f>
        <v>1.1179174999999999</v>
      </c>
    </row>
    <row r="7" spans="1:24" ht="16" thickBot="1" x14ac:dyDescent="0.4">
      <c r="B7" s="14" t="s">
        <v>7</v>
      </c>
      <c r="C7" s="47">
        <f>stream_lbr</f>
        <v>112</v>
      </c>
      <c r="D7" s="1">
        <f>$D$5*C7</f>
        <v>21504</v>
      </c>
      <c r="E7" s="50">
        <f>lbr_percent</f>
        <v>0.2</v>
      </c>
      <c r="G7" s="16">
        <v>44378</v>
      </c>
      <c r="H7" s="139">
        <f>'CPU (Workload)'!D16</f>
        <v>4193.7624999999989</v>
      </c>
      <c r="I7" s="18">
        <f t="shared" si="0"/>
        <v>838.75249999999983</v>
      </c>
      <c r="J7" s="18">
        <f t="shared" si="1"/>
        <v>2516.2574999999993</v>
      </c>
      <c r="K7" s="18">
        <f t="shared" si="2"/>
        <v>838.75249999999983</v>
      </c>
      <c r="L7" s="18">
        <f t="shared" si="3"/>
        <v>2.2545667199999997</v>
      </c>
      <c r="M7" s="18">
        <f t="shared" si="3"/>
        <v>6.7637001599999982</v>
      </c>
      <c r="N7" s="18">
        <f t="shared" si="3"/>
        <v>2.2545667199999997</v>
      </c>
      <c r="O7" s="20">
        <f t="shared" si="4"/>
        <v>11.272833599999998</v>
      </c>
      <c r="U7" s="401" t="s">
        <v>51</v>
      </c>
      <c r="V7" s="2">
        <f>O10</f>
        <v>53.406527999999994</v>
      </c>
      <c r="W7" s="2">
        <f>O20</f>
        <v>23.842199999999998</v>
      </c>
      <c r="X7" s="2">
        <f>O30</f>
        <v>2.6491333333333333</v>
      </c>
    </row>
    <row r="8" spans="1:24" ht="16" thickBot="1" x14ac:dyDescent="0.4">
      <c r="B8" s="14" t="s">
        <v>11</v>
      </c>
      <c r="C8" s="47">
        <f>stream_sbr</f>
        <v>192</v>
      </c>
      <c r="D8" s="1">
        <f>$D$5*C8</f>
        <v>36864</v>
      </c>
      <c r="E8" s="50">
        <f>sbr_percent</f>
        <v>0.6</v>
      </c>
      <c r="G8" s="56">
        <v>44562</v>
      </c>
      <c r="H8" s="136">
        <f>'CPU (Workload)'!D17</f>
        <v>8384.3812499999985</v>
      </c>
      <c r="I8" s="57">
        <f t="shared" si="0"/>
        <v>1676.8762499999998</v>
      </c>
      <c r="J8" s="57">
        <f t="shared" si="1"/>
        <v>5030.6287499999989</v>
      </c>
      <c r="K8" s="57">
        <f t="shared" si="2"/>
        <v>1676.8762499999998</v>
      </c>
      <c r="L8" s="57">
        <f t="shared" si="3"/>
        <v>4.507443359999999</v>
      </c>
      <c r="M8" s="57">
        <f t="shared" si="3"/>
        <v>13.522330079999996</v>
      </c>
      <c r="N8" s="57">
        <f t="shared" si="3"/>
        <v>4.507443359999999</v>
      </c>
      <c r="O8" s="58">
        <f t="shared" si="4"/>
        <v>22.537216799999996</v>
      </c>
      <c r="U8" s="401" t="s">
        <v>52</v>
      </c>
      <c r="V8" s="2">
        <f>O12</f>
        <v>94.948694399999994</v>
      </c>
      <c r="W8" s="2">
        <f>O22</f>
        <v>42.387809999999995</v>
      </c>
      <c r="X8" s="2">
        <f>O32</f>
        <v>4.7097566666666664</v>
      </c>
    </row>
    <row r="9" spans="1:24" ht="16" thickBot="1" x14ac:dyDescent="0.4">
      <c r="B9" s="14" t="s">
        <v>8</v>
      </c>
      <c r="C9" s="47">
        <f>stream_hbr</f>
        <v>240</v>
      </c>
      <c r="D9" s="1">
        <f>$D$5*C9</f>
        <v>46080</v>
      </c>
      <c r="E9" s="50">
        <f>hbr_percent</f>
        <v>0.2</v>
      </c>
      <c r="G9" s="16">
        <v>44743</v>
      </c>
      <c r="H9" s="139">
        <f>'CPU (Workload)'!D18</f>
        <v>11176.031249999998</v>
      </c>
      <c r="I9" s="18">
        <f t="shared" si="0"/>
        <v>2235.2062499999997</v>
      </c>
      <c r="J9" s="18">
        <f t="shared" si="1"/>
        <v>6705.6187499999987</v>
      </c>
      <c r="K9" s="18">
        <f t="shared" si="2"/>
        <v>2235.2062499999997</v>
      </c>
      <c r="L9" s="18">
        <f t="shared" si="3"/>
        <v>6.0082343999999992</v>
      </c>
      <c r="M9" s="18">
        <f t="shared" si="3"/>
        <v>18.024703199999998</v>
      </c>
      <c r="N9" s="18">
        <f t="shared" si="3"/>
        <v>6.0082343999999992</v>
      </c>
      <c r="O9" s="20">
        <f t="shared" si="4"/>
        <v>30.041171999999996</v>
      </c>
    </row>
    <row r="10" spans="1:24" ht="16" thickBot="1" x14ac:dyDescent="0.4">
      <c r="G10" s="56">
        <v>44927</v>
      </c>
      <c r="H10" s="136">
        <f>'CPU (Workload)'!D19</f>
        <v>19868.499999999996</v>
      </c>
      <c r="I10" s="57">
        <f t="shared" si="0"/>
        <v>3973.6999999999994</v>
      </c>
      <c r="J10" s="57">
        <f t="shared" si="1"/>
        <v>11921.099999999997</v>
      </c>
      <c r="K10" s="57">
        <f t="shared" si="2"/>
        <v>3973.6999999999994</v>
      </c>
      <c r="L10" s="57">
        <f t="shared" si="3"/>
        <v>10.681305599999998</v>
      </c>
      <c r="M10" s="57">
        <f t="shared" si="3"/>
        <v>32.043916799999991</v>
      </c>
      <c r="N10" s="57">
        <f t="shared" si="3"/>
        <v>10.681305599999998</v>
      </c>
      <c r="O10" s="58">
        <f t="shared" si="4"/>
        <v>53.406527999999994</v>
      </c>
    </row>
    <row r="11" spans="1:24" ht="16" thickBot="1" x14ac:dyDescent="0.4">
      <c r="B11" s="59"/>
      <c r="C11" s="59"/>
      <c r="D11" s="140"/>
      <c r="E11" s="59"/>
      <c r="G11" s="16">
        <v>45108</v>
      </c>
      <c r="H11" s="139">
        <f>'CPU (Workload)'!D20</f>
        <v>26495.525000000001</v>
      </c>
      <c r="I11" s="18">
        <f t="shared" si="0"/>
        <v>5299.1050000000005</v>
      </c>
      <c r="J11" s="18">
        <f t="shared" si="1"/>
        <v>15897.315000000001</v>
      </c>
      <c r="K11" s="18">
        <f t="shared" si="2"/>
        <v>5299.1050000000005</v>
      </c>
      <c r="L11" s="18">
        <f t="shared" si="3"/>
        <v>14.243994240000001</v>
      </c>
      <c r="M11" s="18">
        <f t="shared" si="3"/>
        <v>42.731982719999998</v>
      </c>
      <c r="N11" s="18">
        <f t="shared" si="3"/>
        <v>14.243994240000001</v>
      </c>
      <c r="O11" s="20">
        <f t="shared" si="4"/>
        <v>71.219971200000003</v>
      </c>
    </row>
    <row r="12" spans="1:24" ht="16" thickBot="1" x14ac:dyDescent="0.4">
      <c r="E12" s="4"/>
      <c r="F12" s="4"/>
      <c r="G12" s="56">
        <v>45292</v>
      </c>
      <c r="H12" s="136">
        <f>'CPU (Workload)'!D21</f>
        <v>35323.174999999996</v>
      </c>
      <c r="I12" s="57">
        <f t="shared" si="0"/>
        <v>7064.6349999999993</v>
      </c>
      <c r="J12" s="57">
        <f t="shared" si="1"/>
        <v>21193.904999999995</v>
      </c>
      <c r="K12" s="57">
        <f t="shared" si="2"/>
        <v>7064.6349999999993</v>
      </c>
      <c r="L12" s="57">
        <f t="shared" si="3"/>
        <v>18.989738879999997</v>
      </c>
      <c r="M12" s="57">
        <f t="shared" si="3"/>
        <v>56.969216639999985</v>
      </c>
      <c r="N12" s="57">
        <f t="shared" si="3"/>
        <v>18.989738879999997</v>
      </c>
      <c r="O12" s="58">
        <f t="shared" si="4"/>
        <v>94.948694399999994</v>
      </c>
    </row>
    <row r="14" spans="1:24" ht="16" thickBot="1" x14ac:dyDescent="0.4">
      <c r="A14" s="11" t="s">
        <v>12</v>
      </c>
      <c r="B14" t="s">
        <v>162</v>
      </c>
    </row>
    <row r="15" spans="1:24" ht="62.5" thickBot="1" x14ac:dyDescent="0.4">
      <c r="B15" t="s">
        <v>24</v>
      </c>
      <c r="D15" s="127">
        <f>down_song</f>
        <v>7.1999999999999998E-3</v>
      </c>
      <c r="M15" s="105"/>
      <c r="N15" s="115" t="s">
        <v>337</v>
      </c>
      <c r="O15" s="21" t="s">
        <v>331</v>
      </c>
    </row>
    <row r="16" spans="1:24" x14ac:dyDescent="0.35">
      <c r="B16" t="s">
        <v>13</v>
      </c>
      <c r="D16" s="49">
        <f>down_req</f>
        <v>4</v>
      </c>
      <c r="M16" s="16">
        <v>44197</v>
      </c>
      <c r="N16" s="138">
        <f>'CPU (Workload)'!E15</f>
        <v>523.95833333333337</v>
      </c>
      <c r="O16" s="20">
        <f>N16*$D$15</f>
        <v>3.7725</v>
      </c>
    </row>
    <row r="17" spans="1:15" ht="16" thickBot="1" x14ac:dyDescent="0.4">
      <c r="M17" s="16">
        <v>44378</v>
      </c>
      <c r="N17" s="139">
        <f>'CPU (Workload)'!E16</f>
        <v>698.96041666666667</v>
      </c>
      <c r="O17" s="20">
        <f t="shared" ref="O17:O22" si="5">N17*$D$15</f>
        <v>5.0325150000000001</v>
      </c>
    </row>
    <row r="18" spans="1:15" ht="16" thickBot="1" x14ac:dyDescent="0.4">
      <c r="M18" s="56">
        <v>44562</v>
      </c>
      <c r="N18" s="136">
        <f>'CPU (Workload)'!E17</f>
        <v>1397.3968749999999</v>
      </c>
      <c r="O18" s="58">
        <f t="shared" si="5"/>
        <v>10.061257499999998</v>
      </c>
    </row>
    <row r="19" spans="1:15" ht="16" thickBot="1" x14ac:dyDescent="0.4">
      <c r="M19" s="16">
        <v>44743</v>
      </c>
      <c r="N19" s="139">
        <f>'CPU (Workload)'!E18</f>
        <v>1862.671875</v>
      </c>
      <c r="O19" s="20">
        <f t="shared" si="5"/>
        <v>13.4112375</v>
      </c>
    </row>
    <row r="20" spans="1:15" ht="16" thickBot="1" x14ac:dyDescent="0.4">
      <c r="M20" s="56">
        <v>44927</v>
      </c>
      <c r="N20" s="136">
        <f>'CPU (Workload)'!E19</f>
        <v>3311.4166666666665</v>
      </c>
      <c r="O20" s="58">
        <f t="shared" si="5"/>
        <v>23.842199999999998</v>
      </c>
    </row>
    <row r="21" spans="1:15" ht="16" thickBot="1" x14ac:dyDescent="0.4">
      <c r="M21" s="16">
        <v>45108</v>
      </c>
      <c r="N21" s="139">
        <f>'CPU (Workload)'!E20</f>
        <v>4415.9208333333336</v>
      </c>
      <c r="O21" s="20">
        <f t="shared" si="5"/>
        <v>31.794630000000002</v>
      </c>
    </row>
    <row r="22" spans="1:15" ht="16" thickBot="1" x14ac:dyDescent="0.4">
      <c r="M22" s="56">
        <v>45292</v>
      </c>
      <c r="N22" s="136">
        <f>'CPU (Workload)'!E21</f>
        <v>5887.1958333333332</v>
      </c>
      <c r="O22" s="58">
        <f t="shared" si="5"/>
        <v>42.387809999999995</v>
      </c>
    </row>
    <row r="24" spans="1:15" ht="16" thickBot="1" x14ac:dyDescent="0.4">
      <c r="A24" s="11" t="s">
        <v>15</v>
      </c>
    </row>
    <row r="25" spans="1:15" ht="62.5" thickBot="1" x14ac:dyDescent="0.4">
      <c r="B25" t="s">
        <v>139</v>
      </c>
      <c r="D25" s="126">
        <f>req_size</f>
        <v>2.0000000000000001E-4</v>
      </c>
      <c r="N25" s="115" t="s">
        <v>160</v>
      </c>
      <c r="O25" s="21" t="s">
        <v>331</v>
      </c>
    </row>
    <row r="26" spans="1:15" x14ac:dyDescent="0.35">
      <c r="B26" t="s">
        <v>14</v>
      </c>
      <c r="D26" s="49">
        <f>perm_req</f>
        <v>16</v>
      </c>
      <c r="E26" s="13"/>
      <c r="M26" s="16">
        <v>44197</v>
      </c>
      <c r="N26" s="138">
        <f>'CPU (Workload)'!F15</f>
        <v>2095.8333333333335</v>
      </c>
      <c r="O26" s="20">
        <f>$D$25*N26</f>
        <v>0.41916666666666674</v>
      </c>
    </row>
    <row r="27" spans="1:15" ht="16" thickBot="1" x14ac:dyDescent="0.4">
      <c r="M27" s="16">
        <v>44378</v>
      </c>
      <c r="N27" s="139">
        <f>'CPU (Workload)'!F16</f>
        <v>2795.8416666666667</v>
      </c>
      <c r="O27" s="20">
        <f t="shared" ref="O27:O32" si="6">$D$25*N27</f>
        <v>0.55916833333333338</v>
      </c>
    </row>
    <row r="28" spans="1:15" ht="16" thickBot="1" x14ac:dyDescent="0.4">
      <c r="M28" s="56">
        <v>44562</v>
      </c>
      <c r="N28" s="136">
        <f>'CPU (Workload)'!F17</f>
        <v>5589.5874999999996</v>
      </c>
      <c r="O28" s="58">
        <f t="shared" si="6"/>
        <v>1.1179174999999999</v>
      </c>
    </row>
    <row r="29" spans="1:15" ht="16" thickBot="1" x14ac:dyDescent="0.4">
      <c r="M29" s="16">
        <v>44743</v>
      </c>
      <c r="N29" s="139">
        <f>'CPU (Workload)'!F18</f>
        <v>7450.6875</v>
      </c>
      <c r="O29" s="20">
        <f t="shared" si="6"/>
        <v>1.4901375000000001</v>
      </c>
    </row>
    <row r="30" spans="1:15" ht="16" thickBot="1" x14ac:dyDescent="0.4">
      <c r="M30" s="56">
        <v>44927</v>
      </c>
      <c r="N30" s="136">
        <f>'CPU (Workload)'!F19</f>
        <v>13245.666666666666</v>
      </c>
      <c r="O30" s="58">
        <f t="shared" si="6"/>
        <v>2.6491333333333333</v>
      </c>
    </row>
    <row r="31" spans="1:15" ht="16" thickBot="1" x14ac:dyDescent="0.4">
      <c r="M31" s="16">
        <v>45108</v>
      </c>
      <c r="N31" s="139">
        <f>'CPU (Workload)'!F20</f>
        <v>17663.683333333334</v>
      </c>
      <c r="O31" s="20">
        <f t="shared" si="6"/>
        <v>3.5327366666666671</v>
      </c>
    </row>
    <row r="32" spans="1:15" ht="16" thickBot="1" x14ac:dyDescent="0.4">
      <c r="M32" s="56">
        <v>45292</v>
      </c>
      <c r="N32" s="136">
        <f>'CPU (Workload)'!F21</f>
        <v>23548.783333333333</v>
      </c>
      <c r="O32" s="58">
        <f t="shared" si="6"/>
        <v>4.7097566666666664</v>
      </c>
    </row>
    <row r="33" spans="1:15" x14ac:dyDescent="0.35">
      <c r="O33" s="65"/>
    </row>
    <row r="34" spans="1:15" ht="18" customHeight="1" thickBot="1" x14ac:dyDescent="0.4">
      <c r="A34" s="11" t="s">
        <v>199</v>
      </c>
    </row>
    <row r="35" spans="1:15" ht="62.5" thickBot="1" x14ac:dyDescent="0.4">
      <c r="O35" s="21" t="s">
        <v>331</v>
      </c>
    </row>
    <row r="36" spans="1:15" x14ac:dyDescent="0.35">
      <c r="N36" s="16">
        <v>44197</v>
      </c>
      <c r="O36" s="20">
        <f>SUM(O6,O16,O26)</f>
        <v>12.642066666666667</v>
      </c>
    </row>
    <row r="37" spans="1:15" ht="16" thickBot="1" x14ac:dyDescent="0.4">
      <c r="N37" s="16">
        <v>44378</v>
      </c>
      <c r="O37" s="20">
        <f t="shared" ref="O37:O42" si="7">SUM(O7,O17,O27)</f>
        <v>16.864516933333331</v>
      </c>
    </row>
    <row r="38" spans="1:15" ht="16" thickBot="1" x14ac:dyDescent="0.4">
      <c r="N38" s="56">
        <v>44562</v>
      </c>
      <c r="O38" s="58">
        <f t="shared" si="7"/>
        <v>33.71639179999999</v>
      </c>
    </row>
    <row r="39" spans="1:15" ht="16" thickBot="1" x14ac:dyDescent="0.4">
      <c r="N39" s="16">
        <v>44743</v>
      </c>
      <c r="O39" s="20">
        <f t="shared" si="7"/>
        <v>44.942546999999998</v>
      </c>
    </row>
    <row r="40" spans="1:15" ht="16" thickBot="1" x14ac:dyDescent="0.4">
      <c r="N40" s="56">
        <v>44927</v>
      </c>
      <c r="O40" s="58">
        <f t="shared" si="7"/>
        <v>79.897861333333339</v>
      </c>
    </row>
    <row r="41" spans="1:15" ht="16" thickBot="1" x14ac:dyDescent="0.4">
      <c r="N41" s="16">
        <v>45108</v>
      </c>
      <c r="O41" s="20">
        <f t="shared" si="7"/>
        <v>106.54733786666667</v>
      </c>
    </row>
    <row r="42" spans="1:15" ht="16" thickBot="1" x14ac:dyDescent="0.4">
      <c r="N42" s="56">
        <v>45292</v>
      </c>
      <c r="O42" s="58">
        <f t="shared" si="7"/>
        <v>142.04626106666666</v>
      </c>
    </row>
  </sheetData>
  <mergeCells count="3">
    <mergeCell ref="L4:N4"/>
    <mergeCell ref="H4:K4"/>
    <mergeCell ref="O4:O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DF17-A10B-784B-B67C-53D3273CBB9C}">
  <dimension ref="A1:P25"/>
  <sheetViews>
    <sheetView zoomScaleNormal="100" workbookViewId="0"/>
  </sheetViews>
  <sheetFormatPr defaultColWidth="10.6640625" defaultRowHeight="15.5" x14ac:dyDescent="0.35"/>
  <cols>
    <col min="1" max="1" width="31.5" customWidth="1"/>
    <col min="2" max="2" width="13.83203125" customWidth="1"/>
    <col min="3" max="3" width="13" bestFit="1" customWidth="1"/>
    <col min="4" max="4" width="15.33203125" customWidth="1"/>
    <col min="5" max="5" width="14.83203125" customWidth="1"/>
    <col min="6" max="6" width="17.1640625" customWidth="1"/>
    <col min="7" max="7" width="19.33203125" customWidth="1"/>
    <col min="8" max="9" width="17.33203125" customWidth="1"/>
    <col min="10" max="10" width="15.1640625" bestFit="1" customWidth="1"/>
    <col min="12" max="12" width="13.5" customWidth="1"/>
    <col min="13" max="13" width="15" bestFit="1" customWidth="1"/>
    <col min="14" max="14" width="17.6640625" bestFit="1" customWidth="1"/>
    <col min="15" max="15" width="18.1640625" customWidth="1"/>
    <col min="16" max="17" width="15" customWidth="1"/>
    <col min="18" max="18" width="15.6640625" customWidth="1"/>
  </cols>
  <sheetData>
    <row r="1" spans="1:5" ht="23.5" x14ac:dyDescent="0.55000000000000004">
      <c r="A1" s="52" t="s">
        <v>27</v>
      </c>
    </row>
    <row r="3" spans="1:5" x14ac:dyDescent="0.35">
      <c r="A3" t="s">
        <v>16</v>
      </c>
      <c r="C3" s="7"/>
      <c r="D3" s="54">
        <f>tot_songs</f>
        <v>40000000</v>
      </c>
      <c r="E3" t="s">
        <v>17</v>
      </c>
    </row>
    <row r="5" spans="1:5" x14ac:dyDescent="0.35">
      <c r="A5" t="s">
        <v>120</v>
      </c>
    </row>
    <row r="7" spans="1:5" ht="16" thickBot="1" x14ac:dyDescent="0.4">
      <c r="A7" s="11" t="s">
        <v>19</v>
      </c>
    </row>
    <row r="8" spans="1:5" ht="31.5" thickBot="1" x14ac:dyDescent="0.4">
      <c r="B8" t="s">
        <v>26</v>
      </c>
      <c r="C8" t="s">
        <v>22</v>
      </c>
      <c r="D8" t="s">
        <v>24</v>
      </c>
      <c r="E8" s="21" t="s">
        <v>119</v>
      </c>
    </row>
    <row r="9" spans="1:5" x14ac:dyDescent="0.35">
      <c r="A9" s="14" t="s">
        <v>20</v>
      </c>
      <c r="B9" s="47">
        <f>stream_lbr</f>
        <v>112</v>
      </c>
      <c r="C9" s="47">
        <f>stream_dur</f>
        <v>192</v>
      </c>
      <c r="D9" s="152">
        <f>B9*C9/8/1000000</f>
        <v>2.6879999999999999E-3</v>
      </c>
      <c r="E9" s="23">
        <f>D9*tot_songs</f>
        <v>107520</v>
      </c>
    </row>
    <row r="10" spans="1:5" x14ac:dyDescent="0.35">
      <c r="A10" s="14" t="s">
        <v>21</v>
      </c>
      <c r="B10" s="47">
        <f>stream_sbr</f>
        <v>192</v>
      </c>
      <c r="C10" s="47">
        <f>stream_dur</f>
        <v>192</v>
      </c>
      <c r="D10" s="152">
        <f t="shared" ref="D10:D11" si="0">B10*C10/8/1000000</f>
        <v>4.6080000000000001E-3</v>
      </c>
      <c r="E10" s="24">
        <f>D10*tot_songs</f>
        <v>184320</v>
      </c>
    </row>
    <row r="11" spans="1:5" ht="16" thickBot="1" x14ac:dyDescent="0.4">
      <c r="A11" s="14" t="s">
        <v>23</v>
      </c>
      <c r="B11" s="53">
        <f>stream_hbr</f>
        <v>240</v>
      </c>
      <c r="C11" s="47">
        <f>stream_dur</f>
        <v>192</v>
      </c>
      <c r="D11" s="152">
        <f t="shared" si="0"/>
        <v>5.7600000000000004E-3</v>
      </c>
      <c r="E11" s="25">
        <f>D11*tot_songs</f>
        <v>230400</v>
      </c>
    </row>
    <row r="13" spans="1:5" ht="16" thickBot="1" x14ac:dyDescent="0.4">
      <c r="A13" s="11" t="s">
        <v>25</v>
      </c>
    </row>
    <row r="14" spans="1:5" ht="31.5" thickBot="1" x14ac:dyDescent="0.4">
      <c r="D14" s="17" t="s">
        <v>24</v>
      </c>
      <c r="E14" s="21" t="s">
        <v>119</v>
      </c>
    </row>
    <row r="15" spans="1:5" ht="16" thickBot="1" x14ac:dyDescent="0.4">
      <c r="D15" s="47">
        <f>down_song</f>
        <v>7.1999999999999998E-3</v>
      </c>
      <c r="E15" s="25">
        <f>D15*tot_songs</f>
        <v>288000</v>
      </c>
    </row>
    <row r="17" spans="1:16" x14ac:dyDescent="0.35">
      <c r="A17" s="11" t="s">
        <v>63</v>
      </c>
    </row>
    <row r="19" spans="1:16" x14ac:dyDescent="0.35">
      <c r="A19" t="s">
        <v>121</v>
      </c>
      <c r="D19" s="16"/>
      <c r="E19" s="55"/>
      <c r="F19" s="9"/>
      <c r="G19" s="9"/>
      <c r="H19" s="9"/>
      <c r="I19" s="9"/>
      <c r="J19" s="18"/>
      <c r="K19" s="18"/>
      <c r="L19" s="18"/>
      <c r="M19" s="18"/>
      <c r="N19" s="19"/>
      <c r="O19" s="19"/>
      <c r="P19" s="19"/>
    </row>
    <row r="21" spans="1:16" x14ac:dyDescent="0.35">
      <c r="A21" s="14"/>
    </row>
    <row r="22" spans="1:16" x14ac:dyDescent="0.35">
      <c r="A22" s="14"/>
    </row>
    <row r="23" spans="1:16" x14ac:dyDescent="0.35">
      <c r="A23" s="14"/>
    </row>
    <row r="24" spans="1:16" x14ac:dyDescent="0.35">
      <c r="A24" s="14"/>
      <c r="O24" s="84"/>
    </row>
    <row r="25" spans="1:16" x14ac:dyDescent="0.35">
      <c r="A25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174"/>
  <sheetViews>
    <sheetView topLeftCell="A115" zoomScaleNormal="100" workbookViewId="0">
      <selection activeCell="C143" sqref="C143"/>
    </sheetView>
  </sheetViews>
  <sheetFormatPr defaultColWidth="10.6640625" defaultRowHeight="15.5" x14ac:dyDescent="0.35"/>
  <cols>
    <col min="1" max="1" width="17.6640625" customWidth="1"/>
    <col min="2" max="2" width="45.83203125" bestFit="1" customWidth="1"/>
    <col min="3" max="3" width="15.33203125" bestFit="1" customWidth="1"/>
    <col min="4" max="5" width="14.33203125" bestFit="1" customWidth="1"/>
    <col min="7" max="7" width="19.1640625" bestFit="1" customWidth="1"/>
    <col min="8" max="8" width="11.5" bestFit="1" customWidth="1"/>
    <col min="9" max="9" width="12.5" bestFit="1" customWidth="1"/>
    <col min="10" max="10" width="10.5" bestFit="1" customWidth="1"/>
    <col min="11" max="11" width="11.83203125" bestFit="1" customWidth="1"/>
    <col min="12" max="12" width="11.5" customWidth="1"/>
    <col min="13" max="14" width="11.6640625" bestFit="1" customWidth="1"/>
    <col min="15" max="15" width="15.6640625" bestFit="1" customWidth="1"/>
    <col min="16" max="16" width="11.6640625" bestFit="1" customWidth="1"/>
    <col min="17" max="17" width="12.5" customWidth="1"/>
    <col min="18" max="18" width="11.6640625" bestFit="1" customWidth="1"/>
    <col min="19" max="19" width="14.1640625" bestFit="1" customWidth="1"/>
    <col min="20" max="20" width="11.6640625" bestFit="1" customWidth="1"/>
    <col min="21" max="21" width="11.5" style="15" customWidth="1"/>
    <col min="22" max="22" width="12.5" bestFit="1" customWidth="1"/>
    <col min="23" max="23" width="11.6640625" bestFit="1" customWidth="1"/>
    <col min="24" max="24" width="11.5" bestFit="1" customWidth="1"/>
    <col min="25" max="25" width="12.5" bestFit="1" customWidth="1"/>
    <col min="26" max="26" width="15.6640625" bestFit="1" customWidth="1"/>
    <col min="27" max="27" width="11.5" bestFit="1" customWidth="1"/>
    <col min="29" max="30" width="11.5" bestFit="1" customWidth="1"/>
    <col min="31" max="31" width="11.5" customWidth="1"/>
    <col min="32" max="32" width="11.5" bestFit="1" customWidth="1"/>
    <col min="33" max="33" width="12.5" customWidth="1"/>
    <col min="34" max="34" width="12.5" bestFit="1" customWidth="1"/>
    <col min="35" max="35" width="12.5" customWidth="1"/>
    <col min="36" max="36" width="12.5" bestFit="1" customWidth="1"/>
    <col min="37" max="37" width="13.33203125" customWidth="1"/>
    <col min="38" max="38" width="11.5" bestFit="1" customWidth="1"/>
    <col min="39" max="39" width="12.6640625" customWidth="1"/>
    <col min="40" max="42" width="11.5" bestFit="1" customWidth="1"/>
    <col min="44" max="46" width="11.5" bestFit="1" customWidth="1"/>
    <col min="47" max="47" width="11.5" customWidth="1"/>
    <col min="48" max="48" width="11.5" bestFit="1" customWidth="1"/>
    <col min="49" max="49" width="12.33203125" customWidth="1"/>
    <col min="50" max="50" width="11.6640625" customWidth="1"/>
    <col min="51" max="51" width="13.83203125" bestFit="1" customWidth="1"/>
    <col min="52" max="52" width="13.5" bestFit="1" customWidth="1"/>
    <col min="53" max="67" width="11.6640625" customWidth="1"/>
    <col min="68" max="68" width="11.5" bestFit="1" customWidth="1"/>
    <col min="69" max="78" width="11.6640625" customWidth="1"/>
    <col min="79" max="79" width="11.5" customWidth="1"/>
    <col min="80" max="82" width="11.5" bestFit="1" customWidth="1"/>
    <col min="83" max="83" width="23.6640625" bestFit="1" customWidth="1"/>
    <col min="84" max="84" width="10.5" bestFit="1" customWidth="1"/>
    <col min="85" max="86" width="11.5" bestFit="1" customWidth="1"/>
    <col min="87" max="87" width="12.5" bestFit="1" customWidth="1"/>
    <col min="88" max="88" width="11.5" bestFit="1" customWidth="1"/>
    <col min="89" max="89" width="11.6640625" customWidth="1"/>
    <col min="90" max="91" width="12.5" bestFit="1" customWidth="1"/>
  </cols>
  <sheetData>
    <row r="1" spans="1:10" ht="23.5" x14ac:dyDescent="0.55000000000000004">
      <c r="A1" s="89" t="s">
        <v>66</v>
      </c>
    </row>
    <row r="2" spans="1:10" x14ac:dyDescent="0.35">
      <c r="C2" s="1"/>
    </row>
    <row r="3" spans="1:10" ht="21" x14ac:dyDescent="0.5">
      <c r="A3" s="82" t="s">
        <v>44</v>
      </c>
      <c r="C3" s="1"/>
    </row>
    <row r="4" spans="1:10" x14ac:dyDescent="0.35">
      <c r="A4" t="s">
        <v>18</v>
      </c>
    </row>
    <row r="5" spans="1:10" x14ac:dyDescent="0.35">
      <c r="A5" t="s">
        <v>166</v>
      </c>
    </row>
    <row r="6" spans="1:10" x14ac:dyDescent="0.35">
      <c r="A6" t="s">
        <v>43</v>
      </c>
      <c r="C6" s="1"/>
    </row>
    <row r="7" spans="1:10" x14ac:dyDescent="0.35">
      <c r="A7" t="s">
        <v>46</v>
      </c>
      <c r="C7" s="1"/>
    </row>
    <row r="8" spans="1:10" x14ac:dyDescent="0.35">
      <c r="C8" s="1"/>
    </row>
    <row r="9" spans="1:10" x14ac:dyDescent="0.35">
      <c r="C9" s="1"/>
    </row>
    <row r="10" spans="1:10" ht="21" x14ac:dyDescent="0.5">
      <c r="A10" s="284" t="s">
        <v>305</v>
      </c>
    </row>
    <row r="12" spans="1:10" x14ac:dyDescent="0.35">
      <c r="A12" s="11" t="s">
        <v>239</v>
      </c>
      <c r="B12" s="319" t="s">
        <v>303</v>
      </c>
      <c r="C12" s="150" t="s">
        <v>50</v>
      </c>
      <c r="D12" s="150" t="s">
        <v>51</v>
      </c>
      <c r="E12" s="150" t="s">
        <v>52</v>
      </c>
      <c r="G12" s="153"/>
      <c r="H12" s="153"/>
      <c r="I12" s="153"/>
      <c r="J12" s="153"/>
    </row>
    <row r="13" spans="1:10" x14ac:dyDescent="0.35">
      <c r="B13" s="302" t="s">
        <v>82</v>
      </c>
      <c r="C13" s="286">
        <f>M75</f>
        <v>800</v>
      </c>
      <c r="D13" s="286">
        <f>W75</f>
        <v>1279</v>
      </c>
      <c r="E13" s="287">
        <f>AH75</f>
        <v>2158</v>
      </c>
      <c r="G13" s="48"/>
      <c r="H13" s="66"/>
    </row>
    <row r="14" spans="1:10" x14ac:dyDescent="0.35">
      <c r="B14" s="302" t="s">
        <v>367</v>
      </c>
      <c r="C14" s="287">
        <f>M112</f>
        <v>532</v>
      </c>
      <c r="D14" s="287">
        <f t="shared" ref="D14:E14" si="0">N112</f>
        <v>891</v>
      </c>
      <c r="E14" s="287">
        <f t="shared" si="0"/>
        <v>1514</v>
      </c>
    </row>
    <row r="15" spans="1:10" x14ac:dyDescent="0.35">
      <c r="B15" s="302" t="s">
        <v>368</v>
      </c>
      <c r="C15" s="287">
        <f>P112</f>
        <v>20</v>
      </c>
      <c r="D15" s="287">
        <f t="shared" ref="D15:E15" si="1">Q112</f>
        <v>32</v>
      </c>
      <c r="E15" s="287">
        <f t="shared" si="1"/>
        <v>54</v>
      </c>
    </row>
    <row r="16" spans="1:10" x14ac:dyDescent="0.35">
      <c r="B16" s="302" t="s">
        <v>109</v>
      </c>
      <c r="C16" s="287">
        <f>SUM(BP74,AV112)</f>
        <v>135</v>
      </c>
      <c r="D16" s="287">
        <f>SUM(BP74:BQ74,AV112:AW112)</f>
        <v>216</v>
      </c>
      <c r="E16" s="287">
        <f>SUM(BP74:BR74,AV112:AX112)</f>
        <v>365</v>
      </c>
    </row>
    <row r="17" spans="1:5" x14ac:dyDescent="0.35">
      <c r="B17" s="14"/>
      <c r="C17" s="1"/>
      <c r="D17" s="1"/>
      <c r="E17" s="1"/>
    </row>
    <row r="18" spans="1:5" ht="21" x14ac:dyDescent="0.5">
      <c r="A18" s="284" t="s">
        <v>76</v>
      </c>
      <c r="B18" s="14"/>
      <c r="C18" s="1"/>
      <c r="D18" s="1"/>
      <c r="E18" s="1"/>
    </row>
    <row r="19" spans="1:5" x14ac:dyDescent="0.35">
      <c r="B19" s="14"/>
      <c r="C19" s="1"/>
      <c r="D19" s="1"/>
      <c r="E19" s="1"/>
    </row>
    <row r="20" spans="1:5" x14ac:dyDescent="0.35">
      <c r="A20" s="11" t="s">
        <v>306</v>
      </c>
      <c r="C20" s="153" t="s">
        <v>50</v>
      </c>
      <c r="D20" s="153" t="s">
        <v>51</v>
      </c>
      <c r="E20" s="153" t="s">
        <v>52</v>
      </c>
    </row>
    <row r="21" spans="1:5" x14ac:dyDescent="0.35">
      <c r="B21" s="302" t="s">
        <v>82</v>
      </c>
      <c r="C21" s="87">
        <f>AN75</f>
        <v>1880000</v>
      </c>
      <c r="D21" s="87">
        <f>AU75</f>
        <v>1148163</v>
      </c>
      <c r="E21" s="87">
        <f>BB75</f>
        <v>2149102.2599999998</v>
      </c>
    </row>
    <row r="22" spans="1:5" x14ac:dyDescent="0.35">
      <c r="B22" s="302" t="s">
        <v>85</v>
      </c>
      <c r="C22" s="87">
        <f>SUM(Z109:AA109)</f>
        <v>3420000</v>
      </c>
      <c r="D22" s="87">
        <f>SUM(AG109:AH109)</f>
        <v>2251000</v>
      </c>
      <c r="E22" s="87">
        <f>SUM(AN109:AO109)</f>
        <v>3951000</v>
      </c>
    </row>
    <row r="23" spans="1:5" x14ac:dyDescent="0.35">
      <c r="B23" s="302" t="s">
        <v>109</v>
      </c>
      <c r="C23" s="87">
        <f>AO75+AB109</f>
        <v>675000</v>
      </c>
      <c r="D23" s="87">
        <f>AV75+AI109</f>
        <v>405000</v>
      </c>
      <c r="E23" s="87">
        <f>BC75+AP109</f>
        <v>745000</v>
      </c>
    </row>
    <row r="24" spans="1:5" x14ac:dyDescent="0.35">
      <c r="B24" s="26" t="s">
        <v>310</v>
      </c>
      <c r="C24" s="290">
        <f>SUM(C21:C23)</f>
        <v>5975000</v>
      </c>
      <c r="D24" s="290">
        <f t="shared" ref="D24:E24" si="2">SUM(D21:D23)</f>
        <v>3804163</v>
      </c>
      <c r="E24" s="290">
        <f t="shared" si="2"/>
        <v>6845102.2599999998</v>
      </c>
    </row>
    <row r="25" spans="1:5" x14ac:dyDescent="0.35">
      <c r="A25" s="11" t="s">
        <v>307</v>
      </c>
      <c r="C25" s="1"/>
      <c r="D25" s="1"/>
      <c r="E25" s="1"/>
    </row>
    <row r="26" spans="1:5" x14ac:dyDescent="0.35">
      <c r="B26" t="s">
        <v>234</v>
      </c>
      <c r="C26" s="87">
        <f>C147</f>
        <v>232534.31960000002</v>
      </c>
      <c r="D26" s="87">
        <f t="shared" ref="D26:E26" si="3">D147</f>
        <v>376659.4056</v>
      </c>
      <c r="E26" s="87">
        <f t="shared" si="3"/>
        <v>636881.56880000001</v>
      </c>
    </row>
    <row r="27" spans="1:5" x14ac:dyDescent="0.35">
      <c r="B27" s="302" t="s">
        <v>110</v>
      </c>
      <c r="C27" s="87">
        <f>C158</f>
        <v>2028000</v>
      </c>
      <c r="D27" s="87">
        <f>D158</f>
        <v>2088840</v>
      </c>
      <c r="E27" s="87">
        <f>E158</f>
        <v>2151505.2000000002</v>
      </c>
    </row>
    <row r="28" spans="1:5" x14ac:dyDescent="0.35">
      <c r="B28" t="s">
        <v>363</v>
      </c>
      <c r="C28" s="87">
        <f>SUM(C148:C150)</f>
        <v>859628.54255064356</v>
      </c>
      <c r="D28" s="87">
        <f t="shared" ref="D28:E28" si="4">SUM(D148:D150)</f>
        <v>2700158.3821026436</v>
      </c>
      <c r="E28" s="87">
        <f t="shared" si="4"/>
        <v>3876370.2305186437</v>
      </c>
    </row>
    <row r="29" spans="1:5" x14ac:dyDescent="0.35">
      <c r="B29" t="s">
        <v>311</v>
      </c>
      <c r="C29" s="87">
        <f>C140</f>
        <v>20447081.720664378</v>
      </c>
      <c r="D29" s="87">
        <f>D140</f>
        <v>0</v>
      </c>
      <c r="E29" s="87">
        <f>E140</f>
        <v>0</v>
      </c>
    </row>
    <row r="30" spans="1:5" x14ac:dyDescent="0.35">
      <c r="B30" s="11" t="s">
        <v>309</v>
      </c>
      <c r="C30" s="290">
        <f>SUM(C26:C29)</f>
        <v>23567244.582815021</v>
      </c>
      <c r="D30" s="290">
        <f t="shared" ref="D30:E30" si="5">SUM(D26:D29)</f>
        <v>5165657.7877026442</v>
      </c>
      <c r="E30" s="290">
        <f t="shared" si="5"/>
        <v>6664756.9993186444</v>
      </c>
    </row>
    <row r="31" spans="1:5" x14ac:dyDescent="0.35">
      <c r="B31" s="11"/>
      <c r="C31" s="290"/>
      <c r="D31" s="290"/>
      <c r="E31" s="290"/>
    </row>
    <row r="32" spans="1:5" x14ac:dyDescent="0.35">
      <c r="A32" s="314" t="s">
        <v>308</v>
      </c>
      <c r="B32" s="321">
        <f>SUM(C32:E32)</f>
        <v>52021924.629836306</v>
      </c>
      <c r="C32" s="313">
        <f>SUM(C24,C30)</f>
        <v>29542244.582815021</v>
      </c>
      <c r="D32" s="313">
        <f>SUM(D24,D30)</f>
        <v>8969820.7877026442</v>
      </c>
      <c r="E32" s="313">
        <f>SUM(E24,E30)</f>
        <v>13509859.259318644</v>
      </c>
    </row>
    <row r="33" spans="1:93" x14ac:dyDescent="0.35">
      <c r="C33" s="1"/>
    </row>
    <row r="34" spans="1:93" x14ac:dyDescent="0.3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111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</row>
    <row r="35" spans="1:93" x14ac:dyDescent="0.35">
      <c r="C35" s="1"/>
    </row>
    <row r="36" spans="1:93" ht="21" x14ac:dyDescent="0.5">
      <c r="A36" s="82" t="s">
        <v>82</v>
      </c>
      <c r="C36" s="1"/>
    </row>
    <row r="37" spans="1:93" x14ac:dyDescent="0.35">
      <c r="C37" s="1"/>
    </row>
    <row r="38" spans="1:93" ht="18.5" x14ac:dyDescent="0.45">
      <c r="A38" s="51" t="s">
        <v>314</v>
      </c>
    </row>
    <row r="39" spans="1:93" ht="16" thickBot="1" x14ac:dyDescent="0.4">
      <c r="G39" s="27" t="s">
        <v>232</v>
      </c>
      <c r="H39" s="27"/>
      <c r="I39" s="27"/>
      <c r="J39" s="27"/>
      <c r="K39" s="27"/>
      <c r="L39" s="27"/>
      <c r="AM39" t="s">
        <v>233</v>
      </c>
    </row>
    <row r="40" spans="1:93" ht="34" customHeight="1" thickBot="1" x14ac:dyDescent="0.4">
      <c r="A40" s="437" t="s">
        <v>338</v>
      </c>
      <c r="B40" s="437"/>
      <c r="C40" s="437"/>
      <c r="D40" s="437"/>
      <c r="E40" s="437"/>
      <c r="F40" s="15"/>
      <c r="G40" s="266" t="s">
        <v>50</v>
      </c>
      <c r="H40" s="263"/>
      <c r="I40" s="263"/>
      <c r="J40" s="263"/>
      <c r="K40" s="263"/>
      <c r="L40" s="263"/>
      <c r="M40" s="263"/>
      <c r="N40" s="263"/>
      <c r="O40" s="95"/>
      <c r="P40" s="105"/>
      <c r="Q40" s="266" t="s">
        <v>51</v>
      </c>
      <c r="R40" s="263"/>
      <c r="S40" s="263"/>
      <c r="T40" s="263"/>
      <c r="U40" s="263"/>
      <c r="V40" s="263"/>
      <c r="W40" s="263"/>
      <c r="X40" s="263"/>
      <c r="Y40" s="263"/>
      <c r="Z40" s="265"/>
      <c r="AA40" s="105"/>
      <c r="AB40" s="268" t="s">
        <v>52</v>
      </c>
      <c r="AC40" s="94"/>
      <c r="AD40" s="94"/>
      <c r="AE40" s="94"/>
      <c r="AF40" s="94"/>
      <c r="AG40" s="94"/>
      <c r="AH40" s="94"/>
      <c r="AI40" s="94"/>
      <c r="AJ40" s="94"/>
      <c r="AK40" s="95"/>
      <c r="AL40" s="105"/>
      <c r="AM40" s="254" t="s">
        <v>50</v>
      </c>
      <c r="AN40" s="99"/>
      <c r="AO40" s="99"/>
      <c r="AP40" s="99"/>
      <c r="AQ40" s="99"/>
      <c r="AR40" s="100"/>
      <c r="AT40" s="254" t="s">
        <v>51</v>
      </c>
      <c r="AU40" s="263"/>
      <c r="AV40" s="263"/>
      <c r="AW40" s="263"/>
      <c r="AX40" s="263"/>
      <c r="AY40" s="265"/>
      <c r="BA40" s="254" t="s">
        <v>52</v>
      </c>
      <c r="BB40" s="94"/>
      <c r="BC40" s="94"/>
      <c r="BD40" s="94"/>
      <c r="BE40" s="94"/>
      <c r="BF40" s="95"/>
      <c r="BI40" s="243" t="s">
        <v>217</v>
      </c>
      <c r="BJ40" s="243" t="s">
        <v>215</v>
      </c>
      <c r="BK40" s="195" t="s">
        <v>214</v>
      </c>
      <c r="BL40" s="170" t="s">
        <v>213</v>
      </c>
      <c r="BO40" s="147" t="s">
        <v>76</v>
      </c>
      <c r="BP40" s="148"/>
      <c r="BQ40" s="148"/>
      <c r="BR40" s="148"/>
      <c r="BS40" s="149"/>
    </row>
    <row r="41" spans="1:93" ht="51" customHeight="1" thickBot="1" x14ac:dyDescent="0.4">
      <c r="A41" s="46" t="s">
        <v>69</v>
      </c>
      <c r="B41" s="230"/>
      <c r="C41" s="231"/>
      <c r="D41" s="231"/>
      <c r="E41" s="232"/>
      <c r="F41" s="15"/>
      <c r="G41" s="418" t="s">
        <v>53</v>
      </c>
      <c r="H41" s="416" t="s">
        <v>55</v>
      </c>
      <c r="I41" s="417"/>
      <c r="J41" s="417"/>
      <c r="K41" s="417"/>
      <c r="L41" s="417"/>
      <c r="M41" s="423" t="s">
        <v>80</v>
      </c>
      <c r="N41" s="417" t="s">
        <v>57</v>
      </c>
      <c r="O41" s="420" t="s">
        <v>241</v>
      </c>
      <c r="P41" s="60"/>
      <c r="Q41" s="418" t="s">
        <v>53</v>
      </c>
      <c r="R41" s="417" t="s">
        <v>79</v>
      </c>
      <c r="S41" s="417"/>
      <c r="T41" s="417"/>
      <c r="U41" s="417"/>
      <c r="V41" s="417"/>
      <c r="W41" s="423" t="s">
        <v>104</v>
      </c>
      <c r="X41" s="423" t="s">
        <v>72</v>
      </c>
      <c r="Y41" s="423" t="s">
        <v>74</v>
      </c>
      <c r="Z41" s="420" t="s">
        <v>241</v>
      </c>
      <c r="AA41" s="60"/>
      <c r="AB41" s="414" t="s">
        <v>53</v>
      </c>
      <c r="AC41" s="416" t="s">
        <v>55</v>
      </c>
      <c r="AD41" s="417"/>
      <c r="AE41" s="417"/>
      <c r="AF41" s="417"/>
      <c r="AG41" s="417"/>
      <c r="AH41" s="423" t="s">
        <v>78</v>
      </c>
      <c r="AI41" s="423" t="s">
        <v>72</v>
      </c>
      <c r="AJ41" s="423" t="s">
        <v>74</v>
      </c>
      <c r="AK41" s="420" t="s">
        <v>241</v>
      </c>
      <c r="AL41" s="144"/>
      <c r="AM41" s="415" t="s">
        <v>53</v>
      </c>
      <c r="AN41" s="416" t="s">
        <v>56</v>
      </c>
      <c r="AO41" s="417" t="s">
        <v>58</v>
      </c>
      <c r="AP41" s="423" t="s">
        <v>242</v>
      </c>
      <c r="AQ41" s="423" t="s">
        <v>60</v>
      </c>
      <c r="AR41" s="420" t="s">
        <v>97</v>
      </c>
      <c r="AT41" s="418" t="s">
        <v>53</v>
      </c>
      <c r="AU41" s="423" t="s">
        <v>73</v>
      </c>
      <c r="AV41" s="423" t="s">
        <v>75</v>
      </c>
      <c r="AW41" s="423" t="s">
        <v>242</v>
      </c>
      <c r="AX41" s="423" t="s">
        <v>60</v>
      </c>
      <c r="AY41" s="420" t="s">
        <v>97</v>
      </c>
      <c r="BA41" s="418" t="s">
        <v>53</v>
      </c>
      <c r="BB41" s="423" t="s">
        <v>73</v>
      </c>
      <c r="BC41" s="423" t="s">
        <v>75</v>
      </c>
      <c r="BD41" s="423" t="s">
        <v>242</v>
      </c>
      <c r="BE41" s="423" t="s">
        <v>60</v>
      </c>
      <c r="BF41" s="420" t="s">
        <v>97</v>
      </c>
      <c r="BI41" s="433"/>
      <c r="BJ41" s="433"/>
      <c r="BK41" s="433"/>
      <c r="BL41" s="431"/>
      <c r="BO41" s="92"/>
      <c r="BP41" s="146" t="s">
        <v>50</v>
      </c>
      <c r="BQ41" s="79" t="s">
        <v>51</v>
      </c>
      <c r="BR41" s="79" t="s">
        <v>52</v>
      </c>
      <c r="BS41" s="81" t="s">
        <v>77</v>
      </c>
    </row>
    <row r="42" spans="1:93" ht="16" thickBot="1" x14ac:dyDescent="0.4">
      <c r="A42" s="35"/>
      <c r="B42" s="73" t="s">
        <v>164</v>
      </c>
      <c r="C42" s="209" t="s">
        <v>50</v>
      </c>
      <c r="D42" s="209" t="s">
        <v>51</v>
      </c>
      <c r="E42" s="210" t="s">
        <v>52</v>
      </c>
      <c r="F42" s="15"/>
      <c r="G42" s="415"/>
      <c r="H42" s="426" t="s">
        <v>163</v>
      </c>
      <c r="I42" s="427"/>
      <c r="J42" s="427"/>
      <c r="K42" s="427" t="s">
        <v>47</v>
      </c>
      <c r="L42" s="427" t="s">
        <v>31</v>
      </c>
      <c r="M42" s="424"/>
      <c r="N42" s="427"/>
      <c r="O42" s="421"/>
      <c r="P42" s="60"/>
      <c r="Q42" s="415"/>
      <c r="R42" s="427" t="s">
        <v>163</v>
      </c>
      <c r="S42" s="427"/>
      <c r="T42" s="427"/>
      <c r="U42" s="427" t="s">
        <v>47</v>
      </c>
      <c r="V42" s="427" t="s">
        <v>31</v>
      </c>
      <c r="W42" s="424"/>
      <c r="X42" s="424"/>
      <c r="Y42" s="424"/>
      <c r="Z42" s="421"/>
      <c r="AA42" s="60"/>
      <c r="AB42" s="415"/>
      <c r="AC42" s="426" t="s">
        <v>163</v>
      </c>
      <c r="AD42" s="427"/>
      <c r="AE42" s="427"/>
      <c r="AF42" s="427" t="s">
        <v>47</v>
      </c>
      <c r="AG42" s="427" t="s">
        <v>31</v>
      </c>
      <c r="AH42" s="424"/>
      <c r="AI42" s="424"/>
      <c r="AJ42" s="424"/>
      <c r="AK42" s="421"/>
      <c r="AL42" s="144"/>
      <c r="AM42" s="415"/>
      <c r="AN42" s="426"/>
      <c r="AO42" s="427"/>
      <c r="AP42" s="424"/>
      <c r="AQ42" s="424"/>
      <c r="AR42" s="421"/>
      <c r="AT42" s="415"/>
      <c r="AU42" s="424"/>
      <c r="AV42" s="424"/>
      <c r="AW42" s="424"/>
      <c r="AX42" s="424"/>
      <c r="AY42" s="421"/>
      <c r="BA42" s="415"/>
      <c r="BB42" s="424"/>
      <c r="BC42" s="424"/>
      <c r="BD42" s="424"/>
      <c r="BE42" s="424"/>
      <c r="BF42" s="421"/>
      <c r="BI42" s="431"/>
      <c r="BJ42" s="431"/>
      <c r="BK42" s="431"/>
      <c r="BL42" s="431"/>
      <c r="BO42" s="254" t="s">
        <v>91</v>
      </c>
      <c r="BP42" s="260">
        <f>AR45</f>
        <v>1111007</v>
      </c>
      <c r="BQ42" s="260">
        <f>AY45</f>
        <v>606631</v>
      </c>
      <c r="BR42" s="260">
        <f>BF45</f>
        <v>1484106.58</v>
      </c>
      <c r="BS42" s="269">
        <f>SUM(BP42:BR42)</f>
        <v>3201744.58</v>
      </c>
    </row>
    <row r="43" spans="1:93" ht="16" thickBot="1" x14ac:dyDescent="0.4">
      <c r="A43" s="35"/>
      <c r="B43" s="112" t="s">
        <v>48</v>
      </c>
      <c r="C43" s="138">
        <f>SUM(Storage!$E$9:$E$11)</f>
        <v>522240</v>
      </c>
      <c r="D43" s="138">
        <f>SUM(Storage!$E$9:$E$11)</f>
        <v>522240</v>
      </c>
      <c r="E43" s="141">
        <f>SUM(Storage!$E$9:$E$11)</f>
        <v>522240</v>
      </c>
      <c r="F43" s="15"/>
      <c r="G43" s="419"/>
      <c r="H43" s="267">
        <v>0.4</v>
      </c>
      <c r="I43" s="264">
        <v>0.6</v>
      </c>
      <c r="J43" s="264">
        <v>0.8</v>
      </c>
      <c r="K43" s="428"/>
      <c r="L43" s="428"/>
      <c r="M43" s="425"/>
      <c r="N43" s="428"/>
      <c r="O43" s="422"/>
      <c r="P43" s="60"/>
      <c r="Q43" s="419"/>
      <c r="R43" s="264">
        <v>0.4</v>
      </c>
      <c r="S43" s="264">
        <v>0.6</v>
      </c>
      <c r="T43" s="264">
        <v>0.8</v>
      </c>
      <c r="U43" s="428"/>
      <c r="V43" s="428"/>
      <c r="W43" s="425"/>
      <c r="X43" s="425"/>
      <c r="Y43" s="425"/>
      <c r="Z43" s="422"/>
      <c r="AA43" s="60"/>
      <c r="AB43" s="415"/>
      <c r="AC43" s="267">
        <v>0.4</v>
      </c>
      <c r="AD43" s="264">
        <v>0.6</v>
      </c>
      <c r="AE43" s="264">
        <v>0.8</v>
      </c>
      <c r="AF43" s="428"/>
      <c r="AG43" s="428"/>
      <c r="AH43" s="425"/>
      <c r="AI43" s="425"/>
      <c r="AJ43" s="425"/>
      <c r="AK43" s="422"/>
      <c r="AL43" s="144"/>
      <c r="AM43" s="415"/>
      <c r="AN43" s="429"/>
      <c r="AO43" s="428"/>
      <c r="AP43" s="425"/>
      <c r="AQ43" s="425"/>
      <c r="AR43" s="422"/>
      <c r="AT43" s="419"/>
      <c r="AU43" s="425"/>
      <c r="AV43" s="425"/>
      <c r="AW43" s="425"/>
      <c r="AX43" s="425"/>
      <c r="AY43" s="422"/>
      <c r="BA43" s="419"/>
      <c r="BB43" s="425"/>
      <c r="BC43" s="425"/>
      <c r="BD43" s="425"/>
      <c r="BE43" s="425"/>
      <c r="BF43" s="422"/>
      <c r="BI43" s="432"/>
      <c r="BJ43" s="432"/>
      <c r="BK43" s="432"/>
      <c r="BL43" s="432"/>
      <c r="BO43" s="92" t="s">
        <v>235</v>
      </c>
      <c r="BP43" s="270">
        <f>M45</f>
        <v>349</v>
      </c>
      <c r="BQ43" s="270">
        <f>X45</f>
        <v>124</v>
      </c>
      <c r="BR43" s="270">
        <f>AI45</f>
        <v>367</v>
      </c>
      <c r="BS43" s="215">
        <f>SUM(BP43:BR43)</f>
        <v>840</v>
      </c>
    </row>
    <row r="44" spans="1:93" x14ac:dyDescent="0.35">
      <c r="A44" s="35"/>
      <c r="B44" s="112" t="s">
        <v>146</v>
      </c>
      <c r="C44" s="138">
        <f>'CPU (Workload)'!$D$17</f>
        <v>8384.3812499999985</v>
      </c>
      <c r="D44" s="138">
        <f>'CPU (Workload)'!$D$19</f>
        <v>19868.499999999996</v>
      </c>
      <c r="E44" s="141">
        <f>'CPU (Workload)'!$D$21</f>
        <v>35323.174999999996</v>
      </c>
      <c r="F44" s="15"/>
      <c r="G44" s="235" t="s">
        <v>32</v>
      </c>
      <c r="H44" s="12">
        <f>ROUNDUP($C44/(gen_l_tps40/2),0)</f>
        <v>23</v>
      </c>
      <c r="I44" s="12">
        <f>ROUNDUP($C44/(gen_l_tps60/2),0)</f>
        <v>15</v>
      </c>
      <c r="J44" s="12">
        <f>ROUNDUP($C44/(gen_l_tps80/2),0)</f>
        <v>12</v>
      </c>
      <c r="K44" s="9">
        <f>ROUNDUP($C43/gen_l_disk,0)</f>
        <v>820</v>
      </c>
      <c r="L44" s="9">
        <f>ROUNDUP($C45/gen_l_bw,0)</f>
        <v>399</v>
      </c>
      <c r="M44" s="9">
        <f>MAX(J44:L44)</f>
        <v>820</v>
      </c>
      <c r="N44" s="9">
        <f>ROUNDUP(M44/gen_l_spr80,0)</f>
        <v>75</v>
      </c>
      <c r="O44" s="76">
        <f>ROUND(M44*gen_l_pow80*24*365,0)</f>
        <v>1867632</v>
      </c>
      <c r="P44" s="67"/>
      <c r="Q44" s="235" t="s">
        <v>32</v>
      </c>
      <c r="R44" s="12">
        <f>ROUNDUP($D44/(gen_l_tps40),0)</f>
        <v>27</v>
      </c>
      <c r="S44" s="12">
        <f>ROUNDUP($D44/(gen_l_tps60),0)</f>
        <v>18</v>
      </c>
      <c r="T44" s="12">
        <f>ROUNDUP($D44/(gen_l_tps80),0)</f>
        <v>14</v>
      </c>
      <c r="U44" s="9">
        <f>ROUNDUP($D43/gen_l_disk,0)</f>
        <v>820</v>
      </c>
      <c r="V44" s="9">
        <f>ROUNDUP($D45/gen_l_bw,0)</f>
        <v>945</v>
      </c>
      <c r="W44" s="9">
        <f>MAX(T44:V44)</f>
        <v>945</v>
      </c>
      <c r="X44" s="9">
        <f>W44-M44</f>
        <v>125</v>
      </c>
      <c r="Y44" s="9">
        <f>ROUNDUP(X44/gen_l_spr80,0)</f>
        <v>12</v>
      </c>
      <c r="Z44" s="76">
        <f>ROUND((W44)*gen_l_pow80*24*365,0)</f>
        <v>2152332</v>
      </c>
      <c r="AA44" s="67"/>
      <c r="AB44" s="235" t="s">
        <v>32</v>
      </c>
      <c r="AC44" s="12">
        <f>ROUNDUP($E44/(gen_l_tps40),0)</f>
        <v>48</v>
      </c>
      <c r="AD44" s="12">
        <f>ROUNDUP($E44/(gen_l_tps60),0)</f>
        <v>32</v>
      </c>
      <c r="AE44" s="12">
        <f>ROUNDUP($E44/(gen_l_tps80),0)</f>
        <v>24</v>
      </c>
      <c r="AF44" s="9">
        <f>ROUNDUP($E43/gen_l_disk,0)</f>
        <v>820</v>
      </c>
      <c r="AG44" s="9">
        <f>ROUNDUP($E45/gen_l_bw,0)</f>
        <v>1679</v>
      </c>
      <c r="AH44" s="9">
        <f>MAX(AE44:AG44)</f>
        <v>1679</v>
      </c>
      <c r="AI44" s="9">
        <f>AH44-W44</f>
        <v>734</v>
      </c>
      <c r="AJ44" s="9">
        <f>ROUNDUP(AI44/gen_l_spr80,0)</f>
        <v>67</v>
      </c>
      <c r="AK44" s="76">
        <f>ROUND((AH44)*gen_l_pow80*24*365,0)</f>
        <v>3824090</v>
      </c>
      <c r="AL44" s="67"/>
      <c r="AM44" s="235" t="s">
        <v>32</v>
      </c>
      <c r="AN44" s="36">
        <f>M44*gen_l_cost</f>
        <v>697000</v>
      </c>
      <c r="AO44" s="36">
        <f>N44*rack_cost</f>
        <v>375000</v>
      </c>
      <c r="AP44" s="36">
        <f>ROUND(O44*kwh_cost,0)</f>
        <v>95996</v>
      </c>
      <c r="AQ44" s="36">
        <v>0</v>
      </c>
      <c r="AR44" s="72">
        <f>SUM(AN44,AO44,AP44)</f>
        <v>1167996</v>
      </c>
      <c r="AT44" s="235" t="s">
        <v>32</v>
      </c>
      <c r="AU44" s="36">
        <f>X44*gen_l_cost*1.02</f>
        <v>108375</v>
      </c>
      <c r="AV44" s="36">
        <f>Y44*rack_cost</f>
        <v>60000</v>
      </c>
      <c r="AW44" s="36">
        <f>ROUND(Z44*kwh_cost,0)</f>
        <v>110630</v>
      </c>
      <c r="AX44" s="36">
        <f>AN44*hw_supt</f>
        <v>139400</v>
      </c>
      <c r="AY44" s="72">
        <f>SUM(AU44,AV44,AW44,AX44)</f>
        <v>418405</v>
      </c>
      <c r="BA44" s="235" t="s">
        <v>32</v>
      </c>
      <c r="BB44" s="36">
        <f>AI44*gen_l_cost*1.0404</f>
        <v>649105.55999999994</v>
      </c>
      <c r="BC44" s="36">
        <f>AJ44*rack_cost</f>
        <v>335000</v>
      </c>
      <c r="BD44" s="36">
        <f>ROUND(AK44*kwh_cost,0)</f>
        <v>196558</v>
      </c>
      <c r="BE44" s="36">
        <f>(AN44+AU44)*hw_supt</f>
        <v>161075</v>
      </c>
      <c r="BF44" s="72">
        <f>SUM(BB44,BC44,BD44,BE44)</f>
        <v>1341738.56</v>
      </c>
      <c r="BI44" s="188">
        <f>SUM(AH44)</f>
        <v>1679</v>
      </c>
      <c r="BJ44" s="188">
        <f>SUM(AJ44,Y44,N44)</f>
        <v>154</v>
      </c>
      <c r="BK44" s="188">
        <f>SUM(AK44,Z44,O44)</f>
        <v>7844054</v>
      </c>
      <c r="BL44" s="245">
        <f>SUM(AR44,AY44,BF44)</f>
        <v>2928139.56</v>
      </c>
      <c r="BO44" s="235" t="s">
        <v>236</v>
      </c>
      <c r="BP44" s="9">
        <f>N45</f>
        <v>50</v>
      </c>
      <c r="BQ44" s="9">
        <f>Y45</f>
        <v>18</v>
      </c>
      <c r="BR44" s="9">
        <f>AJ45</f>
        <v>53</v>
      </c>
      <c r="BS44" s="188">
        <f t="shared" ref="BS44:BS45" si="6">SUM(BP44:BR44)</f>
        <v>121</v>
      </c>
    </row>
    <row r="45" spans="1:93" ht="16" thickBot="1" x14ac:dyDescent="0.4">
      <c r="A45" s="39"/>
      <c r="B45" s="113" t="s">
        <v>49</v>
      </c>
      <c r="C45" s="44">
        <f>Bandwidth!$O$7</f>
        <v>298.77910271999997</v>
      </c>
      <c r="D45" s="44">
        <f>Bandwidth!$O$9</f>
        <v>708.01797119999981</v>
      </c>
      <c r="E45" s="45">
        <f>Bandwidth!$O$11</f>
        <v>1258.7484057599997</v>
      </c>
      <c r="F45" s="15"/>
      <c r="G45" s="93" t="s">
        <v>41</v>
      </c>
      <c r="H45" s="74">
        <f>ROUNDUP($C44/(gen_xl_tps40/2),0)</f>
        <v>10</v>
      </c>
      <c r="I45" s="74">
        <f>ROUNDUP($C44/(gen_xl_tps60/2),0)</f>
        <v>7</v>
      </c>
      <c r="J45" s="74">
        <f>ROUNDUP($C44/(gen_xl_tps80/2),0)</f>
        <v>5</v>
      </c>
      <c r="K45" s="69">
        <f>ROUNDUP($C43/gen_xl_disk,0)</f>
        <v>349</v>
      </c>
      <c r="L45" s="69">
        <f>ROUNDUP($C45/gen_xl_bw,0)</f>
        <v>200</v>
      </c>
      <c r="M45" s="69">
        <f>MAX(J45:L45)</f>
        <v>349</v>
      </c>
      <c r="N45" s="69">
        <f>ROUNDUP(M45/gen_xl_spr80,0)</f>
        <v>50</v>
      </c>
      <c r="O45" s="77">
        <f>ROUND(M45*gen_l_pow80*24*365,0)</f>
        <v>794882</v>
      </c>
      <c r="P45" s="67"/>
      <c r="Q45" s="93" t="s">
        <v>41</v>
      </c>
      <c r="R45" s="74">
        <f>ROUNDUP($D44/(gen_xl_tps40),0) - H45</f>
        <v>2</v>
      </c>
      <c r="S45" s="74">
        <f>ROUNDUP($D44/(gen_xl_tps60),0)</f>
        <v>8</v>
      </c>
      <c r="T45" s="74">
        <f>ROUNDUP($D44/(gen_xl_tps80),0)</f>
        <v>6</v>
      </c>
      <c r="U45" s="69">
        <f>ROUNDUP($D43/gen_xl_disk,0)</f>
        <v>349</v>
      </c>
      <c r="V45" s="69">
        <f>ROUNDUP($D45/gen_xl_bw,0)</f>
        <v>473</v>
      </c>
      <c r="W45" s="69">
        <f>MAX(T45:V45)</f>
        <v>473</v>
      </c>
      <c r="X45" s="69">
        <f>W45-M45</f>
        <v>124</v>
      </c>
      <c r="Y45" s="69">
        <f>ROUNDUP(X45/gen_xl_spr80,0)</f>
        <v>18</v>
      </c>
      <c r="Z45" s="77">
        <f>ROUND((W45)*gen_l_pow80*24*365,0)</f>
        <v>1077305</v>
      </c>
      <c r="AA45" s="67"/>
      <c r="AB45" s="93" t="s">
        <v>41</v>
      </c>
      <c r="AC45" s="74">
        <f>ROUNDUP($E44/(gen_xl_tps40),0)</f>
        <v>20</v>
      </c>
      <c r="AD45" s="74">
        <f>ROUNDUP($E44/(gen_xl_tps60),0)</f>
        <v>14</v>
      </c>
      <c r="AE45" s="74">
        <f>ROUNDUP($E44/(gen_xl_tps80),0)</f>
        <v>10</v>
      </c>
      <c r="AF45" s="69">
        <f>ROUNDUP($E43/gen_xl_disk,0)</f>
        <v>349</v>
      </c>
      <c r="AG45" s="69">
        <f>ROUNDUP($E45/gen_xl_bw,0)</f>
        <v>840</v>
      </c>
      <c r="AH45" s="69">
        <f>MAX(AE45:AG45)</f>
        <v>840</v>
      </c>
      <c r="AI45" s="69">
        <f>AH45-W45</f>
        <v>367</v>
      </c>
      <c r="AJ45" s="69">
        <f>ROUNDUP(AI45/gen_xl_spr80,0)</f>
        <v>53</v>
      </c>
      <c r="AK45" s="77">
        <f>ROUND((AH45)*gen_l_pow80*24*365,0)</f>
        <v>1913184</v>
      </c>
      <c r="AL45" s="67"/>
      <c r="AM45" s="93" t="s">
        <v>41</v>
      </c>
      <c r="AN45" s="75">
        <f>M45*gen_xl_cost</f>
        <v>820150</v>
      </c>
      <c r="AO45" s="75">
        <f>N45*rack_cost</f>
        <v>250000</v>
      </c>
      <c r="AP45" s="75">
        <f>ROUND(O45*kwh_cost,0)</f>
        <v>40857</v>
      </c>
      <c r="AQ45" s="75">
        <v>0</v>
      </c>
      <c r="AR45" s="320">
        <f>SUM(AN45,AO45,AP45)</f>
        <v>1111007</v>
      </c>
      <c r="AT45" s="93" t="s">
        <v>41</v>
      </c>
      <c r="AU45" s="75">
        <f>X45*gen_xl_cost*1.02</f>
        <v>297228</v>
      </c>
      <c r="AV45" s="75">
        <f>Y45*rack_cost</f>
        <v>90000</v>
      </c>
      <c r="AW45" s="75">
        <f>ROUND(Z45*kwh_cost,0)</f>
        <v>55373</v>
      </c>
      <c r="AX45" s="75">
        <f>AN45*hw_supt</f>
        <v>164030</v>
      </c>
      <c r="AY45" s="320">
        <f>SUM(AU45,AV45,AW45,AX45)</f>
        <v>606631</v>
      </c>
      <c r="BA45" s="93" t="s">
        <v>41</v>
      </c>
      <c r="BB45" s="75">
        <f>AI45*gen_xl_cost*1.0404</f>
        <v>897292.98</v>
      </c>
      <c r="BC45" s="75">
        <f>AJ45*rack_cost</f>
        <v>265000</v>
      </c>
      <c r="BD45" s="75">
        <f>ROUND(AK45*kwh_cost,0)</f>
        <v>98338</v>
      </c>
      <c r="BE45" s="75">
        <f>(AN45+AU45)*hw_supt</f>
        <v>223475.6</v>
      </c>
      <c r="BF45" s="320">
        <f>SUM(BB45,BC45,BD45,BE45)</f>
        <v>1484106.58</v>
      </c>
      <c r="BI45" s="189">
        <f>SUM(AH45)</f>
        <v>840</v>
      </c>
      <c r="BJ45" s="189">
        <f>SUM(AJ45,Y45,N45)</f>
        <v>121</v>
      </c>
      <c r="BK45" s="189">
        <f>SUM(AK45,Z45,O45)</f>
        <v>3785371</v>
      </c>
      <c r="BL45" s="246">
        <f>SUM(AR45,AY45,BF45)</f>
        <v>3201744.58</v>
      </c>
      <c r="BM45" t="s">
        <v>216</v>
      </c>
      <c r="BO45" s="93" t="s">
        <v>234</v>
      </c>
      <c r="BP45" s="69">
        <f>O45</f>
        <v>794882</v>
      </c>
      <c r="BQ45" s="69">
        <f>Z45</f>
        <v>1077305</v>
      </c>
      <c r="BR45" s="69">
        <f>AK45</f>
        <v>1913184</v>
      </c>
      <c r="BS45" s="189">
        <f t="shared" si="6"/>
        <v>3785371</v>
      </c>
    </row>
    <row r="46" spans="1:93" x14ac:dyDescent="0.35">
      <c r="F46" s="15"/>
      <c r="U46"/>
      <c r="AA46" s="15"/>
    </row>
    <row r="47" spans="1:93" ht="18.5" x14ac:dyDescent="0.45">
      <c r="A47" s="51" t="s">
        <v>313</v>
      </c>
      <c r="F47" s="15"/>
      <c r="U47"/>
      <c r="AA47" s="15"/>
    </row>
    <row r="48" spans="1:93" ht="16" thickBot="1" x14ac:dyDescent="0.4">
      <c r="F48" s="15"/>
      <c r="U48"/>
      <c r="AA48" s="15"/>
    </row>
    <row r="49" spans="1:71" ht="34" customHeight="1" thickBot="1" x14ac:dyDescent="0.4">
      <c r="A49" s="437" t="s">
        <v>338</v>
      </c>
      <c r="B49" s="437"/>
      <c r="C49" s="437"/>
      <c r="D49" s="437"/>
      <c r="E49" s="437"/>
      <c r="F49" s="15"/>
      <c r="G49" s="266" t="s">
        <v>50</v>
      </c>
      <c r="H49" s="263"/>
      <c r="I49" s="263"/>
      <c r="J49" s="263"/>
      <c r="K49" s="263"/>
      <c r="L49" s="263"/>
      <c r="M49" s="263"/>
      <c r="N49" s="263"/>
      <c r="O49" s="265"/>
      <c r="P49" s="105"/>
      <c r="Q49" s="266" t="s">
        <v>51</v>
      </c>
      <c r="R49" s="263"/>
      <c r="S49" s="263"/>
      <c r="T49" s="263"/>
      <c r="U49" s="263"/>
      <c r="V49" s="263"/>
      <c r="W49" s="263"/>
      <c r="X49" s="263"/>
      <c r="Y49" s="263"/>
      <c r="Z49" s="265"/>
      <c r="AA49" s="105"/>
      <c r="AB49" s="268" t="s">
        <v>52</v>
      </c>
      <c r="AC49" s="263"/>
      <c r="AD49" s="263"/>
      <c r="AE49" s="263"/>
      <c r="AF49" s="263"/>
      <c r="AG49" s="263"/>
      <c r="AH49" s="263"/>
      <c r="AI49" s="263"/>
      <c r="AJ49" s="263"/>
      <c r="AK49" s="265"/>
      <c r="AL49" s="105"/>
      <c r="AM49" s="254" t="s">
        <v>50</v>
      </c>
      <c r="AN49" s="99"/>
      <c r="AO49" s="99"/>
      <c r="AP49" s="99"/>
      <c r="AQ49" s="99"/>
      <c r="AR49" s="100"/>
      <c r="AT49" s="254" t="s">
        <v>51</v>
      </c>
      <c r="AU49" s="96"/>
      <c r="AV49" s="96"/>
      <c r="AW49" s="96"/>
      <c r="AX49" s="96"/>
      <c r="AY49" s="97"/>
      <c r="BA49" s="254" t="s">
        <v>52</v>
      </c>
      <c r="BB49" s="96"/>
      <c r="BC49" s="96"/>
      <c r="BD49" s="96"/>
      <c r="BE49" s="96"/>
      <c r="BF49" s="97"/>
      <c r="BI49" s="243" t="s">
        <v>217</v>
      </c>
      <c r="BJ49" s="243" t="s">
        <v>215</v>
      </c>
      <c r="BK49" s="195" t="s">
        <v>214</v>
      </c>
      <c r="BL49" s="170" t="s">
        <v>213</v>
      </c>
      <c r="BO49" s="147" t="s">
        <v>76</v>
      </c>
      <c r="BP49" s="148"/>
      <c r="BQ49" s="148"/>
      <c r="BR49" s="148"/>
      <c r="BS49" s="149"/>
    </row>
    <row r="50" spans="1:71" ht="51" customHeight="1" thickBot="1" x14ac:dyDescent="0.4">
      <c r="A50" s="46" t="s">
        <v>62</v>
      </c>
      <c r="B50" s="41"/>
      <c r="C50" s="42"/>
      <c r="D50" s="42"/>
      <c r="E50" s="43"/>
      <c r="F50" s="15"/>
      <c r="G50" s="418" t="s">
        <v>53</v>
      </c>
      <c r="H50" s="416" t="s">
        <v>55</v>
      </c>
      <c r="I50" s="417"/>
      <c r="J50" s="417"/>
      <c r="K50" s="417"/>
      <c r="L50" s="417"/>
      <c r="M50" s="423" t="s">
        <v>80</v>
      </c>
      <c r="N50" s="417" t="s">
        <v>57</v>
      </c>
      <c r="O50" s="420" t="s">
        <v>241</v>
      </c>
      <c r="P50" s="60"/>
      <c r="Q50" s="418" t="s">
        <v>53</v>
      </c>
      <c r="R50" s="417" t="s">
        <v>79</v>
      </c>
      <c r="S50" s="417"/>
      <c r="T50" s="417"/>
      <c r="U50" s="417"/>
      <c r="V50" s="417"/>
      <c r="W50" s="423" t="s">
        <v>104</v>
      </c>
      <c r="X50" s="423" t="s">
        <v>72</v>
      </c>
      <c r="Y50" s="423" t="s">
        <v>74</v>
      </c>
      <c r="Z50" s="420" t="s">
        <v>241</v>
      </c>
      <c r="AA50" s="60"/>
      <c r="AB50" s="414" t="s">
        <v>53</v>
      </c>
      <c r="AC50" s="416" t="s">
        <v>55</v>
      </c>
      <c r="AD50" s="417"/>
      <c r="AE50" s="417"/>
      <c r="AF50" s="417"/>
      <c r="AG50" s="417"/>
      <c r="AH50" s="423" t="s">
        <v>78</v>
      </c>
      <c r="AI50" s="423" t="s">
        <v>72</v>
      </c>
      <c r="AJ50" s="423" t="s">
        <v>74</v>
      </c>
      <c r="AK50" s="420" t="s">
        <v>241</v>
      </c>
      <c r="AL50" s="144"/>
      <c r="AM50" s="415" t="s">
        <v>53</v>
      </c>
      <c r="AN50" s="416" t="s">
        <v>56</v>
      </c>
      <c r="AO50" s="417" t="s">
        <v>58</v>
      </c>
      <c r="AP50" s="423" t="s">
        <v>242</v>
      </c>
      <c r="AQ50" s="423" t="s">
        <v>60</v>
      </c>
      <c r="AR50" s="420" t="s">
        <v>97</v>
      </c>
      <c r="AT50" s="418" t="s">
        <v>53</v>
      </c>
      <c r="AU50" s="423" t="s">
        <v>73</v>
      </c>
      <c r="AV50" s="423" t="s">
        <v>75</v>
      </c>
      <c r="AW50" s="423" t="s">
        <v>242</v>
      </c>
      <c r="AX50" s="423" t="s">
        <v>60</v>
      </c>
      <c r="AY50" s="420" t="s">
        <v>97</v>
      </c>
      <c r="BA50" s="418" t="s">
        <v>53</v>
      </c>
      <c r="BB50" s="423" t="s">
        <v>73</v>
      </c>
      <c r="BC50" s="423" t="s">
        <v>75</v>
      </c>
      <c r="BD50" s="423" t="s">
        <v>242</v>
      </c>
      <c r="BE50" s="423" t="s">
        <v>60</v>
      </c>
      <c r="BF50" s="420" t="s">
        <v>97</v>
      </c>
      <c r="BI50" s="433"/>
      <c r="BJ50" s="433"/>
      <c r="BK50" s="433"/>
      <c r="BL50" s="433"/>
      <c r="BO50" s="92"/>
      <c r="BP50" s="146" t="s">
        <v>50</v>
      </c>
      <c r="BQ50" s="146" t="s">
        <v>51</v>
      </c>
      <c r="BR50" s="146" t="s">
        <v>52</v>
      </c>
      <c r="BS50" s="81" t="s">
        <v>77</v>
      </c>
    </row>
    <row r="51" spans="1:71" ht="16" thickBot="1" x14ac:dyDescent="0.4">
      <c r="A51" s="35"/>
      <c r="B51" s="35" t="s">
        <v>164</v>
      </c>
      <c r="C51" s="15" t="s">
        <v>50</v>
      </c>
      <c r="D51" s="15" t="s">
        <v>51</v>
      </c>
      <c r="E51" s="38" t="s">
        <v>52</v>
      </c>
      <c r="F51" s="15"/>
      <c r="G51" s="415"/>
      <c r="H51" s="426" t="s">
        <v>163</v>
      </c>
      <c r="I51" s="427"/>
      <c r="J51" s="427"/>
      <c r="K51" s="427" t="s">
        <v>47</v>
      </c>
      <c r="L51" s="427" t="s">
        <v>31</v>
      </c>
      <c r="M51" s="424"/>
      <c r="N51" s="427"/>
      <c r="O51" s="421"/>
      <c r="P51" s="60"/>
      <c r="Q51" s="415"/>
      <c r="R51" s="427" t="s">
        <v>163</v>
      </c>
      <c r="S51" s="427"/>
      <c r="T51" s="427"/>
      <c r="U51" s="427" t="s">
        <v>47</v>
      </c>
      <c r="V51" s="427" t="s">
        <v>31</v>
      </c>
      <c r="W51" s="424"/>
      <c r="X51" s="424"/>
      <c r="Y51" s="424"/>
      <c r="Z51" s="421"/>
      <c r="AA51" s="60"/>
      <c r="AB51" s="415"/>
      <c r="AC51" s="426" t="s">
        <v>163</v>
      </c>
      <c r="AD51" s="427"/>
      <c r="AE51" s="427"/>
      <c r="AF51" s="427" t="s">
        <v>47</v>
      </c>
      <c r="AG51" s="427" t="s">
        <v>31</v>
      </c>
      <c r="AH51" s="424"/>
      <c r="AI51" s="424"/>
      <c r="AJ51" s="424"/>
      <c r="AK51" s="421"/>
      <c r="AL51" s="144"/>
      <c r="AM51" s="415"/>
      <c r="AN51" s="426"/>
      <c r="AO51" s="427"/>
      <c r="AP51" s="424"/>
      <c r="AQ51" s="424"/>
      <c r="AR51" s="421"/>
      <c r="AT51" s="415"/>
      <c r="AU51" s="424"/>
      <c r="AV51" s="424"/>
      <c r="AW51" s="424"/>
      <c r="AX51" s="424"/>
      <c r="AY51" s="421"/>
      <c r="BA51" s="415"/>
      <c r="BB51" s="424"/>
      <c r="BC51" s="424"/>
      <c r="BD51" s="424"/>
      <c r="BE51" s="424"/>
      <c r="BF51" s="421"/>
      <c r="BI51" s="431"/>
      <c r="BJ51" s="431"/>
      <c r="BK51" s="431"/>
      <c r="BL51" s="431"/>
      <c r="BO51" s="254" t="s">
        <v>91</v>
      </c>
      <c r="BP51" s="260">
        <f>AR54</f>
        <v>613677</v>
      </c>
      <c r="BQ51" s="260">
        <f>AY54</f>
        <v>112717</v>
      </c>
      <c r="BR51" s="260">
        <f>BF54</f>
        <v>227387.9</v>
      </c>
      <c r="BS51" s="269">
        <f>SUM(BP51:BR51)</f>
        <v>953781.9</v>
      </c>
    </row>
    <row r="52" spans="1:71" ht="16" thickBot="1" x14ac:dyDescent="0.4">
      <c r="A52" s="35"/>
      <c r="B52" s="112" t="s">
        <v>48</v>
      </c>
      <c r="C52" s="138">
        <f>Storage!$E$15</f>
        <v>288000</v>
      </c>
      <c r="D52" s="138">
        <f>Storage!$E$15</f>
        <v>288000</v>
      </c>
      <c r="E52" s="141">
        <f>Storage!$E$15</f>
        <v>288000</v>
      </c>
      <c r="F52" s="15"/>
      <c r="G52" s="419"/>
      <c r="H52" s="267">
        <v>0.4</v>
      </c>
      <c r="I52" s="264">
        <v>0.6</v>
      </c>
      <c r="J52" s="264">
        <v>0.8</v>
      </c>
      <c r="K52" s="428"/>
      <c r="L52" s="428"/>
      <c r="M52" s="425"/>
      <c r="N52" s="428"/>
      <c r="O52" s="422"/>
      <c r="P52" s="60"/>
      <c r="Q52" s="419"/>
      <c r="R52" s="264">
        <v>0.4</v>
      </c>
      <c r="S52" s="264">
        <v>0.6</v>
      </c>
      <c r="T52" s="264">
        <v>0.8</v>
      </c>
      <c r="U52" s="428"/>
      <c r="V52" s="428"/>
      <c r="W52" s="425"/>
      <c r="X52" s="425"/>
      <c r="Y52" s="425"/>
      <c r="Z52" s="422"/>
      <c r="AA52" s="60"/>
      <c r="AB52" s="415"/>
      <c r="AC52" s="267">
        <v>0.4</v>
      </c>
      <c r="AD52" s="264">
        <v>0.6</v>
      </c>
      <c r="AE52" s="264">
        <v>0.8</v>
      </c>
      <c r="AF52" s="428"/>
      <c r="AG52" s="428"/>
      <c r="AH52" s="425"/>
      <c r="AI52" s="425"/>
      <c r="AJ52" s="425"/>
      <c r="AK52" s="422"/>
      <c r="AL52" s="144"/>
      <c r="AM52" s="415"/>
      <c r="AN52" s="429"/>
      <c r="AO52" s="428"/>
      <c r="AP52" s="425"/>
      <c r="AQ52" s="425"/>
      <c r="AR52" s="422"/>
      <c r="AT52" s="419"/>
      <c r="AU52" s="425"/>
      <c r="AV52" s="425"/>
      <c r="AW52" s="425"/>
      <c r="AX52" s="425"/>
      <c r="AY52" s="422"/>
      <c r="BA52" s="419"/>
      <c r="BB52" s="425"/>
      <c r="BC52" s="425"/>
      <c r="BD52" s="425"/>
      <c r="BE52" s="425"/>
      <c r="BF52" s="422"/>
      <c r="BI52" s="432"/>
      <c r="BJ52" s="432"/>
      <c r="BK52" s="432"/>
      <c r="BL52" s="432"/>
      <c r="BO52" s="92" t="s">
        <v>235</v>
      </c>
      <c r="BP52" s="270">
        <f>M54</f>
        <v>192</v>
      </c>
      <c r="BQ52" s="270">
        <f>X54</f>
        <v>0</v>
      </c>
      <c r="BR52" s="270">
        <f>AI54</f>
        <v>35</v>
      </c>
      <c r="BS52" s="215">
        <f>SUM(BP52:BR52)</f>
        <v>227</v>
      </c>
    </row>
    <row r="53" spans="1:71" ht="17" customHeight="1" x14ac:dyDescent="0.35">
      <c r="A53" s="35"/>
      <c r="B53" s="112" t="s">
        <v>146</v>
      </c>
      <c r="C53" s="138">
        <f>'CPU (Workload)'!$E$17</f>
        <v>1397.3968749999999</v>
      </c>
      <c r="D53" s="138">
        <f>'CPU (Workload)'!$E$19</f>
        <v>3311.4166666666665</v>
      </c>
      <c r="E53" s="141">
        <f>'CPU (Workload)'!$E$21</f>
        <v>5887.1958333333332</v>
      </c>
      <c r="F53" s="15"/>
      <c r="G53" s="235" t="s">
        <v>32</v>
      </c>
      <c r="H53" s="12">
        <f>ROUNDUP($C53/(gen_l_tps40/2),0)</f>
        <v>4</v>
      </c>
      <c r="I53" s="12">
        <f>ROUNDUP($C53/(gen_l_tps60/2),0)</f>
        <v>3</v>
      </c>
      <c r="J53" s="12">
        <f>ROUNDUP($C53/(gen_l_tps80/2),0)</f>
        <v>2</v>
      </c>
      <c r="K53" s="9">
        <f>ROUNDUP($C52/gen_l_disk,0)</f>
        <v>452</v>
      </c>
      <c r="L53" s="9">
        <f>ROUNDUP($C54/gen_l_bw,0)</f>
        <v>108</v>
      </c>
      <c r="M53" s="9">
        <f>MAX(J53:L53)</f>
        <v>452</v>
      </c>
      <c r="N53" s="9">
        <f>ROUNDUP(M53/gen_l_spr80,0)</f>
        <v>42</v>
      </c>
      <c r="O53" s="76">
        <f>ROUND(M53*gen_l_pow80*24*365,0)</f>
        <v>1029475</v>
      </c>
      <c r="P53" s="67"/>
      <c r="Q53" s="235" t="s">
        <v>32</v>
      </c>
      <c r="R53" s="12">
        <f>ROUNDUP($D53/(gen_l_tps40),0)</f>
        <v>5</v>
      </c>
      <c r="S53" s="12">
        <f>ROUNDUP($D53/(gen_l_tps60),0)</f>
        <v>3</v>
      </c>
      <c r="T53" s="12">
        <f>ROUNDUP($D53/(gen_l_tps80),0)</f>
        <v>3</v>
      </c>
      <c r="U53" s="9">
        <f>ROUNDUP($D52/gen_l_disk,0)</f>
        <v>452</v>
      </c>
      <c r="V53" s="9">
        <f>ROUNDUP($D54/gen_l_bw,0)</f>
        <v>255</v>
      </c>
      <c r="W53" s="9">
        <f>MAX(T53:V53)</f>
        <v>452</v>
      </c>
      <c r="X53" s="9">
        <f>W53-M53</f>
        <v>0</v>
      </c>
      <c r="Y53" s="9">
        <f>ROUNDUP(X53/gen_l_spr80,0)</f>
        <v>0</v>
      </c>
      <c r="Z53" s="76">
        <f>ROUND((W53)*gen_l_pow80*24*365,0)</f>
        <v>1029475</v>
      </c>
      <c r="AA53" s="67"/>
      <c r="AB53" s="235" t="s">
        <v>32</v>
      </c>
      <c r="AC53" s="12">
        <f>ROUNDUP($E53/(gen_l_tps40),0)</f>
        <v>8</v>
      </c>
      <c r="AD53" s="12">
        <f>ROUNDUP($E53/(gen_l_tps60),0)</f>
        <v>6</v>
      </c>
      <c r="AE53" s="12">
        <f>ROUNDUP($E53/(gen_l_tps80),0)</f>
        <v>4</v>
      </c>
      <c r="AF53" s="9">
        <f>ROUNDUP($E52/gen_l_disk,0)</f>
        <v>452</v>
      </c>
      <c r="AG53" s="9">
        <f>ROUNDUP($E54/gen_l_bw,0)</f>
        <v>453</v>
      </c>
      <c r="AH53" s="9">
        <f>MAX(AE53:AG53)</f>
        <v>453</v>
      </c>
      <c r="AI53" s="9">
        <f>AH53-W53</f>
        <v>1</v>
      </c>
      <c r="AJ53" s="9">
        <f>ROUNDUP(AI53/gen_l_spr80,0)</f>
        <v>1</v>
      </c>
      <c r="AK53" s="76">
        <f>ROUND((AH53)*gen_l_pow80*24*365,0)</f>
        <v>1031753</v>
      </c>
      <c r="AL53" s="67"/>
      <c r="AM53" s="235" t="s">
        <v>32</v>
      </c>
      <c r="AN53" s="36">
        <f>M53*gen_l_cost</f>
        <v>384200</v>
      </c>
      <c r="AO53" s="36">
        <f>N53*rack_cost</f>
        <v>210000</v>
      </c>
      <c r="AP53" s="36">
        <f>ROUND(O53*kwh_cost,0)</f>
        <v>52915</v>
      </c>
      <c r="AQ53" s="36">
        <v>0</v>
      </c>
      <c r="AR53" s="72">
        <f>SUM(AN53,AO53,AP53)</f>
        <v>647115</v>
      </c>
      <c r="AT53" s="235" t="s">
        <v>32</v>
      </c>
      <c r="AU53" s="36">
        <f>X53*gen_l_cost*1.02</f>
        <v>0</v>
      </c>
      <c r="AV53" s="36">
        <f>Y53*rack_cost</f>
        <v>0</v>
      </c>
      <c r="AW53" s="36">
        <f>ROUND(Z53*kwh_cost,0)</f>
        <v>52915</v>
      </c>
      <c r="AX53" s="36">
        <f>AN53*hw_supt</f>
        <v>76840</v>
      </c>
      <c r="AY53" s="72">
        <f>SUM(AU53,AV53,AW53,AX53)</f>
        <v>129755</v>
      </c>
      <c r="BA53" s="235" t="s">
        <v>32</v>
      </c>
      <c r="BB53" s="36">
        <f>AI53*gen_l_cost*1.0404</f>
        <v>884.34</v>
      </c>
      <c r="BC53" s="36">
        <f>AJ53*rack_cost</f>
        <v>5000</v>
      </c>
      <c r="BD53" s="36">
        <f>ROUND(AK53*kwh_cost,0)</f>
        <v>53032</v>
      </c>
      <c r="BE53" s="36">
        <f>(AN53+AU53)*hw_supt</f>
        <v>76840</v>
      </c>
      <c r="BF53" s="37">
        <f>SUM(BB53,BC53,BD53,BE53)</f>
        <v>135756.34</v>
      </c>
      <c r="BI53" s="188">
        <f>SUM(AH53)</f>
        <v>453</v>
      </c>
      <c r="BJ53" s="188">
        <f>SUM(AJ53,Y53,N53)</f>
        <v>43</v>
      </c>
      <c r="BK53" s="188">
        <f>SUM(AK53,Z53,O53)</f>
        <v>3090703</v>
      </c>
      <c r="BL53" s="245">
        <f>SUM(AR53,AY53,BF53)</f>
        <v>912626.34</v>
      </c>
      <c r="BO53" s="235" t="s">
        <v>236</v>
      </c>
      <c r="BP53" s="9">
        <f>N54</f>
        <v>28</v>
      </c>
      <c r="BQ53" s="9">
        <f>Y54</f>
        <v>0</v>
      </c>
      <c r="BR53" s="9">
        <f>AJ54</f>
        <v>5</v>
      </c>
      <c r="BS53" s="188">
        <f t="shared" ref="BS53:BS54" si="7">SUM(BP53:BR53)</f>
        <v>33</v>
      </c>
    </row>
    <row r="54" spans="1:71" ht="16" thickBot="1" x14ac:dyDescent="0.4">
      <c r="A54" s="39"/>
      <c r="B54" s="113" t="s">
        <v>49</v>
      </c>
      <c r="C54" s="142">
        <f>Bandwidth!$O$17</f>
        <v>80.490059999999986</v>
      </c>
      <c r="D54" s="142">
        <f>Bandwidth!$O$19</f>
        <v>190.73759999999999</v>
      </c>
      <c r="E54" s="143">
        <f>Bandwidth!$O$21</f>
        <v>339.10247999999996</v>
      </c>
      <c r="F54" s="15"/>
      <c r="G54" s="93" t="s">
        <v>41</v>
      </c>
      <c r="H54" s="74">
        <f>ROUNDUP($C53/(gen_xl_tps40/2),0)</f>
        <v>2</v>
      </c>
      <c r="I54" s="74">
        <f>ROUNDUP($C53/(gen_xl_tps60/2),0)</f>
        <v>2</v>
      </c>
      <c r="J54" s="74">
        <f>ROUNDUP($C53/(gen_xl_tps80/2),0)</f>
        <v>1</v>
      </c>
      <c r="K54" s="69">
        <f>ROUNDUP($C52/gen_xl_disk,0)</f>
        <v>192</v>
      </c>
      <c r="L54" s="69">
        <f>ROUNDUP($C54/gen_xl_bw,0)</f>
        <v>54</v>
      </c>
      <c r="M54" s="69">
        <f>MAX(J54:L54)</f>
        <v>192</v>
      </c>
      <c r="N54" s="69">
        <f>ROUNDUP(M54/gen_xl_spr80,0)</f>
        <v>28</v>
      </c>
      <c r="O54" s="77">
        <f>ROUND(M54*gen_l_pow80*24*365,0)</f>
        <v>437299</v>
      </c>
      <c r="P54" s="67"/>
      <c r="Q54" s="93" t="s">
        <v>41</v>
      </c>
      <c r="R54" s="74">
        <f>ROUNDUP($D53/(gen_xl_tps40),0) - H54</f>
        <v>0</v>
      </c>
      <c r="S54" s="74">
        <f>ROUNDUP($D53/(gen_xl_tps60),0)</f>
        <v>2</v>
      </c>
      <c r="T54" s="74">
        <f>ROUNDUP($D53/(gen_xl_tps80),0)</f>
        <v>1</v>
      </c>
      <c r="U54" s="69">
        <f>ROUNDUP($D52/gen_xl_disk,0)</f>
        <v>192</v>
      </c>
      <c r="V54" s="69">
        <f>ROUNDUP($D54/gen_xl_bw,0)</f>
        <v>128</v>
      </c>
      <c r="W54" s="69">
        <f>MAX(T54:V54)</f>
        <v>192</v>
      </c>
      <c r="X54" s="69">
        <f>W54-M54</f>
        <v>0</v>
      </c>
      <c r="Y54" s="69">
        <f>ROUNDUP(X54/gen_xl_spr80,0)</f>
        <v>0</v>
      </c>
      <c r="Z54" s="77">
        <f>ROUND((W54)*gen_l_pow80*24*365,0)</f>
        <v>437299</v>
      </c>
      <c r="AA54" s="67"/>
      <c r="AB54" s="93" t="s">
        <v>41</v>
      </c>
      <c r="AC54" s="74">
        <f>ROUNDUP($E53/(gen_xl_tps40),0)</f>
        <v>4</v>
      </c>
      <c r="AD54" s="74">
        <f>ROUNDUP($E53/(gen_xl_tps60),0)</f>
        <v>3</v>
      </c>
      <c r="AE54" s="74">
        <f>ROUNDUP($E53/(gen_xl_tps80),0)</f>
        <v>2</v>
      </c>
      <c r="AF54" s="69">
        <f>ROUNDUP($E52/gen_xl_disk,0)</f>
        <v>192</v>
      </c>
      <c r="AG54" s="69">
        <f>ROUNDUP($E54/gen_xl_bw,0)</f>
        <v>227</v>
      </c>
      <c r="AH54" s="69">
        <f>MAX(AE54:AG54)</f>
        <v>227</v>
      </c>
      <c r="AI54" s="69">
        <f>AH54-W54</f>
        <v>35</v>
      </c>
      <c r="AJ54" s="69">
        <f>ROUNDUP(AI54/gen_xl_spr80,0)</f>
        <v>5</v>
      </c>
      <c r="AK54" s="77">
        <f>ROUND((AH54)*gen_l_pow80*24*365,0)</f>
        <v>517015</v>
      </c>
      <c r="AL54" s="67"/>
      <c r="AM54" s="93" t="s">
        <v>41</v>
      </c>
      <c r="AN54" s="75">
        <f>M54*gen_xl_cost</f>
        <v>451200</v>
      </c>
      <c r="AO54" s="75">
        <f>N54*rack_cost</f>
        <v>140000</v>
      </c>
      <c r="AP54" s="75">
        <f>ROUND(O54*kwh_cost,0)</f>
        <v>22477</v>
      </c>
      <c r="AQ54" s="75">
        <v>0</v>
      </c>
      <c r="AR54" s="320">
        <f>SUM(AN54,AO54,AP54)</f>
        <v>613677</v>
      </c>
      <c r="AT54" s="93" t="s">
        <v>41</v>
      </c>
      <c r="AU54" s="40">
        <f>X54*gen_xl_cost*1.02</f>
        <v>0</v>
      </c>
      <c r="AV54" s="40">
        <f>Y54*rack_cost</f>
        <v>0</v>
      </c>
      <c r="AW54" s="40">
        <f>ROUND(Z54*kwh_cost,0)</f>
        <v>22477</v>
      </c>
      <c r="AX54" s="40">
        <f>AN54*hw_supt</f>
        <v>90240</v>
      </c>
      <c r="AY54" s="320">
        <f>SUM(AU54,AV54,AW54,AX54)</f>
        <v>112717</v>
      </c>
      <c r="BA54" s="93" t="s">
        <v>41</v>
      </c>
      <c r="BB54" s="40">
        <f>AI54*gen_xl_cost*1.0404</f>
        <v>85572.9</v>
      </c>
      <c r="BC54" s="40">
        <f>AJ54*rack_cost</f>
        <v>25000</v>
      </c>
      <c r="BD54" s="40">
        <f>ROUND(AK54*kwh_cost,0)</f>
        <v>26575</v>
      </c>
      <c r="BE54" s="40">
        <f>(AN54+AU54)*hw_supt</f>
        <v>90240</v>
      </c>
      <c r="BF54" s="320">
        <f>SUM(BB54,BC54,BD54,BE54)</f>
        <v>227387.9</v>
      </c>
      <c r="BI54" s="189">
        <f>SUM(AH54)</f>
        <v>227</v>
      </c>
      <c r="BJ54" s="189">
        <f>SUM(AJ54,Y54,N54)</f>
        <v>33</v>
      </c>
      <c r="BK54" s="189">
        <f>SUM(AK54,Z54,O54)</f>
        <v>1391613</v>
      </c>
      <c r="BL54" s="246">
        <f>SUM(AR54,AY54,BF54)</f>
        <v>953781.9</v>
      </c>
      <c r="BM54" t="s">
        <v>216</v>
      </c>
      <c r="BO54" s="93" t="s">
        <v>234</v>
      </c>
      <c r="BP54" s="69">
        <f>O54</f>
        <v>437299</v>
      </c>
      <c r="BQ54" s="69">
        <f>Z54</f>
        <v>437299</v>
      </c>
      <c r="BR54" s="69">
        <f>AK54</f>
        <v>517015</v>
      </c>
      <c r="BS54" s="189">
        <f t="shared" si="7"/>
        <v>1391613</v>
      </c>
    </row>
    <row r="55" spans="1:71" x14ac:dyDescent="0.35">
      <c r="F55" s="15"/>
      <c r="U55"/>
      <c r="AA55" s="15"/>
    </row>
    <row r="56" spans="1:71" x14ac:dyDescent="0.35">
      <c r="F56" s="15"/>
      <c r="U56"/>
      <c r="AA56" s="15"/>
    </row>
    <row r="57" spans="1:71" ht="18.5" x14ac:dyDescent="0.45">
      <c r="A57" s="51" t="s">
        <v>312</v>
      </c>
      <c r="F57" s="15"/>
      <c r="U57"/>
      <c r="AA57" s="15"/>
    </row>
    <row r="58" spans="1:71" ht="16" thickBot="1" x14ac:dyDescent="0.4">
      <c r="F58" s="15"/>
      <c r="U58"/>
      <c r="AA58" s="15"/>
      <c r="AM58" t="s">
        <v>233</v>
      </c>
      <c r="AT58" t="s">
        <v>233</v>
      </c>
    </row>
    <row r="59" spans="1:71" ht="34" customHeight="1" thickBot="1" x14ac:dyDescent="0.4">
      <c r="A59" s="438" t="s">
        <v>339</v>
      </c>
      <c r="B59" s="438"/>
      <c r="C59" s="438"/>
      <c r="D59" s="438"/>
      <c r="E59" s="438"/>
      <c r="F59" s="15"/>
      <c r="G59" s="266" t="s">
        <v>50</v>
      </c>
      <c r="H59" s="99"/>
      <c r="I59" s="99"/>
      <c r="J59" s="99"/>
      <c r="K59" s="99"/>
      <c r="L59" s="99"/>
      <c r="M59" s="99"/>
      <c r="N59" s="99"/>
      <c r="O59" s="100"/>
      <c r="P59" s="105"/>
      <c r="Q59" s="266" t="s">
        <v>51</v>
      </c>
      <c r="R59" s="263"/>
      <c r="S59" s="263"/>
      <c r="T59" s="263"/>
      <c r="U59" s="263"/>
      <c r="V59" s="263"/>
      <c r="W59" s="263"/>
      <c r="X59" s="263"/>
      <c r="Y59" s="263"/>
      <c r="Z59" s="265"/>
      <c r="AA59" s="105"/>
      <c r="AB59" s="268" t="s">
        <v>52</v>
      </c>
      <c r="AC59" s="263"/>
      <c r="AD59" s="263"/>
      <c r="AE59" s="263"/>
      <c r="AF59" s="263"/>
      <c r="AG59" s="263"/>
      <c r="AH59" s="263"/>
      <c r="AI59" s="263"/>
      <c r="AJ59" s="263"/>
      <c r="AK59" s="265"/>
      <c r="AL59" s="105"/>
      <c r="AM59" s="254" t="s">
        <v>50</v>
      </c>
      <c r="AN59" s="99"/>
      <c r="AO59" s="99"/>
      <c r="AP59" s="99"/>
      <c r="AQ59" s="99"/>
      <c r="AR59" s="100"/>
      <c r="AT59" s="254" t="s">
        <v>51</v>
      </c>
      <c r="AU59" s="96"/>
      <c r="AV59" s="96"/>
      <c r="AW59" s="96"/>
      <c r="AX59" s="96"/>
      <c r="AY59" s="97"/>
      <c r="BA59" s="254" t="s">
        <v>52</v>
      </c>
      <c r="BB59" s="96"/>
      <c r="BC59" s="96"/>
      <c r="BD59" s="96"/>
      <c r="BE59" s="96"/>
      <c r="BF59" s="97"/>
      <c r="BI59" s="243" t="s">
        <v>217</v>
      </c>
      <c r="BJ59" s="243" t="s">
        <v>215</v>
      </c>
      <c r="BK59" s="195" t="s">
        <v>214</v>
      </c>
      <c r="BL59" s="170" t="s">
        <v>213</v>
      </c>
      <c r="BO59" s="147" t="s">
        <v>76</v>
      </c>
      <c r="BP59" s="148"/>
      <c r="BQ59" s="148"/>
      <c r="BR59" s="148"/>
      <c r="BS59" s="149"/>
    </row>
    <row r="60" spans="1:71" ht="51" customHeight="1" thickBot="1" x14ac:dyDescent="0.4">
      <c r="A60" s="46"/>
      <c r="B60" s="41"/>
      <c r="C60" s="42"/>
      <c r="D60" s="42"/>
      <c r="E60" s="43"/>
      <c r="F60" s="15"/>
      <c r="G60" s="418" t="s">
        <v>53</v>
      </c>
      <c r="H60" s="416" t="s">
        <v>55</v>
      </c>
      <c r="I60" s="417"/>
      <c r="J60" s="417"/>
      <c r="K60" s="417"/>
      <c r="L60" s="417"/>
      <c r="M60" s="423" t="s">
        <v>80</v>
      </c>
      <c r="N60" s="417" t="s">
        <v>57</v>
      </c>
      <c r="O60" s="420" t="s">
        <v>241</v>
      </c>
      <c r="P60" s="60"/>
      <c r="Q60" s="418" t="s">
        <v>53</v>
      </c>
      <c r="R60" s="417" t="s">
        <v>79</v>
      </c>
      <c r="S60" s="417"/>
      <c r="T60" s="417"/>
      <c r="U60" s="417"/>
      <c r="V60" s="417"/>
      <c r="W60" s="423" t="s">
        <v>104</v>
      </c>
      <c r="X60" s="423" t="s">
        <v>72</v>
      </c>
      <c r="Y60" s="423" t="s">
        <v>74</v>
      </c>
      <c r="Z60" s="420" t="s">
        <v>241</v>
      </c>
      <c r="AA60" s="60"/>
      <c r="AB60" s="414" t="s">
        <v>53</v>
      </c>
      <c r="AC60" s="416" t="s">
        <v>55</v>
      </c>
      <c r="AD60" s="417"/>
      <c r="AE60" s="417"/>
      <c r="AF60" s="417"/>
      <c r="AG60" s="417"/>
      <c r="AH60" s="423" t="s">
        <v>78</v>
      </c>
      <c r="AI60" s="423" t="s">
        <v>72</v>
      </c>
      <c r="AJ60" s="423" t="s">
        <v>74</v>
      </c>
      <c r="AK60" s="420" t="s">
        <v>241</v>
      </c>
      <c r="AL60" s="144"/>
      <c r="AM60" s="415" t="s">
        <v>53</v>
      </c>
      <c r="AN60" s="416" t="s">
        <v>56</v>
      </c>
      <c r="AO60" s="417" t="s">
        <v>58</v>
      </c>
      <c r="AP60" s="423" t="s">
        <v>242</v>
      </c>
      <c r="AQ60" s="423" t="s">
        <v>60</v>
      </c>
      <c r="AR60" s="420" t="s">
        <v>97</v>
      </c>
      <c r="AT60" s="418" t="s">
        <v>53</v>
      </c>
      <c r="AU60" s="423" t="s">
        <v>73</v>
      </c>
      <c r="AV60" s="423" t="s">
        <v>75</v>
      </c>
      <c r="AW60" s="423" t="s">
        <v>242</v>
      </c>
      <c r="AX60" s="423" t="s">
        <v>60</v>
      </c>
      <c r="AY60" s="420" t="s">
        <v>97</v>
      </c>
      <c r="BA60" s="418" t="s">
        <v>53</v>
      </c>
      <c r="BB60" s="423" t="s">
        <v>73</v>
      </c>
      <c r="BC60" s="423" t="s">
        <v>75</v>
      </c>
      <c r="BD60" s="423" t="s">
        <v>242</v>
      </c>
      <c r="BE60" s="423" t="s">
        <v>60</v>
      </c>
      <c r="BF60" s="420" t="s">
        <v>97</v>
      </c>
      <c r="BI60" s="433"/>
      <c r="BJ60" s="433"/>
      <c r="BK60" s="433"/>
      <c r="BL60" s="433"/>
      <c r="BO60" s="92"/>
      <c r="BP60" s="146" t="s">
        <v>50</v>
      </c>
      <c r="BQ60" s="146" t="s">
        <v>51</v>
      </c>
      <c r="BR60" s="146" t="s">
        <v>52</v>
      </c>
      <c r="BS60" s="81" t="s">
        <v>77</v>
      </c>
    </row>
    <row r="61" spans="1:71" ht="16" thickBot="1" x14ac:dyDescent="0.4">
      <c r="A61" s="35"/>
      <c r="B61" s="35" t="s">
        <v>164</v>
      </c>
      <c r="C61" s="15" t="s">
        <v>50</v>
      </c>
      <c r="D61" s="15" t="s">
        <v>51</v>
      </c>
      <c r="E61" s="38" t="s">
        <v>52</v>
      </c>
      <c r="F61" s="15"/>
      <c r="G61" s="415"/>
      <c r="H61" s="426" t="s">
        <v>163</v>
      </c>
      <c r="I61" s="427"/>
      <c r="J61" s="427"/>
      <c r="K61" s="427" t="s">
        <v>47</v>
      </c>
      <c r="L61" s="427" t="s">
        <v>31</v>
      </c>
      <c r="M61" s="424"/>
      <c r="N61" s="427"/>
      <c r="O61" s="421"/>
      <c r="P61" s="60"/>
      <c r="Q61" s="415"/>
      <c r="R61" s="427" t="s">
        <v>163</v>
      </c>
      <c r="S61" s="427"/>
      <c r="T61" s="427"/>
      <c r="U61" s="427" t="s">
        <v>47</v>
      </c>
      <c r="V61" s="427" t="s">
        <v>31</v>
      </c>
      <c r="W61" s="424"/>
      <c r="X61" s="424"/>
      <c r="Y61" s="424"/>
      <c r="Z61" s="421"/>
      <c r="AA61" s="60"/>
      <c r="AB61" s="415"/>
      <c r="AC61" s="426" t="s">
        <v>163</v>
      </c>
      <c r="AD61" s="427"/>
      <c r="AE61" s="427"/>
      <c r="AF61" s="427" t="s">
        <v>47</v>
      </c>
      <c r="AG61" s="427" t="s">
        <v>31</v>
      </c>
      <c r="AH61" s="424"/>
      <c r="AI61" s="424"/>
      <c r="AJ61" s="424"/>
      <c r="AK61" s="421"/>
      <c r="AL61" s="144"/>
      <c r="AM61" s="415"/>
      <c r="AN61" s="426"/>
      <c r="AO61" s="427"/>
      <c r="AP61" s="424"/>
      <c r="AQ61" s="424"/>
      <c r="AR61" s="421"/>
      <c r="AT61" s="415"/>
      <c r="AU61" s="424"/>
      <c r="AV61" s="424"/>
      <c r="AW61" s="424"/>
      <c r="AX61" s="424"/>
      <c r="AY61" s="421"/>
      <c r="BA61" s="415"/>
      <c r="BB61" s="424"/>
      <c r="BC61" s="424"/>
      <c r="BD61" s="424"/>
      <c r="BE61" s="424"/>
      <c r="BF61" s="421"/>
      <c r="BI61" s="431"/>
      <c r="BJ61" s="431"/>
      <c r="BK61" s="431"/>
      <c r="BL61" s="431"/>
      <c r="BO61" s="254" t="s">
        <v>91</v>
      </c>
      <c r="BP61" s="260">
        <f>AR64</f>
        <v>823971</v>
      </c>
      <c r="BQ61" s="260">
        <f>AY64</f>
        <v>1299545</v>
      </c>
      <c r="BR61" s="260">
        <f>BF64</f>
        <v>1930875.38</v>
      </c>
      <c r="BS61" s="269">
        <f>SUM(BP61:BR61)</f>
        <v>4054391.38</v>
      </c>
    </row>
    <row r="62" spans="1:71" ht="16" thickBot="1" x14ac:dyDescent="0.4">
      <c r="A62" s="35"/>
      <c r="B62" s="112" t="s">
        <v>48</v>
      </c>
      <c r="C62" s="138">
        <v>0</v>
      </c>
      <c r="D62" s="138">
        <v>0</v>
      </c>
      <c r="E62" s="141">
        <v>0</v>
      </c>
      <c r="F62" s="15"/>
      <c r="G62" s="419"/>
      <c r="H62" s="267">
        <v>0.4</v>
      </c>
      <c r="I62" s="264">
        <v>0.6</v>
      </c>
      <c r="J62" s="264">
        <v>0.8</v>
      </c>
      <c r="K62" s="428"/>
      <c r="L62" s="428"/>
      <c r="M62" s="425"/>
      <c r="N62" s="428"/>
      <c r="O62" s="422"/>
      <c r="P62" s="60"/>
      <c r="Q62" s="419"/>
      <c r="R62" s="264">
        <v>0.4</v>
      </c>
      <c r="S62" s="264">
        <v>0.6</v>
      </c>
      <c r="T62" s="264">
        <v>0.8</v>
      </c>
      <c r="U62" s="428"/>
      <c r="V62" s="428"/>
      <c r="W62" s="425"/>
      <c r="X62" s="425"/>
      <c r="Y62" s="425"/>
      <c r="Z62" s="422"/>
      <c r="AA62" s="60"/>
      <c r="AB62" s="415"/>
      <c r="AC62" s="267">
        <v>0.4</v>
      </c>
      <c r="AD62" s="264">
        <v>0.6</v>
      </c>
      <c r="AE62" s="264">
        <v>0.8</v>
      </c>
      <c r="AF62" s="428"/>
      <c r="AG62" s="428"/>
      <c r="AH62" s="425"/>
      <c r="AI62" s="425"/>
      <c r="AJ62" s="425"/>
      <c r="AK62" s="422"/>
      <c r="AL62" s="144"/>
      <c r="AM62" s="415"/>
      <c r="AN62" s="429"/>
      <c r="AO62" s="428"/>
      <c r="AP62" s="425"/>
      <c r="AQ62" s="425"/>
      <c r="AR62" s="422"/>
      <c r="AT62" s="419"/>
      <c r="AU62" s="425"/>
      <c r="AV62" s="425"/>
      <c r="AW62" s="425"/>
      <c r="AX62" s="425"/>
      <c r="AY62" s="422"/>
      <c r="BA62" s="419"/>
      <c r="BB62" s="425"/>
      <c r="BC62" s="425"/>
      <c r="BD62" s="425"/>
      <c r="BE62" s="425"/>
      <c r="BF62" s="422"/>
      <c r="BI62" s="432"/>
      <c r="BJ62" s="432"/>
      <c r="BK62" s="432"/>
      <c r="BL62" s="432"/>
      <c r="BO62" s="92" t="s">
        <v>235</v>
      </c>
      <c r="BP62" s="270">
        <f>M64</f>
        <v>259</v>
      </c>
      <c r="BQ62" s="270">
        <f>X64</f>
        <v>355</v>
      </c>
      <c r="BR62" s="270">
        <f>AI64</f>
        <v>477</v>
      </c>
      <c r="BS62" s="215">
        <f>SUM(BP62:BR62)</f>
        <v>1091</v>
      </c>
    </row>
    <row r="63" spans="1:71" ht="17" customHeight="1" x14ac:dyDescent="0.35">
      <c r="A63" s="35"/>
      <c r="B63" s="112" t="s">
        <v>146</v>
      </c>
      <c r="C63" s="138">
        <f>'CPU (Workload)'!$G$17</f>
        <v>15371.365624999999</v>
      </c>
      <c r="D63" s="138">
        <f>'CPU (Workload)'!$G$19</f>
        <v>36425.583333333328</v>
      </c>
      <c r="E63" s="141">
        <f>'CPU (Workload)'!$G$21</f>
        <v>64759.15416666666</v>
      </c>
      <c r="F63" s="15"/>
      <c r="G63" s="235" t="s">
        <v>32</v>
      </c>
      <c r="H63" s="163">
        <f>ROUNDUP($C63/(gen_l_tps40),0)</f>
        <v>21</v>
      </c>
      <c r="I63" s="12">
        <f>ROUNDUP($C63/(gen_l_tps60),0)</f>
        <v>14</v>
      </c>
      <c r="J63" s="12">
        <f>ROUNDUP($C63/(gen_l_tps80),0)</f>
        <v>11</v>
      </c>
      <c r="K63" s="9">
        <f>ROUNDUP($C62/gen_l_disk,0)</f>
        <v>0</v>
      </c>
      <c r="L63" s="9">
        <f>ROUNDUP($C64/gen_l_bw,0)</f>
        <v>518</v>
      </c>
      <c r="M63" s="9">
        <f>MAX(J63:L63)</f>
        <v>518</v>
      </c>
      <c r="N63" s="9">
        <f>ROUNDUP(M63/gen_l_spr80,0)</f>
        <v>48</v>
      </c>
      <c r="O63" s="76">
        <f>ROUND(M63*gen_l_pow80*24*365,0)</f>
        <v>1179797</v>
      </c>
      <c r="P63" s="67"/>
      <c r="Q63" s="235" t="s">
        <v>32</v>
      </c>
      <c r="R63" s="12">
        <f>ROUNDUP($D63/(gen_l_tps40),0)</f>
        <v>49</v>
      </c>
      <c r="S63" s="12">
        <f>ROUNDUP($D63/(gen_l_tps60),0)</f>
        <v>33</v>
      </c>
      <c r="T63" s="12">
        <f>ROUNDUP($D63/(gen_l_tps80),0)</f>
        <v>25</v>
      </c>
      <c r="U63" s="9">
        <f>ROUNDUP($D62/gen_l_disk,0)</f>
        <v>0</v>
      </c>
      <c r="V63" s="9">
        <f>ROUNDUP($D64/gen_l_bw,0)</f>
        <v>1227</v>
      </c>
      <c r="W63" s="9">
        <f>MAX(T63:V63)</f>
        <v>1227</v>
      </c>
      <c r="X63" s="9">
        <f>W63-M63</f>
        <v>709</v>
      </c>
      <c r="Y63" s="9">
        <f>ROUNDUP(X63/gen_l_spr80,0)</f>
        <v>65</v>
      </c>
      <c r="Z63" s="76">
        <f>ROUND((W63)*gen_l_pow80*24*365,0)</f>
        <v>2794615</v>
      </c>
      <c r="AA63" s="67"/>
      <c r="AB63" s="235" t="s">
        <v>32</v>
      </c>
      <c r="AC63" s="12">
        <f>ROUNDUP($E63/(gen_l_tps40),0)</f>
        <v>87</v>
      </c>
      <c r="AD63" s="12">
        <f>ROUNDUP($E63/(gen_l_tps60),0)</f>
        <v>58</v>
      </c>
      <c r="AE63" s="12">
        <f>ROUNDUP($E63/(gen_l_tps80),0)</f>
        <v>44</v>
      </c>
      <c r="AF63" s="9">
        <f>ROUNDUP($E62/gen_l_disk,0)</f>
        <v>0</v>
      </c>
      <c r="AG63" s="9">
        <f>ROUNDUP($E64/gen_l_bw,0)</f>
        <v>2181</v>
      </c>
      <c r="AH63" s="9">
        <f>MAX(AE63:AG63)</f>
        <v>2181</v>
      </c>
      <c r="AI63" s="9">
        <f>AH63-W63</f>
        <v>954</v>
      </c>
      <c r="AJ63" s="9">
        <f>ROUNDUP(AI63/gen_l_spr80,0)</f>
        <v>87</v>
      </c>
      <c r="AK63" s="76">
        <f>ROUND((AH63)*gen_l_pow80*24*365,0)</f>
        <v>4967446</v>
      </c>
      <c r="AL63" s="67"/>
      <c r="AM63" s="235" t="s">
        <v>32</v>
      </c>
      <c r="AN63" s="36">
        <f>M63*gen_l_cost</f>
        <v>440300</v>
      </c>
      <c r="AO63" s="36">
        <f>N63*rack_cost</f>
        <v>240000</v>
      </c>
      <c r="AP63" s="36">
        <f>ROUND(O63*kwh_cost,0)</f>
        <v>60642</v>
      </c>
      <c r="AQ63" s="36">
        <v>0</v>
      </c>
      <c r="AR63" s="72">
        <f>SUM(AN63,AO63,AP63)</f>
        <v>740942</v>
      </c>
      <c r="AT63" s="235" t="s">
        <v>32</v>
      </c>
      <c r="AU63" s="36">
        <f>X63*gen_l_cost*1.02</f>
        <v>614703</v>
      </c>
      <c r="AV63" s="36">
        <f>Y63*rack_cost</f>
        <v>325000</v>
      </c>
      <c r="AW63" s="36">
        <f>ROUND(Z63*kwh_cost,0)</f>
        <v>143643</v>
      </c>
      <c r="AX63" s="36">
        <f>AN63*hw_supt</f>
        <v>88060</v>
      </c>
      <c r="AY63" s="72">
        <f>SUM(AU63,AV63,AW63,AX63)</f>
        <v>1171406</v>
      </c>
      <c r="BA63" s="235" t="s">
        <v>32</v>
      </c>
      <c r="BB63" s="36">
        <f>AI63*gen_l_cost*1.0404</f>
        <v>843660.36</v>
      </c>
      <c r="BC63" s="36">
        <f>AJ63*rack_cost</f>
        <v>435000</v>
      </c>
      <c r="BD63" s="36">
        <f>ROUND(AK63*kwh_cost,0)</f>
        <v>255327</v>
      </c>
      <c r="BE63" s="36">
        <f>(AN63+AU63)*hw_supt</f>
        <v>211000.6</v>
      </c>
      <c r="BF63" s="37">
        <f>SUM(BB63,BC63,BD63,BE63)</f>
        <v>1744987.96</v>
      </c>
      <c r="BI63" s="188">
        <f>SUM(AH63)</f>
        <v>2181</v>
      </c>
      <c r="BJ63" s="188">
        <f>SUM(AJ63,Y63,N63)</f>
        <v>200</v>
      </c>
      <c r="BK63" s="188">
        <f>SUM(AK63,Z63,O63)</f>
        <v>8941858</v>
      </c>
      <c r="BL63" s="245">
        <f>SUM(AR63,AY63,BF63)</f>
        <v>3657335.96</v>
      </c>
      <c r="BO63" s="235" t="s">
        <v>236</v>
      </c>
      <c r="BP63" s="9">
        <f>N64</f>
        <v>37</v>
      </c>
      <c r="BQ63" s="9">
        <f>Y64</f>
        <v>51</v>
      </c>
      <c r="BR63" s="9">
        <f>AJ64</f>
        <v>69</v>
      </c>
      <c r="BS63" s="188">
        <f t="shared" ref="BS63:BS64" si="8">SUM(BP63:BR63)</f>
        <v>157</v>
      </c>
    </row>
    <row r="64" spans="1:71" ht="16" thickBot="1" x14ac:dyDescent="0.4">
      <c r="A64" s="39"/>
      <c r="B64" s="113" t="s">
        <v>49</v>
      </c>
      <c r="C64" s="142">
        <f>Bandwidth!$O$39</f>
        <v>388.21250271999992</v>
      </c>
      <c r="D64" s="142">
        <f>Bandwidth!$O$41</f>
        <v>919.94863786666656</v>
      </c>
      <c r="E64" s="143">
        <f>Bandwidth!$O$43</f>
        <v>1635.5289390933331</v>
      </c>
      <c r="F64" s="15"/>
      <c r="G64" s="93" t="s">
        <v>41</v>
      </c>
      <c r="H64" s="164">
        <f>ROUNDUP($C63/(gen_xl_tps40),0)</f>
        <v>9</v>
      </c>
      <c r="I64" s="74">
        <f>ROUNDUP($C63/(gen_xl_tps60),0)</f>
        <v>6</v>
      </c>
      <c r="J64" s="74">
        <f>ROUNDUP($C63/(gen_xl_tps80),0)</f>
        <v>5</v>
      </c>
      <c r="K64" s="69">
        <f>ROUNDUP($C62/gen_xl_disk,0)</f>
        <v>0</v>
      </c>
      <c r="L64" s="69">
        <f>ROUNDUP($C64/gen_xl_bw,0)</f>
        <v>259</v>
      </c>
      <c r="M64" s="69">
        <f>MAX(J64:L64)</f>
        <v>259</v>
      </c>
      <c r="N64" s="69">
        <f>ROUNDUP(M64/gen_xl_spr80,0)</f>
        <v>37</v>
      </c>
      <c r="O64" s="77">
        <f>ROUND(M64*gen_l_pow80*24*365,0)</f>
        <v>589898</v>
      </c>
      <c r="P64" s="67"/>
      <c r="Q64" s="93" t="s">
        <v>41</v>
      </c>
      <c r="R64" s="74">
        <f>ROUNDUP($D63/(gen_xl_tps40),0) - H64</f>
        <v>12</v>
      </c>
      <c r="S64" s="74">
        <f>ROUNDUP($D63/(gen_xl_tps60),0)</f>
        <v>14</v>
      </c>
      <c r="T64" s="74">
        <f>ROUNDUP($D63/(gen_xl_tps80),0)</f>
        <v>11</v>
      </c>
      <c r="U64" s="69">
        <f>ROUNDUP($D62/gen_xl_disk,0)</f>
        <v>0</v>
      </c>
      <c r="V64" s="69">
        <f>ROUNDUP($D64/gen_xl_bw,0)</f>
        <v>614</v>
      </c>
      <c r="W64" s="69">
        <f>MAX(T64:V64)</f>
        <v>614</v>
      </c>
      <c r="X64" s="69">
        <f>W64-M64</f>
        <v>355</v>
      </c>
      <c r="Y64" s="69">
        <f>ROUNDUP(X64/gen_xl_spr80,0)</f>
        <v>51</v>
      </c>
      <c r="Z64" s="77">
        <f>ROUND((W64)*gen_l_pow80*24*365,0)</f>
        <v>1398446</v>
      </c>
      <c r="AA64" s="67"/>
      <c r="AB64" s="93" t="s">
        <v>41</v>
      </c>
      <c r="AC64" s="74">
        <f>ROUNDUP($E63/(gen_xl_tps40),0)</f>
        <v>36</v>
      </c>
      <c r="AD64" s="74">
        <f>ROUNDUP($E63/(gen_xl_tps60),0)</f>
        <v>24</v>
      </c>
      <c r="AE64" s="74">
        <f>ROUNDUP($E63/(gen_xl_tps80),0)</f>
        <v>18</v>
      </c>
      <c r="AF64" s="69">
        <f>ROUNDUP($E62/gen_xl_disk,0)</f>
        <v>0</v>
      </c>
      <c r="AG64" s="69">
        <f>ROUNDUP($E64/gen_xl_bw,0)</f>
        <v>1091</v>
      </c>
      <c r="AH64" s="69">
        <f>MAX(AE64:AG64)</f>
        <v>1091</v>
      </c>
      <c r="AI64" s="69">
        <f>AH64-W64</f>
        <v>477</v>
      </c>
      <c r="AJ64" s="69">
        <f>ROUNDUP(AI64/gen_xl_spr80,0)</f>
        <v>69</v>
      </c>
      <c r="AK64" s="77">
        <f>ROUND((AH64)*gen_l_pow80*24*365,0)</f>
        <v>2484862</v>
      </c>
      <c r="AL64" s="67"/>
      <c r="AM64" s="93" t="s">
        <v>41</v>
      </c>
      <c r="AN64" s="75">
        <f>M64*gen_xl_cost</f>
        <v>608650</v>
      </c>
      <c r="AO64" s="75">
        <f>N64*rack_cost</f>
        <v>185000</v>
      </c>
      <c r="AP64" s="75">
        <f>ROUND(O64*kwh_cost,0)</f>
        <v>30321</v>
      </c>
      <c r="AQ64" s="75">
        <v>0</v>
      </c>
      <c r="AR64" s="320">
        <f>SUM(AN64,AO64,AP64)</f>
        <v>823971</v>
      </c>
      <c r="AT64" s="93" t="s">
        <v>41</v>
      </c>
      <c r="AU64" s="40">
        <f>X64*gen_xl_cost*1.02</f>
        <v>850935</v>
      </c>
      <c r="AV64" s="40">
        <f>Y64*rack_cost</f>
        <v>255000</v>
      </c>
      <c r="AW64" s="40">
        <f>ROUND(Z64*kwh_cost,0)</f>
        <v>71880</v>
      </c>
      <c r="AX64" s="40">
        <f>AN64*hw_supt</f>
        <v>121730</v>
      </c>
      <c r="AY64" s="320">
        <f>SUM(AU64,AV64,AW64,AX64)</f>
        <v>1299545</v>
      </c>
      <c r="BA64" s="93" t="s">
        <v>41</v>
      </c>
      <c r="BB64" s="40">
        <f>AI64*gen_xl_cost*1.0404</f>
        <v>1166236.3799999999</v>
      </c>
      <c r="BC64" s="40">
        <f>AJ64*rack_cost</f>
        <v>345000</v>
      </c>
      <c r="BD64" s="40">
        <f>ROUND(AK64*kwh_cost,0)</f>
        <v>127722</v>
      </c>
      <c r="BE64" s="40">
        <f>(AN64+AU64)*hw_supt</f>
        <v>291917</v>
      </c>
      <c r="BF64" s="320">
        <f>SUM(BB64,BC64,BD64,BE64)</f>
        <v>1930875.38</v>
      </c>
      <c r="BI64" s="189">
        <f>SUM(AH64)</f>
        <v>1091</v>
      </c>
      <c r="BJ64" s="189">
        <f>SUM(AJ64,Y64,N64)</f>
        <v>157</v>
      </c>
      <c r="BK64" s="189">
        <f>SUM(AK64,Z64,O64)</f>
        <v>4473206</v>
      </c>
      <c r="BL64" s="246">
        <f>SUM(AR64,AY64,BF64)</f>
        <v>4054391.38</v>
      </c>
      <c r="BM64" t="s">
        <v>218</v>
      </c>
      <c r="BO64" s="93" t="s">
        <v>234</v>
      </c>
      <c r="BP64" s="69">
        <f>O64</f>
        <v>589898</v>
      </c>
      <c r="BQ64" s="69">
        <f>Z64</f>
        <v>1398446</v>
      </c>
      <c r="BR64" s="69">
        <f>AK64</f>
        <v>2484862</v>
      </c>
      <c r="BS64" s="189">
        <f t="shared" si="8"/>
        <v>4473206</v>
      </c>
    </row>
    <row r="65" spans="1:93" x14ac:dyDescent="0.35">
      <c r="F65" s="15"/>
      <c r="U65"/>
      <c r="AA65" s="15"/>
    </row>
    <row r="66" spans="1:93" ht="16" thickBot="1" x14ac:dyDescent="0.4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</row>
    <row r="67" spans="1:93" ht="16" thickTop="1" x14ac:dyDescent="0.35">
      <c r="F67" s="15"/>
      <c r="U67"/>
      <c r="AA67" s="15"/>
    </row>
    <row r="68" spans="1:93" ht="21" customHeight="1" x14ac:dyDescent="0.5">
      <c r="A68" s="82" t="s">
        <v>84</v>
      </c>
      <c r="F68" s="15"/>
      <c r="U68"/>
      <c r="AA68" s="15"/>
    </row>
    <row r="69" spans="1:93" ht="16" thickBot="1" x14ac:dyDescent="0.4">
      <c r="A69" t="s">
        <v>106</v>
      </c>
      <c r="F69" s="15"/>
      <c r="U69"/>
      <c r="AA69" s="15"/>
      <c r="AM69" t="s">
        <v>233</v>
      </c>
      <c r="AT69" t="s">
        <v>233</v>
      </c>
      <c r="BH69" s="258"/>
      <c r="BI69" s="258"/>
      <c r="BJ69" s="258"/>
      <c r="BK69" s="258"/>
      <c r="BL69" s="258"/>
      <c r="BM69" s="258"/>
    </row>
    <row r="70" spans="1:93" ht="34" customHeight="1" thickBot="1" x14ac:dyDescent="0.4">
      <c r="F70" s="15"/>
      <c r="G70" s="266" t="s">
        <v>50</v>
      </c>
      <c r="H70" s="263"/>
      <c r="I70" s="263"/>
      <c r="J70" s="263"/>
      <c r="K70" s="263"/>
      <c r="L70" s="263"/>
      <c r="M70" s="263"/>
      <c r="N70" s="263"/>
      <c r="O70" s="265"/>
      <c r="P70" s="105"/>
      <c r="Q70" s="266" t="s">
        <v>51</v>
      </c>
      <c r="R70" s="263"/>
      <c r="S70" s="263"/>
      <c r="T70" s="263"/>
      <c r="U70" s="263"/>
      <c r="V70" s="263"/>
      <c r="W70" s="263"/>
      <c r="X70" s="263"/>
      <c r="Y70" s="263"/>
      <c r="Z70" s="265"/>
      <c r="AA70" s="105"/>
      <c r="AB70" s="268" t="s">
        <v>52</v>
      </c>
      <c r="AC70" s="263"/>
      <c r="AD70" s="263"/>
      <c r="AE70" s="263"/>
      <c r="AF70" s="263"/>
      <c r="AG70" s="263"/>
      <c r="AH70" s="263"/>
      <c r="AI70" s="263"/>
      <c r="AJ70" s="263"/>
      <c r="AK70" s="265"/>
      <c r="AL70" s="105"/>
      <c r="AM70" s="254" t="s">
        <v>50</v>
      </c>
      <c r="AN70" s="99"/>
      <c r="AO70" s="99"/>
      <c r="AP70" s="99"/>
      <c r="AQ70" s="99"/>
      <c r="AR70" s="100"/>
      <c r="AT70" s="107" t="s">
        <v>50</v>
      </c>
      <c r="AU70" s="96"/>
      <c r="AV70" s="96"/>
      <c r="AW70" s="96"/>
      <c r="AX70" s="96"/>
      <c r="AY70" s="97"/>
      <c r="BA70" s="254" t="s">
        <v>52</v>
      </c>
      <c r="BB70" s="96"/>
      <c r="BC70" s="96"/>
      <c r="BD70" s="96"/>
      <c r="BE70" s="96"/>
      <c r="BF70" s="97"/>
      <c r="BH70" s="258"/>
      <c r="BI70" s="273"/>
      <c r="BJ70" s="273"/>
      <c r="BK70" s="274"/>
      <c r="BL70" s="275"/>
      <c r="BM70" s="258"/>
      <c r="BO70" s="147" t="s">
        <v>76</v>
      </c>
      <c r="BP70" s="148"/>
      <c r="BQ70" s="148"/>
      <c r="BR70" s="148"/>
      <c r="BS70" s="149"/>
      <c r="BU70" s="271"/>
      <c r="BV70" s="271"/>
      <c r="BW70" s="271"/>
      <c r="BX70" s="271"/>
    </row>
    <row r="71" spans="1:93" ht="51" customHeight="1" thickBot="1" x14ac:dyDescent="0.4">
      <c r="A71" s="46" t="s">
        <v>81</v>
      </c>
      <c r="B71" s="41"/>
      <c r="C71" s="42"/>
      <c r="D71" s="42"/>
      <c r="E71" s="43"/>
      <c r="F71" s="15"/>
      <c r="G71" s="418" t="s">
        <v>53</v>
      </c>
      <c r="H71" s="416" t="s">
        <v>55</v>
      </c>
      <c r="I71" s="417"/>
      <c r="J71" s="417"/>
      <c r="K71" s="417"/>
      <c r="L71" s="417"/>
      <c r="M71" s="423" t="s">
        <v>80</v>
      </c>
      <c r="N71" s="417" t="s">
        <v>57</v>
      </c>
      <c r="O71" s="420" t="s">
        <v>241</v>
      </c>
      <c r="P71" s="60"/>
      <c r="Q71" s="418" t="s">
        <v>53</v>
      </c>
      <c r="R71" s="417" t="s">
        <v>79</v>
      </c>
      <c r="S71" s="417"/>
      <c r="T71" s="417"/>
      <c r="U71" s="417"/>
      <c r="V71" s="417"/>
      <c r="W71" s="423" t="s">
        <v>104</v>
      </c>
      <c r="X71" s="423" t="s">
        <v>72</v>
      </c>
      <c r="Y71" s="423" t="s">
        <v>74</v>
      </c>
      <c r="Z71" s="420" t="s">
        <v>241</v>
      </c>
      <c r="AA71" s="60"/>
      <c r="AB71" s="414" t="s">
        <v>53</v>
      </c>
      <c r="AC71" s="416" t="s">
        <v>55</v>
      </c>
      <c r="AD71" s="417"/>
      <c r="AE71" s="417"/>
      <c r="AF71" s="417"/>
      <c r="AG71" s="417"/>
      <c r="AH71" s="423" t="s">
        <v>78</v>
      </c>
      <c r="AI71" s="423" t="s">
        <v>72</v>
      </c>
      <c r="AJ71" s="423" t="s">
        <v>74</v>
      </c>
      <c r="AK71" s="420" t="s">
        <v>241</v>
      </c>
      <c r="AL71" s="144"/>
      <c r="AM71" s="415" t="s">
        <v>53</v>
      </c>
      <c r="AN71" s="416" t="s">
        <v>56</v>
      </c>
      <c r="AO71" s="417" t="s">
        <v>58</v>
      </c>
      <c r="AP71" s="423" t="s">
        <v>242</v>
      </c>
      <c r="AQ71" s="423" t="s">
        <v>60</v>
      </c>
      <c r="AR71" s="420" t="s">
        <v>97</v>
      </c>
      <c r="AT71" s="434" t="s">
        <v>53</v>
      </c>
      <c r="AU71" s="423" t="s">
        <v>73</v>
      </c>
      <c r="AV71" s="423" t="s">
        <v>75</v>
      </c>
      <c r="AW71" s="423" t="s">
        <v>242</v>
      </c>
      <c r="AX71" s="423" t="s">
        <v>60</v>
      </c>
      <c r="AY71" s="420" t="s">
        <v>97</v>
      </c>
      <c r="BA71" s="418" t="s">
        <v>53</v>
      </c>
      <c r="BB71" s="423" t="s">
        <v>73</v>
      </c>
      <c r="BC71" s="423" t="s">
        <v>75</v>
      </c>
      <c r="BD71" s="423" t="s">
        <v>242</v>
      </c>
      <c r="BE71" s="423" t="s">
        <v>60</v>
      </c>
      <c r="BF71" s="420" t="s">
        <v>97</v>
      </c>
      <c r="BH71" s="258"/>
      <c r="BI71" s="430"/>
      <c r="BJ71" s="430"/>
      <c r="BK71" s="430"/>
      <c r="BL71" s="430"/>
      <c r="BM71" s="258"/>
      <c r="BO71" s="92"/>
      <c r="BP71" s="146" t="s">
        <v>50</v>
      </c>
      <c r="BQ71" s="146" t="s">
        <v>51</v>
      </c>
      <c r="BR71" s="146" t="s">
        <v>52</v>
      </c>
      <c r="BS71" s="81" t="s">
        <v>77</v>
      </c>
      <c r="BU71" s="145"/>
      <c r="BV71" s="145"/>
      <c r="BW71" s="145"/>
      <c r="BX71" s="144"/>
    </row>
    <row r="72" spans="1:93" ht="16" thickBot="1" x14ac:dyDescent="0.4">
      <c r="A72" s="35"/>
      <c r="B72" s="35" t="s">
        <v>164</v>
      </c>
      <c r="C72" s="15" t="s">
        <v>50</v>
      </c>
      <c r="D72" s="15" t="s">
        <v>51</v>
      </c>
      <c r="E72" s="38" t="s">
        <v>52</v>
      </c>
      <c r="F72" s="15"/>
      <c r="G72" s="415"/>
      <c r="H72" s="426" t="s">
        <v>163</v>
      </c>
      <c r="I72" s="427"/>
      <c r="J72" s="427"/>
      <c r="K72" s="427" t="s">
        <v>47</v>
      </c>
      <c r="L72" s="427" t="s">
        <v>31</v>
      </c>
      <c r="M72" s="424"/>
      <c r="N72" s="427"/>
      <c r="O72" s="421"/>
      <c r="P72" s="60"/>
      <c r="Q72" s="415"/>
      <c r="R72" s="427" t="s">
        <v>163</v>
      </c>
      <c r="S72" s="427"/>
      <c r="T72" s="427"/>
      <c r="U72" s="427" t="s">
        <v>47</v>
      </c>
      <c r="V72" s="427" t="s">
        <v>31</v>
      </c>
      <c r="W72" s="424"/>
      <c r="X72" s="424"/>
      <c r="Y72" s="424"/>
      <c r="Z72" s="421"/>
      <c r="AA72" s="60"/>
      <c r="AB72" s="415"/>
      <c r="AC72" s="426" t="s">
        <v>163</v>
      </c>
      <c r="AD72" s="427"/>
      <c r="AE72" s="427"/>
      <c r="AF72" s="427" t="s">
        <v>47</v>
      </c>
      <c r="AG72" s="427" t="s">
        <v>31</v>
      </c>
      <c r="AH72" s="424"/>
      <c r="AI72" s="424"/>
      <c r="AJ72" s="424"/>
      <c r="AK72" s="421"/>
      <c r="AL72" s="144"/>
      <c r="AM72" s="415"/>
      <c r="AN72" s="426"/>
      <c r="AO72" s="427"/>
      <c r="AP72" s="424"/>
      <c r="AQ72" s="424"/>
      <c r="AR72" s="421"/>
      <c r="AT72" s="434"/>
      <c r="AU72" s="424"/>
      <c r="AV72" s="424"/>
      <c r="AW72" s="424"/>
      <c r="AX72" s="424"/>
      <c r="AY72" s="421"/>
      <c r="BA72" s="415"/>
      <c r="BB72" s="424"/>
      <c r="BC72" s="424"/>
      <c r="BD72" s="424"/>
      <c r="BE72" s="424"/>
      <c r="BF72" s="421"/>
      <c r="BH72" s="258"/>
      <c r="BI72" s="430"/>
      <c r="BJ72" s="430"/>
      <c r="BK72" s="430"/>
      <c r="BL72" s="430"/>
      <c r="BM72" s="258"/>
      <c r="BO72" s="254" t="s">
        <v>91</v>
      </c>
      <c r="BP72" s="260">
        <f>AR75</f>
        <v>2548655</v>
      </c>
      <c r="BQ72" s="260">
        <f>AY75</f>
        <v>2018893</v>
      </c>
      <c r="BR72" s="260">
        <f>BF75</f>
        <v>3642369.86</v>
      </c>
      <c r="BS72" s="269">
        <f>SUM(BP72:BR72)</f>
        <v>8209917.8599999994</v>
      </c>
      <c r="BU72" s="67"/>
      <c r="BV72" s="67"/>
      <c r="BW72" s="67"/>
      <c r="BX72" s="272"/>
    </row>
    <row r="73" spans="1:93" ht="16" thickBot="1" x14ac:dyDescent="0.4">
      <c r="A73" s="35"/>
      <c r="B73" s="112" t="s">
        <v>48</v>
      </c>
      <c r="C73" s="138">
        <f t="shared" ref="C73:E75" si="9">SUM(C43,C52,C62)</f>
        <v>810240</v>
      </c>
      <c r="D73" s="138">
        <f t="shared" si="9"/>
        <v>810240</v>
      </c>
      <c r="E73" s="141">
        <f t="shared" si="9"/>
        <v>810240</v>
      </c>
      <c r="F73" s="15"/>
      <c r="G73" s="419"/>
      <c r="H73" s="267">
        <v>0.4</v>
      </c>
      <c r="I73" s="264">
        <v>0.6</v>
      </c>
      <c r="J73" s="264">
        <v>0.8</v>
      </c>
      <c r="K73" s="428"/>
      <c r="L73" s="428"/>
      <c r="M73" s="425"/>
      <c r="N73" s="428"/>
      <c r="O73" s="422"/>
      <c r="P73" s="60"/>
      <c r="Q73" s="419"/>
      <c r="R73" s="264">
        <v>0.4</v>
      </c>
      <c r="S73" s="264">
        <v>0.6</v>
      </c>
      <c r="T73" s="264">
        <v>0.8</v>
      </c>
      <c r="U73" s="428"/>
      <c r="V73" s="428"/>
      <c r="W73" s="425"/>
      <c r="X73" s="425"/>
      <c r="Y73" s="425"/>
      <c r="Z73" s="422"/>
      <c r="AA73" s="60"/>
      <c r="AB73" s="415"/>
      <c r="AC73" s="267">
        <v>0.4</v>
      </c>
      <c r="AD73" s="264">
        <v>0.6</v>
      </c>
      <c r="AE73" s="264">
        <v>0.8</v>
      </c>
      <c r="AF73" s="428"/>
      <c r="AG73" s="428"/>
      <c r="AH73" s="425"/>
      <c r="AI73" s="425"/>
      <c r="AJ73" s="425"/>
      <c r="AK73" s="422"/>
      <c r="AL73" s="144"/>
      <c r="AM73" s="415"/>
      <c r="AN73" s="429"/>
      <c r="AO73" s="428"/>
      <c r="AP73" s="425"/>
      <c r="AQ73" s="425"/>
      <c r="AR73" s="422"/>
      <c r="AT73" s="434"/>
      <c r="AU73" s="425"/>
      <c r="AV73" s="425"/>
      <c r="AW73" s="425"/>
      <c r="AX73" s="425"/>
      <c r="AY73" s="422"/>
      <c r="BA73" s="419"/>
      <c r="BB73" s="425"/>
      <c r="BC73" s="425"/>
      <c r="BD73" s="425"/>
      <c r="BE73" s="425"/>
      <c r="BF73" s="422"/>
      <c r="BH73" s="258"/>
      <c r="BI73" s="430"/>
      <c r="BJ73" s="430"/>
      <c r="BK73" s="430"/>
      <c r="BL73" s="430"/>
      <c r="BM73" s="258"/>
      <c r="BO73" s="92" t="s">
        <v>235</v>
      </c>
      <c r="BP73" s="270">
        <f>M75</f>
        <v>800</v>
      </c>
      <c r="BQ73" s="270">
        <f>X75</f>
        <v>479</v>
      </c>
      <c r="BR73" s="270">
        <f>AI75</f>
        <v>879</v>
      </c>
      <c r="BS73" s="215">
        <f>SUM(BP73:BR73)</f>
        <v>2158</v>
      </c>
    </row>
    <row r="74" spans="1:93" x14ac:dyDescent="0.35">
      <c r="A74" s="35"/>
      <c r="B74" s="112" t="s">
        <v>146</v>
      </c>
      <c r="C74" s="138">
        <f t="shared" si="9"/>
        <v>25153.143749999996</v>
      </c>
      <c r="D74" s="138">
        <f t="shared" si="9"/>
        <v>59605.499999999993</v>
      </c>
      <c r="E74" s="141">
        <f t="shared" si="9"/>
        <v>105969.52499999999</v>
      </c>
      <c r="F74" s="15"/>
      <c r="G74" s="235" t="s">
        <v>32</v>
      </c>
      <c r="H74" s="101"/>
      <c r="I74" s="101"/>
      <c r="J74" s="101"/>
      <c r="K74" s="102"/>
      <c r="L74" s="102"/>
      <c r="M74" s="9">
        <f t="shared" ref="M74:O75" si="10">SUM(M44,M53,M63)</f>
        <v>1790</v>
      </c>
      <c r="N74" s="9">
        <f t="shared" si="10"/>
        <v>165</v>
      </c>
      <c r="O74" s="76">
        <f t="shared" si="10"/>
        <v>4076904</v>
      </c>
      <c r="P74" s="67"/>
      <c r="Q74" s="235" t="s">
        <v>32</v>
      </c>
      <c r="R74" s="101"/>
      <c r="S74" s="101"/>
      <c r="T74" s="101"/>
      <c r="U74" s="102"/>
      <c r="V74" s="102"/>
      <c r="W74" s="9">
        <f t="shared" ref="W74:Z75" si="11">SUM(W44,W53,W63)</f>
        <v>2624</v>
      </c>
      <c r="X74" s="9">
        <f t="shared" si="11"/>
        <v>834</v>
      </c>
      <c r="Y74" s="9">
        <f t="shared" si="11"/>
        <v>77</v>
      </c>
      <c r="Z74" s="76">
        <f t="shared" si="11"/>
        <v>5976422</v>
      </c>
      <c r="AA74" s="67"/>
      <c r="AB74" s="235" t="s">
        <v>32</v>
      </c>
      <c r="AC74" s="101"/>
      <c r="AD74" s="101"/>
      <c r="AE74" s="101"/>
      <c r="AF74" s="102"/>
      <c r="AG74" s="102"/>
      <c r="AH74" s="9">
        <f t="shared" ref="AH74:AK75" si="12">SUM(AH44,AH53,AH63)</f>
        <v>4313</v>
      </c>
      <c r="AI74" s="9">
        <f t="shared" si="12"/>
        <v>1689</v>
      </c>
      <c r="AJ74" s="9">
        <f t="shared" si="12"/>
        <v>155</v>
      </c>
      <c r="AK74" s="76">
        <f t="shared" si="12"/>
        <v>9823289</v>
      </c>
      <c r="AL74" s="67"/>
      <c r="AM74" s="235" t="s">
        <v>32</v>
      </c>
      <c r="AN74" s="36">
        <f t="shared" ref="AN74:AR75" si="13">SUM(AN44,AN53,AN63)</f>
        <v>1521500</v>
      </c>
      <c r="AO74" s="36">
        <f t="shared" si="13"/>
        <v>825000</v>
      </c>
      <c r="AP74" s="36">
        <f t="shared" si="13"/>
        <v>209553</v>
      </c>
      <c r="AQ74" s="36">
        <f t="shared" si="13"/>
        <v>0</v>
      </c>
      <c r="AR74" s="72">
        <f t="shared" si="13"/>
        <v>2556053</v>
      </c>
      <c r="AT74" s="71" t="s">
        <v>32</v>
      </c>
      <c r="AU74" s="36">
        <f t="shared" ref="AU74:AY75" si="14">SUM(AU44,AU53,AU63)</f>
        <v>723078</v>
      </c>
      <c r="AV74" s="36">
        <f t="shared" si="14"/>
        <v>385000</v>
      </c>
      <c r="AW74" s="36">
        <f t="shared" si="14"/>
        <v>307188</v>
      </c>
      <c r="AX74" s="36">
        <f t="shared" si="14"/>
        <v>304300</v>
      </c>
      <c r="AY74" s="72">
        <f t="shared" si="14"/>
        <v>1719566</v>
      </c>
      <c r="BA74" s="235" t="s">
        <v>32</v>
      </c>
      <c r="BB74" s="36">
        <f t="shared" ref="BB74:BF75" si="15">SUM(BB44,BB53,BB63)</f>
        <v>1493650.2599999998</v>
      </c>
      <c r="BC74" s="36">
        <f t="shared" si="15"/>
        <v>775000</v>
      </c>
      <c r="BD74" s="36">
        <f t="shared" si="15"/>
        <v>504917</v>
      </c>
      <c r="BE74" s="36">
        <f t="shared" si="15"/>
        <v>448915.6</v>
      </c>
      <c r="BF74" s="72">
        <f t="shared" si="15"/>
        <v>3222482.8600000003</v>
      </c>
      <c r="BH74" s="258"/>
      <c r="BI74" s="131"/>
      <c r="BJ74" s="131"/>
      <c r="BK74" s="131"/>
      <c r="BL74" s="276"/>
      <c r="BM74" s="258"/>
      <c r="BO74" s="235" t="s">
        <v>236</v>
      </c>
      <c r="BP74" s="9">
        <f>N75</f>
        <v>115</v>
      </c>
      <c r="BQ74" s="9">
        <f>Y75</f>
        <v>69</v>
      </c>
      <c r="BR74" s="9">
        <f>AJ75</f>
        <v>127</v>
      </c>
      <c r="BS74" s="188">
        <f t="shared" ref="BS74:BS75" si="16">SUM(BP74:BR74)</f>
        <v>311</v>
      </c>
    </row>
    <row r="75" spans="1:93" ht="16" thickBot="1" x14ac:dyDescent="0.4">
      <c r="A75" s="39"/>
      <c r="B75" s="113" t="s">
        <v>49</v>
      </c>
      <c r="C75" s="142">
        <f t="shared" si="9"/>
        <v>767.48166543999992</v>
      </c>
      <c r="D75" s="142">
        <f t="shared" si="9"/>
        <v>1818.7042090666664</v>
      </c>
      <c r="E75" s="143">
        <f t="shared" si="9"/>
        <v>3233.379824853333</v>
      </c>
      <c r="F75" s="15"/>
      <c r="G75" s="93" t="s">
        <v>41</v>
      </c>
      <c r="H75" s="103"/>
      <c r="I75" s="103"/>
      <c r="J75" s="103"/>
      <c r="K75" s="104"/>
      <c r="L75" s="104"/>
      <c r="M75" s="69">
        <f t="shared" si="10"/>
        <v>800</v>
      </c>
      <c r="N75" s="69">
        <f t="shared" si="10"/>
        <v>115</v>
      </c>
      <c r="O75" s="77">
        <f t="shared" si="10"/>
        <v>1822079</v>
      </c>
      <c r="P75" s="67"/>
      <c r="Q75" s="93" t="s">
        <v>41</v>
      </c>
      <c r="R75" s="103"/>
      <c r="S75" s="103"/>
      <c r="T75" s="103"/>
      <c r="U75" s="104"/>
      <c r="V75" s="104"/>
      <c r="W75" s="69">
        <f t="shared" si="11"/>
        <v>1279</v>
      </c>
      <c r="X75" s="69">
        <f t="shared" si="11"/>
        <v>479</v>
      </c>
      <c r="Y75" s="69">
        <f t="shared" si="11"/>
        <v>69</v>
      </c>
      <c r="Z75" s="77">
        <f t="shared" si="11"/>
        <v>2913050</v>
      </c>
      <c r="AA75" s="67"/>
      <c r="AB75" s="93" t="s">
        <v>41</v>
      </c>
      <c r="AC75" s="103"/>
      <c r="AD75" s="103"/>
      <c r="AE75" s="103"/>
      <c r="AF75" s="104"/>
      <c r="AG75" s="104"/>
      <c r="AH75" s="69">
        <f t="shared" si="12"/>
        <v>2158</v>
      </c>
      <c r="AI75" s="69">
        <f t="shared" si="12"/>
        <v>879</v>
      </c>
      <c r="AJ75" s="69">
        <f t="shared" si="12"/>
        <v>127</v>
      </c>
      <c r="AK75" s="77">
        <f t="shared" si="12"/>
        <v>4915061</v>
      </c>
      <c r="AL75" s="67"/>
      <c r="AM75" s="93" t="s">
        <v>41</v>
      </c>
      <c r="AN75" s="75">
        <f t="shared" si="13"/>
        <v>1880000</v>
      </c>
      <c r="AO75" s="75">
        <f t="shared" si="13"/>
        <v>575000</v>
      </c>
      <c r="AP75" s="75">
        <f t="shared" si="13"/>
        <v>93655</v>
      </c>
      <c r="AQ75" s="75">
        <f t="shared" si="13"/>
        <v>0</v>
      </c>
      <c r="AR75" s="320">
        <f t="shared" si="13"/>
        <v>2548655</v>
      </c>
      <c r="AT75" s="73" t="s">
        <v>41</v>
      </c>
      <c r="AU75" s="40">
        <f t="shared" si="14"/>
        <v>1148163</v>
      </c>
      <c r="AV75" s="40">
        <f t="shared" si="14"/>
        <v>345000</v>
      </c>
      <c r="AW75" s="40">
        <f t="shared" si="14"/>
        <v>149730</v>
      </c>
      <c r="AX75" s="40">
        <f t="shared" si="14"/>
        <v>376000</v>
      </c>
      <c r="AY75" s="320">
        <f t="shared" si="14"/>
        <v>2018893</v>
      </c>
      <c r="BA75" s="93" t="s">
        <v>41</v>
      </c>
      <c r="BB75" s="40">
        <f t="shared" si="15"/>
        <v>2149102.2599999998</v>
      </c>
      <c r="BC75" s="40">
        <f t="shared" si="15"/>
        <v>635000</v>
      </c>
      <c r="BD75" s="40">
        <f t="shared" si="15"/>
        <v>252635</v>
      </c>
      <c r="BE75" s="40">
        <f t="shared" si="15"/>
        <v>605632.6</v>
      </c>
      <c r="BF75" s="320">
        <f t="shared" si="15"/>
        <v>3642369.86</v>
      </c>
      <c r="BH75" s="258"/>
      <c r="BI75" s="131"/>
      <c r="BJ75" s="131"/>
      <c r="BK75" s="131"/>
      <c r="BL75" s="276"/>
      <c r="BM75" s="258"/>
      <c r="BO75" s="93" t="s">
        <v>234</v>
      </c>
      <c r="BP75" s="69">
        <f>O75</f>
        <v>1822079</v>
      </c>
      <c r="BQ75" s="69">
        <f>Z75</f>
        <v>2913050</v>
      </c>
      <c r="BR75" s="69">
        <f>AK75</f>
        <v>4915061</v>
      </c>
      <c r="BS75" s="189">
        <f t="shared" si="16"/>
        <v>9650190</v>
      </c>
    </row>
    <row r="76" spans="1:93" x14ac:dyDescent="0.35">
      <c r="U76"/>
      <c r="W76" s="15"/>
    </row>
    <row r="77" spans="1:93" x14ac:dyDescent="0.35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111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</row>
    <row r="78" spans="1:93" x14ac:dyDescent="0.35">
      <c r="U78"/>
      <c r="W78" s="15"/>
    </row>
    <row r="79" spans="1:93" ht="21" x14ac:dyDescent="0.5">
      <c r="A79" s="82" t="s">
        <v>85</v>
      </c>
      <c r="U79"/>
      <c r="W79" s="15"/>
    </row>
    <row r="80" spans="1:93" x14ac:dyDescent="0.35">
      <c r="A80" t="s">
        <v>167</v>
      </c>
      <c r="U80"/>
      <c r="W80" s="15"/>
    </row>
    <row r="81" spans="1:23" x14ac:dyDescent="0.35">
      <c r="A81" t="s">
        <v>168</v>
      </c>
      <c r="U81"/>
      <c r="W81" s="15"/>
    </row>
    <row r="82" spans="1:23" x14ac:dyDescent="0.35">
      <c r="A82" t="s">
        <v>169</v>
      </c>
      <c r="U82"/>
      <c r="W82" s="15"/>
    </row>
    <row r="83" spans="1:23" x14ac:dyDescent="0.35">
      <c r="A83" t="s">
        <v>208</v>
      </c>
      <c r="U83"/>
      <c r="W83" s="15"/>
    </row>
    <row r="84" spans="1:23" x14ac:dyDescent="0.35">
      <c r="A84" t="s">
        <v>228</v>
      </c>
      <c r="U84"/>
      <c r="W84" s="15"/>
    </row>
    <row r="85" spans="1:23" x14ac:dyDescent="0.35">
      <c r="A85" t="s">
        <v>229</v>
      </c>
      <c r="U85"/>
      <c r="W85" s="15"/>
    </row>
    <row r="86" spans="1:23" x14ac:dyDescent="0.35">
      <c r="U86"/>
      <c r="W86" s="15"/>
    </row>
    <row r="87" spans="1:23" x14ac:dyDescent="0.35">
      <c r="A87" s="11" t="s">
        <v>221</v>
      </c>
      <c r="B87" t="s">
        <v>346</v>
      </c>
      <c r="U87"/>
      <c r="W87" s="15"/>
    </row>
    <row r="88" spans="1:23" ht="16" thickBot="1" x14ac:dyDescent="0.4">
      <c r="U88"/>
      <c r="W88" s="15"/>
    </row>
    <row r="89" spans="1:23" ht="16" thickBot="1" x14ac:dyDescent="0.4">
      <c r="A89" s="46" t="s">
        <v>212</v>
      </c>
      <c r="B89" s="92"/>
      <c r="C89" s="146" t="s">
        <v>50</v>
      </c>
      <c r="D89" s="146" t="s">
        <v>51</v>
      </c>
      <c r="E89" s="80" t="s">
        <v>52</v>
      </c>
      <c r="G89" s="435" t="s">
        <v>94</v>
      </c>
      <c r="H89" s="247" t="s">
        <v>209</v>
      </c>
      <c r="I89" s="241"/>
      <c r="J89" s="242"/>
      <c r="U89"/>
      <c r="V89" s="15"/>
    </row>
    <row r="90" spans="1:23" ht="34" customHeight="1" thickBot="1" x14ac:dyDescent="0.4">
      <c r="A90" s="39"/>
      <c r="B90" s="249" t="s">
        <v>49</v>
      </c>
      <c r="C90" s="233">
        <f>Bandwidth!$O$39</f>
        <v>388.21250271999992</v>
      </c>
      <c r="D90" s="233">
        <f>Bandwidth!$O$41</f>
        <v>919.94863786666656</v>
      </c>
      <c r="E90" s="234">
        <f>Bandwidth!$O$43</f>
        <v>1635.5289390933331</v>
      </c>
      <c r="G90" s="436"/>
      <c r="H90" s="236" t="s">
        <v>50</v>
      </c>
      <c r="I90" s="237" t="s">
        <v>51</v>
      </c>
      <c r="J90" s="238" t="s">
        <v>52</v>
      </c>
      <c r="U90"/>
      <c r="V90" s="15"/>
    </row>
    <row r="91" spans="1:23" x14ac:dyDescent="0.35">
      <c r="G91" s="235" t="s">
        <v>90</v>
      </c>
      <c r="H91" s="188">
        <f>ROUNDUP(C90/gig_bw,0)*2</f>
        <v>1036</v>
      </c>
      <c r="I91" s="188">
        <f>ROUNDUP(D90/gig_bw,0)*2</f>
        <v>2454</v>
      </c>
      <c r="J91" s="188">
        <f>ROUNDUP(E90/gig_bw,0)*2</f>
        <v>4362</v>
      </c>
      <c r="U91"/>
      <c r="V91" s="15"/>
    </row>
    <row r="92" spans="1:23" x14ac:dyDescent="0.35">
      <c r="G92" s="235" t="s">
        <v>92</v>
      </c>
      <c r="H92" s="188">
        <f>ROUNDUP(C90/oc48_bw,0)*2</f>
        <v>416</v>
      </c>
      <c r="I92" s="188">
        <f>ROUNDUP(D90/oc48_bw,0)*2</f>
        <v>982</v>
      </c>
      <c r="J92" s="188">
        <f>ROUNDUP(E90/oc48_bw,0)*2</f>
        <v>1746</v>
      </c>
      <c r="U92"/>
      <c r="V92" s="15"/>
    </row>
    <row r="93" spans="1:23" ht="16" thickBot="1" x14ac:dyDescent="0.4">
      <c r="G93" s="93" t="s">
        <v>93</v>
      </c>
      <c r="H93" s="189">
        <f>ROUNDUP(C90/oc192_bw,0)*2</f>
        <v>104</v>
      </c>
      <c r="I93" s="189">
        <f>ROUNDUP(D90/oc192_bw,0)*2</f>
        <v>246</v>
      </c>
      <c r="J93" s="189">
        <f>ROUNDUP(E90/oc192_bw,0)*2</f>
        <v>438</v>
      </c>
      <c r="U93"/>
      <c r="V93" s="15"/>
    </row>
    <row r="94" spans="1:23" x14ac:dyDescent="0.35">
      <c r="U94"/>
      <c r="W94" s="15"/>
    </row>
    <row r="95" spans="1:23" x14ac:dyDescent="0.35">
      <c r="U95"/>
      <c r="W95" s="15"/>
    </row>
    <row r="96" spans="1:23" x14ac:dyDescent="0.35">
      <c r="A96" s="11" t="s">
        <v>222</v>
      </c>
      <c r="U96"/>
      <c r="W96" s="15"/>
    </row>
    <row r="97" spans="1:51" x14ac:dyDescent="0.35">
      <c r="A97" t="s">
        <v>219</v>
      </c>
      <c r="U97"/>
      <c r="W97" s="15"/>
    </row>
    <row r="98" spans="1:51" x14ac:dyDescent="0.35">
      <c r="A98" t="s">
        <v>210</v>
      </c>
      <c r="F98" s="70"/>
      <c r="N98" s="70"/>
      <c r="U98"/>
      <c r="W98" s="15"/>
    </row>
    <row r="99" spans="1:51" x14ac:dyDescent="0.35">
      <c r="A99" t="s">
        <v>211</v>
      </c>
      <c r="C99" s="5"/>
      <c r="E99" s="2"/>
      <c r="F99" s="88"/>
      <c r="G99" s="70"/>
      <c r="H99" s="8"/>
      <c r="I99" s="87"/>
      <c r="U99"/>
      <c r="W99" s="15"/>
    </row>
    <row r="100" spans="1:51" ht="16" thickBot="1" x14ac:dyDescent="0.4">
      <c r="G100" s="5"/>
      <c r="H100" s="5"/>
      <c r="U100"/>
      <c r="W100" s="15"/>
    </row>
    <row r="101" spans="1:51" ht="17" customHeight="1" thickBot="1" x14ac:dyDescent="0.4">
      <c r="A101" s="248" t="s">
        <v>212</v>
      </c>
      <c r="B101" s="92"/>
      <c r="C101" s="146" t="s">
        <v>50</v>
      </c>
      <c r="D101" s="146" t="s">
        <v>51</v>
      </c>
      <c r="E101" s="80" t="s">
        <v>52</v>
      </c>
      <c r="G101" s="435"/>
      <c r="H101" s="247" t="s">
        <v>209</v>
      </c>
      <c r="I101" s="241"/>
      <c r="J101" s="242"/>
      <c r="U101"/>
      <c r="W101" s="15"/>
    </row>
    <row r="102" spans="1:51" ht="16" thickBot="1" x14ac:dyDescent="0.4">
      <c r="A102" s="73"/>
      <c r="B102" s="249" t="s">
        <v>82</v>
      </c>
      <c r="C102" s="239">
        <f>M75</f>
        <v>800</v>
      </c>
      <c r="D102" s="239">
        <f>W75</f>
        <v>1279</v>
      </c>
      <c r="E102" s="240">
        <f>AH75</f>
        <v>2158</v>
      </c>
      <c r="G102" s="436"/>
      <c r="H102" s="236" t="s">
        <v>50</v>
      </c>
      <c r="I102" s="237" t="s">
        <v>51</v>
      </c>
      <c r="J102" s="238" t="s">
        <v>52</v>
      </c>
      <c r="U102"/>
      <c r="W102" s="15"/>
    </row>
    <row r="103" spans="1:51" ht="16" thickBot="1" x14ac:dyDescent="0.4">
      <c r="E103" s="5"/>
      <c r="G103" s="93" t="s">
        <v>90</v>
      </c>
      <c r="H103" s="189">
        <f>C102*gen_xl_ports</f>
        <v>3200</v>
      </c>
      <c r="I103" s="189">
        <f>D102*gen_xl_ports</f>
        <v>5116</v>
      </c>
      <c r="J103" s="189">
        <f>E102*gen_xl_ports</f>
        <v>8632</v>
      </c>
      <c r="K103" t="s">
        <v>220</v>
      </c>
      <c r="U103"/>
      <c r="W103" s="15"/>
    </row>
    <row r="104" spans="1:51" x14ac:dyDescent="0.35">
      <c r="U104"/>
      <c r="W104" s="15"/>
    </row>
    <row r="105" spans="1:51" x14ac:dyDescent="0.35">
      <c r="U105"/>
      <c r="W105" s="15"/>
    </row>
    <row r="106" spans="1:51" ht="19" thickBot="1" x14ac:dyDescent="0.5">
      <c r="A106" s="51" t="s">
        <v>226</v>
      </c>
      <c r="U106"/>
      <c r="W106" s="15"/>
    </row>
    <row r="107" spans="1:51" ht="16" thickBot="1" x14ac:dyDescent="0.4">
      <c r="A107" t="s">
        <v>227</v>
      </c>
      <c r="G107" s="433"/>
      <c r="H107" s="250" t="s">
        <v>231</v>
      </c>
      <c r="I107" s="241"/>
      <c r="J107" s="242"/>
      <c r="L107" s="433"/>
      <c r="M107" s="107" t="s">
        <v>107</v>
      </c>
      <c r="N107" s="108"/>
      <c r="O107" s="109"/>
      <c r="P107" s="107" t="s">
        <v>98</v>
      </c>
      <c r="Q107" s="108"/>
      <c r="R107" s="109"/>
      <c r="S107" s="107" t="s">
        <v>230</v>
      </c>
      <c r="T107" s="108"/>
      <c r="U107" s="108"/>
      <c r="V107" s="107" t="s">
        <v>243</v>
      </c>
      <c r="W107" s="108"/>
      <c r="X107" s="109"/>
      <c r="Z107" s="107" t="s">
        <v>50</v>
      </c>
      <c r="AA107" s="108"/>
      <c r="AB107" s="108"/>
      <c r="AC107" s="108"/>
      <c r="AD107" s="108"/>
      <c r="AE107" s="109"/>
      <c r="AG107" s="107" t="s">
        <v>51</v>
      </c>
      <c r="AH107" s="108"/>
      <c r="AI107" s="108"/>
      <c r="AJ107" s="108"/>
      <c r="AK107" s="108"/>
      <c r="AL107" s="109"/>
      <c r="AN107" s="107" t="s">
        <v>52</v>
      </c>
      <c r="AO107" s="108"/>
      <c r="AP107" s="108"/>
      <c r="AQ107" s="108"/>
      <c r="AR107" s="108"/>
      <c r="AS107" s="109"/>
      <c r="AU107" s="147" t="s">
        <v>76</v>
      </c>
      <c r="AV107" s="148"/>
      <c r="AW107" s="148"/>
      <c r="AX107" s="148"/>
      <c r="AY107" s="149"/>
    </row>
    <row r="108" spans="1:51" ht="31.5" thickBot="1" x14ac:dyDescent="0.4">
      <c r="A108" t="s">
        <v>223</v>
      </c>
      <c r="G108" s="426"/>
      <c r="H108" s="236" t="s">
        <v>50</v>
      </c>
      <c r="I108" s="237" t="s">
        <v>51</v>
      </c>
      <c r="J108" s="238" t="s">
        <v>52</v>
      </c>
      <c r="L108" s="432"/>
      <c r="M108" s="256" t="s">
        <v>50</v>
      </c>
      <c r="N108" s="209" t="s">
        <v>51</v>
      </c>
      <c r="O108" s="210" t="s">
        <v>52</v>
      </c>
      <c r="P108" s="174" t="s">
        <v>50</v>
      </c>
      <c r="Q108" s="108" t="s">
        <v>51</v>
      </c>
      <c r="R108" s="109" t="s">
        <v>52</v>
      </c>
      <c r="S108" s="174" t="s">
        <v>50</v>
      </c>
      <c r="T108" s="108" t="s">
        <v>51</v>
      </c>
      <c r="U108" s="108" t="s">
        <v>52</v>
      </c>
      <c r="V108" s="174" t="s">
        <v>50</v>
      </c>
      <c r="W108" s="108" t="s">
        <v>51</v>
      </c>
      <c r="X108" s="109" t="s">
        <v>52</v>
      </c>
      <c r="Z108" s="174" t="s">
        <v>170</v>
      </c>
      <c r="AA108" s="175" t="s">
        <v>87</v>
      </c>
      <c r="AB108" s="175" t="s">
        <v>58</v>
      </c>
      <c r="AC108" s="181" t="s">
        <v>242</v>
      </c>
      <c r="AD108" s="181" t="s">
        <v>60</v>
      </c>
      <c r="AE108" s="190" t="s">
        <v>97</v>
      </c>
      <c r="AG108" s="174" t="s">
        <v>170</v>
      </c>
      <c r="AH108" s="175" t="s">
        <v>87</v>
      </c>
      <c r="AI108" s="175" t="s">
        <v>58</v>
      </c>
      <c r="AJ108" s="181" t="s">
        <v>242</v>
      </c>
      <c r="AK108" s="181" t="s">
        <v>60</v>
      </c>
      <c r="AL108" s="190" t="s">
        <v>97</v>
      </c>
      <c r="AN108" s="174" t="s">
        <v>170</v>
      </c>
      <c r="AO108" s="175" t="s">
        <v>87</v>
      </c>
      <c r="AP108" s="175" t="s">
        <v>58</v>
      </c>
      <c r="AQ108" s="181" t="s">
        <v>242</v>
      </c>
      <c r="AR108" s="181" t="s">
        <v>60</v>
      </c>
      <c r="AS108" s="190" t="s">
        <v>97</v>
      </c>
      <c r="AU108" s="92"/>
      <c r="AV108" s="78" t="s">
        <v>50</v>
      </c>
      <c r="AW108" s="146" t="s">
        <v>51</v>
      </c>
      <c r="AX108" s="80" t="s">
        <v>52</v>
      </c>
      <c r="AY108" s="81" t="s">
        <v>77</v>
      </c>
    </row>
    <row r="109" spans="1:51" ht="17" customHeight="1" thickBot="1" x14ac:dyDescent="0.4">
      <c r="A109" s="437" t="s">
        <v>224</v>
      </c>
      <c r="B109" s="437"/>
      <c r="C109" s="437"/>
      <c r="D109" s="437"/>
      <c r="E109" s="437"/>
      <c r="G109" s="71" t="s">
        <v>90</v>
      </c>
      <c r="H109" s="188">
        <f>H103</f>
        <v>3200</v>
      </c>
      <c r="I109" s="188">
        <f t="shared" ref="I109:J109" si="17">I103</f>
        <v>5116</v>
      </c>
      <c r="J109" s="188">
        <f t="shared" si="17"/>
        <v>8632</v>
      </c>
      <c r="L109" s="235" t="s">
        <v>90</v>
      </c>
      <c r="M109" s="255">
        <f>ROUNDUP(H109/gig_ports,0)</f>
        <v>400</v>
      </c>
      <c r="N109" s="9">
        <f>ROUNDUP(I109/gig_ports,0)</f>
        <v>640</v>
      </c>
      <c r="O109" s="76">
        <f>ROUNDUP(J109/gig_ports,0)</f>
        <v>1079</v>
      </c>
      <c r="P109" s="255">
        <f>ROUNDUP(M109/20,0)</f>
        <v>20</v>
      </c>
      <c r="Q109" s="9">
        <f>ROUNDUP(N109/20,0)</f>
        <v>32</v>
      </c>
      <c r="R109" s="76">
        <f>ROUNDUP(O109/20,0)</f>
        <v>54</v>
      </c>
      <c r="S109" s="259"/>
      <c r="T109" s="259"/>
      <c r="U109" s="259"/>
      <c r="V109" s="261">
        <f>ROUNDUP(M109*gig_pwr*24*365,0)</f>
        <v>189216</v>
      </c>
      <c r="W109" s="131">
        <f>ROUNDUP(N109*gig_pwr*24*365,0)</f>
        <v>302746</v>
      </c>
      <c r="X109" s="262">
        <f>ROUNDUP(O109*gig_pwr*24*365,0)</f>
        <v>510411</v>
      </c>
      <c r="Z109" s="68">
        <f>M109*gig_cost+M110*oc48_cost+M111*oc192_cost</f>
        <v>3220000</v>
      </c>
      <c r="AA109" s="75">
        <f>P112*shelf_cost</f>
        <v>200000</v>
      </c>
      <c r="AB109" s="75">
        <f>S112*rack_cost</f>
        <v>100000</v>
      </c>
      <c r="AC109" s="75">
        <f>ROUNDUP(V112*kwh_cost,0)</f>
        <v>22613</v>
      </c>
      <c r="AD109" s="75">
        <v>0</v>
      </c>
      <c r="AE109" s="244">
        <f>SUM(Z109:AD109)</f>
        <v>3542613</v>
      </c>
      <c r="AG109" s="68">
        <f>N109*gig_cost+N110*oc48_cost+N111*oc192_cost-Z109</f>
        <v>2131000</v>
      </c>
      <c r="AH109" s="75">
        <f>Q112*shelf_cost-AA109</f>
        <v>120000</v>
      </c>
      <c r="AI109" s="75">
        <f>T112*rack_cost-AB109</f>
        <v>60000</v>
      </c>
      <c r="AJ109" s="75">
        <f>ROUNDUP(W112*kwh_cost,0)</f>
        <v>38599</v>
      </c>
      <c r="AK109" s="75">
        <f>ROUND(hw_supt*SUM(Z109,AA109),0)</f>
        <v>684000</v>
      </c>
      <c r="AL109" s="244">
        <f>SUM(AG109:AK109)</f>
        <v>3033599</v>
      </c>
      <c r="AN109" s="68">
        <f>O109*gig_cost+O110*oc48_cost+O111*oc192_cost-AG109-Z109</f>
        <v>3731000</v>
      </c>
      <c r="AO109" s="75">
        <f>R112*shelf_cost-AH109-AA109</f>
        <v>220000</v>
      </c>
      <c r="AP109" s="75">
        <f>U112*rack_cost-AI109-AB109</f>
        <v>110000</v>
      </c>
      <c r="AQ109" s="75">
        <f>ROUNDUP(X112*kwh_cost,0)</f>
        <v>65807</v>
      </c>
      <c r="AR109" s="75">
        <f>ROUND(hw_supt*SUM(Z109,AG109,AA109,AH109),0)</f>
        <v>1134200</v>
      </c>
      <c r="AS109" s="244">
        <f>SUM(AN109:AR109)</f>
        <v>5261007</v>
      </c>
      <c r="AU109" s="254" t="s">
        <v>91</v>
      </c>
      <c r="AV109" s="280">
        <f>AE109</f>
        <v>3542613</v>
      </c>
      <c r="AW109" s="281">
        <f>AL109</f>
        <v>3033599</v>
      </c>
      <c r="AX109" s="282">
        <f>AS109</f>
        <v>5261007</v>
      </c>
      <c r="AY109" s="283">
        <f>SUM(AV109:AX109)</f>
        <v>11837219</v>
      </c>
    </row>
    <row r="110" spans="1:51" x14ac:dyDescent="0.35">
      <c r="A110" s="437"/>
      <c r="B110" s="437"/>
      <c r="C110" s="437"/>
      <c r="D110" s="437"/>
      <c r="E110" s="437"/>
      <c r="G110" s="71" t="s">
        <v>92</v>
      </c>
      <c r="H110" s="188">
        <f>H92</f>
        <v>416</v>
      </c>
      <c r="I110" s="188">
        <f t="shared" ref="I110:J110" si="18">I92</f>
        <v>982</v>
      </c>
      <c r="J110" s="188">
        <f t="shared" si="18"/>
        <v>1746</v>
      </c>
      <c r="L110" s="235" t="s">
        <v>92</v>
      </c>
      <c r="M110" s="255">
        <f>ROUNDUP(H110/oc48_ports,0)</f>
        <v>52</v>
      </c>
      <c r="N110" s="9">
        <f>ROUNDUP(I110/oc48_ports,0)</f>
        <v>123</v>
      </c>
      <c r="O110" s="76">
        <f>ROUNDUP(J110/oc48_ports,0)</f>
        <v>219</v>
      </c>
      <c r="P110" s="255">
        <f>ROUNDUP(M110/8,0)</f>
        <v>7</v>
      </c>
      <c r="Q110" s="9">
        <f>ROUNDUP(N110/8,0)</f>
        <v>16</v>
      </c>
      <c r="R110" s="76">
        <f>ROUNDUP(O110/8,0)</f>
        <v>28</v>
      </c>
      <c r="S110" s="259"/>
      <c r="T110" s="259"/>
      <c r="U110" s="259"/>
      <c r="V110" s="261">
        <f>ROUNDUP(M110*oc48_pwr*24*365,0)</f>
        <v>61496</v>
      </c>
      <c r="W110" s="131">
        <f>ROUNDUP(N110*oc48_pwr*24*365,0)</f>
        <v>145460</v>
      </c>
      <c r="X110" s="262">
        <f>ROUNDUP(O110*oc48_pwr*24*365,0)</f>
        <v>258990</v>
      </c>
      <c r="AU110" s="235" t="s">
        <v>237</v>
      </c>
      <c r="AV110" s="255">
        <f>M112</f>
        <v>532</v>
      </c>
      <c r="AW110" s="9">
        <f>N112-M112</f>
        <v>359</v>
      </c>
      <c r="AX110" s="76">
        <f>O112-N112</f>
        <v>623</v>
      </c>
      <c r="AY110" s="188">
        <f>SUM(AV110:AX110)</f>
        <v>1514</v>
      </c>
    </row>
    <row r="111" spans="1:51" ht="16" thickBot="1" x14ac:dyDescent="0.4">
      <c r="A111" s="437"/>
      <c r="B111" s="437"/>
      <c r="C111" s="437"/>
      <c r="D111" s="437"/>
      <c r="E111" s="437"/>
      <c r="G111" s="71" t="s">
        <v>93</v>
      </c>
      <c r="H111" s="188" t="s">
        <v>196</v>
      </c>
      <c r="I111" s="188" t="s">
        <v>196</v>
      </c>
      <c r="J111" s="188" t="s">
        <v>196</v>
      </c>
      <c r="L111" s="235" t="s">
        <v>93</v>
      </c>
      <c r="M111" s="255">
        <f>P112*4</f>
        <v>80</v>
      </c>
      <c r="N111" s="9">
        <f>Q112*4</f>
        <v>128</v>
      </c>
      <c r="O111" s="76">
        <f>R112*4</f>
        <v>216</v>
      </c>
      <c r="P111" s="277" t="s">
        <v>196</v>
      </c>
      <c r="Q111" s="278" t="s">
        <v>196</v>
      </c>
      <c r="R111" s="279" t="s">
        <v>196</v>
      </c>
      <c r="S111" s="259"/>
      <c r="T111" s="259"/>
      <c r="U111" s="259"/>
      <c r="V111" s="261">
        <f>ROUNDUP(M111*oc192_pwr*24*365,0)</f>
        <v>189216</v>
      </c>
      <c r="W111" s="131">
        <f>ROUNDUP(N111*oc192_pwr*24*365,0)</f>
        <v>302746</v>
      </c>
      <c r="X111" s="262">
        <f>ROUNDUP(O111*oc192_pwr*24*365,0)</f>
        <v>510884</v>
      </c>
      <c r="AU111" s="235" t="s">
        <v>238</v>
      </c>
      <c r="AV111" s="255">
        <f>P112</f>
        <v>20</v>
      </c>
      <c r="AW111" s="9">
        <f>Q112-P112</f>
        <v>12</v>
      </c>
      <c r="AX111" s="76">
        <f>R112-Q112</f>
        <v>22</v>
      </c>
      <c r="AY111" s="188">
        <f t="shared" ref="AY111:AY113" si="19">SUM(AV111:AX111)</f>
        <v>54</v>
      </c>
    </row>
    <row r="112" spans="1:51" ht="16" thickBot="1" x14ac:dyDescent="0.4">
      <c r="G112" s="107" t="s">
        <v>84</v>
      </c>
      <c r="H112" s="253">
        <f>SUM(H109:H110)</f>
        <v>3616</v>
      </c>
      <c r="I112" s="253">
        <f t="shared" ref="I112:J112" si="20">SUM(I109:I110)</f>
        <v>6098</v>
      </c>
      <c r="J112" s="253">
        <f t="shared" si="20"/>
        <v>10378</v>
      </c>
      <c r="L112" s="254" t="s">
        <v>84</v>
      </c>
      <c r="M112" s="257">
        <f>SUM(M109:M111)</f>
        <v>532</v>
      </c>
      <c r="N112" s="251">
        <f t="shared" ref="N112" si="21">SUM(N109:N111)</f>
        <v>891</v>
      </c>
      <c r="O112" s="252">
        <f t="shared" ref="O112" si="22">SUM(O109:O111)</f>
        <v>1514</v>
      </c>
      <c r="P112" s="257">
        <f>MAX(P109:P111)</f>
        <v>20</v>
      </c>
      <c r="Q112" s="251">
        <f t="shared" ref="Q112:R112" si="23">MAX(Q109:Q111)</f>
        <v>32</v>
      </c>
      <c r="R112" s="252">
        <f t="shared" si="23"/>
        <v>54</v>
      </c>
      <c r="S112" s="257">
        <f>P112</f>
        <v>20</v>
      </c>
      <c r="T112" s="251">
        <f t="shared" ref="T112:U112" si="24">Q112</f>
        <v>32</v>
      </c>
      <c r="U112" s="251">
        <f t="shared" si="24"/>
        <v>54</v>
      </c>
      <c r="V112" s="257">
        <f>SUM(V109:V111)</f>
        <v>439928</v>
      </c>
      <c r="W112" s="251">
        <f t="shared" ref="W112:X112" si="25">SUM(W109:W111)</f>
        <v>750952</v>
      </c>
      <c r="X112" s="252">
        <f t="shared" si="25"/>
        <v>1280285</v>
      </c>
      <c r="AU112" s="235" t="s">
        <v>236</v>
      </c>
      <c r="AV112" s="255">
        <f>S112</f>
        <v>20</v>
      </c>
      <c r="AW112" s="9">
        <f>T112-S112</f>
        <v>12</v>
      </c>
      <c r="AX112" s="76">
        <f>U112-T112</f>
        <v>22</v>
      </c>
      <c r="AY112" s="188">
        <f t="shared" si="19"/>
        <v>54</v>
      </c>
    </row>
    <row r="113" spans="1:93" ht="16" thickBot="1" x14ac:dyDescent="0.4">
      <c r="U113"/>
      <c r="W113" s="15"/>
      <c r="AU113" s="93" t="s">
        <v>234</v>
      </c>
      <c r="AV113" s="110">
        <f>V112</f>
        <v>439928</v>
      </c>
      <c r="AW113" s="69">
        <f>W112</f>
        <v>750952</v>
      </c>
      <c r="AX113" s="77">
        <f>X112</f>
        <v>1280285</v>
      </c>
      <c r="AY113" s="189">
        <f t="shared" si="19"/>
        <v>2471165</v>
      </c>
    </row>
    <row r="115" spans="1:93" x14ac:dyDescent="0.35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111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6"/>
      <c r="CL115" s="86"/>
      <c r="CM115" s="86"/>
      <c r="CN115" s="86"/>
      <c r="CO115" s="86"/>
    </row>
    <row r="117" spans="1:93" ht="18.5" x14ac:dyDescent="0.45">
      <c r="A117" s="83" t="s">
        <v>101</v>
      </c>
    </row>
    <row r="118" spans="1:93" x14ac:dyDescent="0.35">
      <c r="A118" t="s">
        <v>302</v>
      </c>
    </row>
    <row r="119" spans="1:93" x14ac:dyDescent="0.35">
      <c r="A119" t="s">
        <v>244</v>
      </c>
    </row>
    <row r="120" spans="1:93" x14ac:dyDescent="0.35">
      <c r="A120" t="s">
        <v>294</v>
      </c>
    </row>
    <row r="122" spans="1:93" x14ac:dyDescent="0.35">
      <c r="C122" s="11" t="s">
        <v>50</v>
      </c>
      <c r="D122" s="11" t="s">
        <v>51</v>
      </c>
      <c r="E122" s="11" t="s">
        <v>52</v>
      </c>
    </row>
    <row r="123" spans="1:93" x14ac:dyDescent="0.35">
      <c r="A123" s="11" t="s">
        <v>287</v>
      </c>
      <c r="B123" s="289"/>
      <c r="C123" s="290"/>
      <c r="D123" s="290"/>
      <c r="E123" s="290"/>
      <c r="T123" s="15"/>
      <c r="U123"/>
    </row>
    <row r="124" spans="1:93" x14ac:dyDescent="0.35">
      <c r="A124" s="11"/>
      <c r="B124" s="311" t="s">
        <v>288</v>
      </c>
      <c r="C124" s="290"/>
      <c r="D124" s="290"/>
      <c r="E124" s="290"/>
      <c r="T124" s="15"/>
      <c r="U124"/>
    </row>
    <row r="125" spans="1:93" x14ac:dyDescent="0.35">
      <c r="B125" s="14" t="s">
        <v>240</v>
      </c>
      <c r="C125" s="1">
        <f>C16*rack_sf*2</f>
        <v>8640</v>
      </c>
      <c r="D125" s="1">
        <f>D16*rack_sf*2</f>
        <v>13824</v>
      </c>
      <c r="E125" s="1">
        <f>E16*rack_sf*2</f>
        <v>23360</v>
      </c>
      <c r="T125" s="15"/>
      <c r="U125"/>
    </row>
    <row r="126" spans="1:93" x14ac:dyDescent="0.35">
      <c r="B126" s="308" t="s">
        <v>279</v>
      </c>
      <c r="C126" s="309">
        <f>acres*acre_cost</f>
        <v>500000</v>
      </c>
      <c r="D126" s="310">
        <v>0</v>
      </c>
      <c r="E126" s="310">
        <v>0</v>
      </c>
      <c r="T126" s="15"/>
      <c r="U126"/>
    </row>
    <row r="127" spans="1:93" x14ac:dyDescent="0.35">
      <c r="B127" s="308" t="s">
        <v>280</v>
      </c>
      <c r="C127" s="309">
        <f>E143*23801/2</f>
        <v>16832811.660502281</v>
      </c>
      <c r="D127" s="310">
        <v>0</v>
      </c>
      <c r="E127" s="310">
        <v>0</v>
      </c>
      <c r="T127" s="15"/>
      <c r="U127"/>
    </row>
    <row r="128" spans="1:93" x14ac:dyDescent="0.35">
      <c r="B128" s="308" t="s">
        <v>281</v>
      </c>
      <c r="C128" s="309">
        <f>C125/2*262</f>
        <v>1131840</v>
      </c>
      <c r="D128" s="310">
        <v>0</v>
      </c>
      <c r="E128" s="310">
        <v>0</v>
      </c>
      <c r="T128" s="15"/>
      <c r="U128"/>
    </row>
    <row r="129" spans="1:21" x14ac:dyDescent="0.35">
      <c r="B129" s="308" t="s">
        <v>290</v>
      </c>
      <c r="C129" s="309">
        <f>2%*SUM(C126:C128)</f>
        <v>369293.0332100456</v>
      </c>
      <c r="D129" s="307">
        <v>0</v>
      </c>
      <c r="E129" s="307">
        <v>0</v>
      </c>
      <c r="T129" s="15"/>
      <c r="U129"/>
    </row>
    <row r="130" spans="1:21" x14ac:dyDescent="0.35">
      <c r="B130" s="308" t="s">
        <v>291</v>
      </c>
      <c r="C130" s="309">
        <f>5%*SUM(C127:C128)</f>
        <v>898232.58302511415</v>
      </c>
      <c r="D130" s="307"/>
      <c r="E130" s="307"/>
      <c r="T130" s="15"/>
      <c r="U130"/>
    </row>
    <row r="131" spans="1:21" x14ac:dyDescent="0.35">
      <c r="B131" s="308" t="s">
        <v>292</v>
      </c>
      <c r="C131" s="2"/>
    </row>
    <row r="132" spans="1:21" x14ac:dyDescent="0.35">
      <c r="B132" s="48" t="s">
        <v>251</v>
      </c>
      <c r="C132" s="5">
        <f>J92</f>
        <v>1746</v>
      </c>
      <c r="D132" s="47"/>
      <c r="E132" s="47"/>
    </row>
    <row r="133" spans="1:21" x14ac:dyDescent="0.35">
      <c r="B133" s="48" t="s">
        <v>246</v>
      </c>
      <c r="C133" s="5">
        <f>ROUNDUP(C132/144,0)</f>
        <v>13</v>
      </c>
      <c r="D133" s="47"/>
      <c r="E133" s="47"/>
    </row>
    <row r="134" spans="1:21" x14ac:dyDescent="0.35">
      <c r="B134" s="48" t="s">
        <v>248</v>
      </c>
      <c r="C134" s="1">
        <f>C133*fiber_run*110%</f>
        <v>75504</v>
      </c>
      <c r="D134" s="47"/>
      <c r="E134" s="47"/>
    </row>
    <row r="135" spans="1:21" x14ac:dyDescent="0.35">
      <c r="B135" s="48" t="s">
        <v>249</v>
      </c>
      <c r="C135" s="87">
        <f>C134*fiber_cost</f>
        <v>148742.88</v>
      </c>
      <c r="D135" s="47"/>
      <c r="E135" s="47"/>
    </row>
    <row r="136" spans="1:21" x14ac:dyDescent="0.35">
      <c r="B136" s="48" t="s">
        <v>252</v>
      </c>
      <c r="C136" s="87">
        <v>250000</v>
      </c>
      <c r="D136" s="47"/>
      <c r="E136" s="47"/>
    </row>
    <row r="137" spans="1:21" x14ac:dyDescent="0.35">
      <c r="B137" s="64" t="s">
        <v>253</v>
      </c>
      <c r="C137" s="66">
        <f>SUM(C135:C136)</f>
        <v>398742.88</v>
      </c>
      <c r="D137" s="28">
        <v>0</v>
      </c>
      <c r="E137" s="28">
        <v>0</v>
      </c>
    </row>
    <row r="138" spans="1:21" x14ac:dyDescent="0.35">
      <c r="B138" s="315" t="s">
        <v>300</v>
      </c>
      <c r="C138" s="316">
        <f>C125/2*65</f>
        <v>280800</v>
      </c>
      <c r="D138" s="28">
        <v>0</v>
      </c>
      <c r="E138" s="28">
        <v>0</v>
      </c>
    </row>
    <row r="139" spans="1:21" x14ac:dyDescent="0.35">
      <c r="B139" s="308" t="s">
        <v>293</v>
      </c>
      <c r="C139" s="66">
        <f>50*E143/2</f>
        <v>35361.563926940638</v>
      </c>
      <c r="D139" s="28">
        <v>0</v>
      </c>
      <c r="E139" s="28">
        <v>0</v>
      </c>
    </row>
    <row r="140" spans="1:21" x14ac:dyDescent="0.35">
      <c r="B140" s="26" t="s">
        <v>297</v>
      </c>
      <c r="C140" s="290">
        <f>SUM(C126:C130,C137,C138,C139)</f>
        <v>20447081.720664378</v>
      </c>
      <c r="D140" s="307">
        <v>0</v>
      </c>
      <c r="E140" s="307">
        <v>0</v>
      </c>
      <c r="T140" s="15"/>
      <c r="U140"/>
    </row>
    <row r="141" spans="1:21" x14ac:dyDescent="0.35">
      <c r="A141" s="11" t="s">
        <v>299</v>
      </c>
      <c r="B141" s="29"/>
      <c r="C141" s="290"/>
      <c r="D141" s="307"/>
      <c r="E141" s="307"/>
      <c r="T141" s="15"/>
      <c r="U141"/>
    </row>
    <row r="142" spans="1:21" x14ac:dyDescent="0.35">
      <c r="B142" s="17" t="s">
        <v>282</v>
      </c>
      <c r="C142" s="28"/>
      <c r="D142" s="28"/>
      <c r="E142" s="28"/>
    </row>
    <row r="143" spans="1:21" x14ac:dyDescent="0.35">
      <c r="A143" s="11"/>
      <c r="B143" s="285" t="s">
        <v>289</v>
      </c>
      <c r="C143" s="30">
        <f>C146/24/365</f>
        <v>516.43995433789962</v>
      </c>
      <c r="D143" s="30">
        <f t="shared" ref="D143:E143" si="26">D146/24/365</f>
        <v>836.53013698630139</v>
      </c>
      <c r="E143" s="30">
        <f t="shared" si="26"/>
        <v>1414.4625570776254</v>
      </c>
    </row>
    <row r="144" spans="1:21" x14ac:dyDescent="0.35">
      <c r="B144" s="285" t="s">
        <v>285</v>
      </c>
      <c r="C144" s="1">
        <f>(BP75+AV113)</f>
        <v>2262007</v>
      </c>
      <c r="D144" s="1">
        <f>(BQ75+AW113)</f>
        <v>3664002</v>
      </c>
      <c r="E144" s="1">
        <f>(BR75+AX113)</f>
        <v>6195346</v>
      </c>
      <c r="T144" s="15"/>
      <c r="U144"/>
    </row>
    <row r="145" spans="1:21" x14ac:dyDescent="0.35">
      <c r="B145" s="285" t="s">
        <v>286</v>
      </c>
      <c r="C145" s="1">
        <f>C144</f>
        <v>2262007</v>
      </c>
      <c r="D145" s="1">
        <f t="shared" ref="D145:E145" si="27">D144</f>
        <v>3664002</v>
      </c>
      <c r="E145" s="1">
        <f t="shared" si="27"/>
        <v>6195346</v>
      </c>
      <c r="T145" s="15"/>
      <c r="U145"/>
    </row>
    <row r="146" spans="1:21" x14ac:dyDescent="0.35">
      <c r="B146" s="285" t="s">
        <v>284</v>
      </c>
      <c r="C146" s="1">
        <f>SUM(C144:C145)</f>
        <v>4524014</v>
      </c>
      <c r="D146" s="1">
        <f t="shared" ref="D146:E146" si="28">SUM(D144:D145)</f>
        <v>7328004</v>
      </c>
      <c r="E146" s="1">
        <f t="shared" si="28"/>
        <v>12390692</v>
      </c>
      <c r="T146" s="15"/>
      <c r="U146"/>
    </row>
    <row r="147" spans="1:21" x14ac:dyDescent="0.35">
      <c r="B147" s="306" t="s">
        <v>295</v>
      </c>
      <c r="C147" s="309">
        <f>C146*kwh_cost</f>
        <v>232534.31960000002</v>
      </c>
      <c r="D147" s="309">
        <f>D146*kwh_cost</f>
        <v>376659.4056</v>
      </c>
      <c r="E147" s="309">
        <f>E146*kwh_cost</f>
        <v>636881.56880000001</v>
      </c>
      <c r="T147" s="15"/>
      <c r="U147"/>
    </row>
    <row r="148" spans="1:21" x14ac:dyDescent="0.35">
      <c r="B148" s="311" t="s">
        <v>296</v>
      </c>
      <c r="C148" s="309">
        <f>(((Bandwidth!$O$39-Bandwidth!$O$37)/2)*1000)*ip_tx_cost*12</f>
        <v>655157.7253439998</v>
      </c>
      <c r="D148" s="309">
        <f>(((Bandwidth!$O$41-Bandwidth!$O$39)/2)*1000)*ip_tx_cost*12</f>
        <v>1435687.5648959999</v>
      </c>
      <c r="E148" s="309">
        <f>(((Bandwidth!$O$43-Bandwidth!$O$41)/2)*1000)*ip_tx_cost*12</f>
        <v>1932066.8133119997</v>
      </c>
    </row>
    <row r="149" spans="1:21" x14ac:dyDescent="0.35">
      <c r="B149" s="311" t="s">
        <v>304</v>
      </c>
      <c r="C149" s="309">
        <v>0</v>
      </c>
      <c r="D149" s="309">
        <f>AX75+AK109</f>
        <v>1060000</v>
      </c>
      <c r="E149" s="309">
        <f>SUM(BE75,AR109)</f>
        <v>1739832.6</v>
      </c>
    </row>
    <row r="150" spans="1:21" x14ac:dyDescent="0.35">
      <c r="B150" s="311" t="s">
        <v>272</v>
      </c>
      <c r="C150" s="87">
        <f>prop_tax*$C140</f>
        <v>204470.81720664378</v>
      </c>
      <c r="D150" s="87">
        <f>prop_tax*$C140</f>
        <v>204470.81720664378</v>
      </c>
      <c r="E150" s="87">
        <f>prop_tax*$C140</f>
        <v>204470.81720664378</v>
      </c>
      <c r="T150" s="15"/>
      <c r="U150"/>
    </row>
    <row r="151" spans="1:21" x14ac:dyDescent="0.35">
      <c r="B151" s="26" t="s">
        <v>298</v>
      </c>
      <c r="C151" s="312">
        <f>SUM(C147,C148,C149,C150)</f>
        <v>1092162.8621506437</v>
      </c>
      <c r="D151" s="312">
        <f t="shared" ref="D151:E151" si="29">SUM(D147,D148,D149,D150)</f>
        <v>3076817.7877026438</v>
      </c>
      <c r="E151" s="312">
        <f t="shared" si="29"/>
        <v>4513251.7993186433</v>
      </c>
    </row>
    <row r="152" spans="1:21" x14ac:dyDescent="0.35">
      <c r="A152" s="26" t="s">
        <v>273</v>
      </c>
    </row>
    <row r="153" spans="1:21" x14ac:dyDescent="0.35">
      <c r="B153" s="302" t="s">
        <v>274</v>
      </c>
      <c r="C153" s="87">
        <f>D173*1000</f>
        <v>390000</v>
      </c>
      <c r="D153" s="66">
        <f>C153*1.03</f>
        <v>401700</v>
      </c>
      <c r="E153" s="66">
        <f>D153*1.03</f>
        <v>413751</v>
      </c>
    </row>
    <row r="154" spans="1:21" x14ac:dyDescent="0.35">
      <c r="B154" s="302" t="s">
        <v>275</v>
      </c>
      <c r="C154" s="87">
        <f>E173*1000</f>
        <v>520000</v>
      </c>
      <c r="D154" s="66">
        <f t="shared" ref="D154:E158" si="30">C154*1.03</f>
        <v>535600</v>
      </c>
      <c r="E154" s="66">
        <f t="shared" si="30"/>
        <v>551668</v>
      </c>
    </row>
    <row r="155" spans="1:21" x14ac:dyDescent="0.35">
      <c r="B155" s="302" t="s">
        <v>258</v>
      </c>
      <c r="C155" s="87">
        <f>F173*1000</f>
        <v>416000</v>
      </c>
      <c r="D155" s="66">
        <f t="shared" si="30"/>
        <v>428480</v>
      </c>
      <c r="E155" s="66">
        <f>D155*1.03*1.333</f>
        <v>588298.75520000001</v>
      </c>
    </row>
    <row r="156" spans="1:21" x14ac:dyDescent="0.35">
      <c r="B156" s="302" t="s">
        <v>277</v>
      </c>
      <c r="C156" s="87">
        <f>G173*1000</f>
        <v>702000</v>
      </c>
      <c r="D156" s="66">
        <f t="shared" si="30"/>
        <v>723060</v>
      </c>
      <c r="E156" s="66">
        <f t="shared" si="30"/>
        <v>744751.8</v>
      </c>
    </row>
    <row r="157" spans="1:21" x14ac:dyDescent="0.35">
      <c r="B157" s="302" t="s">
        <v>276</v>
      </c>
      <c r="C157" s="87">
        <f>E174*C125</f>
        <v>34560</v>
      </c>
      <c r="D157" s="66">
        <f>C157*1.03</f>
        <v>35596.800000000003</v>
      </c>
      <c r="E157" s="66">
        <f>D157*1.03</f>
        <v>36664.704000000005</v>
      </c>
    </row>
    <row r="158" spans="1:21" x14ac:dyDescent="0.35">
      <c r="B158" s="26" t="s">
        <v>278</v>
      </c>
      <c r="C158" s="312">
        <f>SUM(C153:C156)</f>
        <v>2028000</v>
      </c>
      <c r="D158" s="312">
        <f t="shared" si="30"/>
        <v>2088840</v>
      </c>
      <c r="E158" s="312">
        <f t="shared" si="30"/>
        <v>2151505.2000000002</v>
      </c>
    </row>
    <row r="159" spans="1:21" x14ac:dyDescent="0.35">
      <c r="A159" s="11" t="s">
        <v>301</v>
      </c>
      <c r="B159" s="289"/>
      <c r="C159" s="312">
        <f>SUM(C140,C151,C158)</f>
        <v>23567244.582815021</v>
      </c>
      <c r="D159" s="312">
        <f>SUM(D140,D151,D158)</f>
        <v>5165657.7877026442</v>
      </c>
      <c r="E159" s="312">
        <f>SUM(E140,E151,E158)</f>
        <v>6664756.9993186435</v>
      </c>
    </row>
    <row r="160" spans="1:21" x14ac:dyDescent="0.35">
      <c r="B160" s="289"/>
      <c r="C160" s="305"/>
      <c r="D160" s="305"/>
      <c r="E160" s="305"/>
    </row>
    <row r="161" spans="2:7" x14ac:dyDescent="0.35">
      <c r="B161" s="289"/>
      <c r="C161" s="305"/>
      <c r="D161" s="305"/>
      <c r="E161" s="305"/>
    </row>
    <row r="166" spans="2:7" x14ac:dyDescent="0.35">
      <c r="B166" t="s">
        <v>283</v>
      </c>
    </row>
    <row r="167" spans="2:7" x14ac:dyDescent="0.35">
      <c r="D167" t="s">
        <v>255</v>
      </c>
      <c r="E167" t="s">
        <v>256</v>
      </c>
    </row>
    <row r="168" spans="2:7" x14ac:dyDescent="0.35">
      <c r="D168" t="s">
        <v>257</v>
      </c>
      <c r="E168" t="s">
        <v>257</v>
      </c>
      <c r="F168" t="s">
        <v>258</v>
      </c>
      <c r="G168" t="s">
        <v>259</v>
      </c>
    </row>
    <row r="169" spans="2:7" x14ac:dyDescent="0.35">
      <c r="B169" t="s">
        <v>260</v>
      </c>
      <c r="C169" t="s">
        <v>261</v>
      </c>
      <c r="D169" s="303">
        <v>100</v>
      </c>
      <c r="E169" s="303">
        <v>100</v>
      </c>
      <c r="F169" s="303">
        <v>80</v>
      </c>
      <c r="G169" s="303">
        <v>60</v>
      </c>
    </row>
    <row r="170" spans="2:7" x14ac:dyDescent="0.35">
      <c r="B170" t="s">
        <v>262</v>
      </c>
      <c r="C170" t="s">
        <v>263</v>
      </c>
      <c r="D170" s="303">
        <v>3</v>
      </c>
      <c r="E170" s="303">
        <v>4</v>
      </c>
      <c r="F170" s="303">
        <v>4</v>
      </c>
      <c r="G170" s="303">
        <v>3</v>
      </c>
    </row>
    <row r="171" spans="2:7" x14ac:dyDescent="0.35">
      <c r="B171" t="s">
        <v>264</v>
      </c>
      <c r="C171" t="s">
        <v>263</v>
      </c>
      <c r="D171" s="303">
        <v>1</v>
      </c>
      <c r="E171" s="303">
        <v>1</v>
      </c>
      <c r="F171" s="303">
        <v>1</v>
      </c>
      <c r="G171" s="303">
        <v>3</v>
      </c>
    </row>
    <row r="172" spans="2:7" x14ac:dyDescent="0.35">
      <c r="B172" t="s">
        <v>265</v>
      </c>
      <c r="C172" t="s">
        <v>266</v>
      </c>
      <c r="D172" s="304">
        <v>0.3</v>
      </c>
      <c r="E172" s="304">
        <v>0.3</v>
      </c>
      <c r="F172" s="304">
        <v>0.3</v>
      </c>
      <c r="G172" s="304">
        <v>0.3</v>
      </c>
    </row>
    <row r="173" spans="2:7" x14ac:dyDescent="0.35">
      <c r="B173" t="s">
        <v>267</v>
      </c>
      <c r="C173" t="s">
        <v>261</v>
      </c>
      <c r="D173">
        <f>D170*D171*D169*(1+D172)</f>
        <v>390</v>
      </c>
      <c r="E173">
        <f>E170*E171*E169*(1+E172)</f>
        <v>520</v>
      </c>
      <c r="F173">
        <f>F170*F171*F169*(1+F172)</f>
        <v>416</v>
      </c>
      <c r="G173">
        <f>G170*G171*G169*(1+G172)</f>
        <v>702</v>
      </c>
    </row>
    <row r="174" spans="2:7" x14ac:dyDescent="0.35">
      <c r="B174" t="s">
        <v>268</v>
      </c>
      <c r="E174" s="28">
        <v>4</v>
      </c>
      <c r="F174" t="s">
        <v>269</v>
      </c>
    </row>
  </sheetData>
  <mergeCells count="200">
    <mergeCell ref="A40:E40"/>
    <mergeCell ref="A49:E49"/>
    <mergeCell ref="A59:E59"/>
    <mergeCell ref="A109:E111"/>
    <mergeCell ref="G107:G108"/>
    <mergeCell ref="L107:L108"/>
    <mergeCell ref="AM41:AM43"/>
    <mergeCell ref="AM50:AM52"/>
    <mergeCell ref="AM60:AM62"/>
    <mergeCell ref="AM71:AM73"/>
    <mergeCell ref="U51:U52"/>
    <mergeCell ref="V51:V52"/>
    <mergeCell ref="AC61:AE61"/>
    <mergeCell ref="AF61:AF62"/>
    <mergeCell ref="AG61:AG62"/>
    <mergeCell ref="H51:J51"/>
    <mergeCell ref="K51:K52"/>
    <mergeCell ref="L51:L52"/>
    <mergeCell ref="O50:O52"/>
    <mergeCell ref="K61:K62"/>
    <mergeCell ref="L61:L62"/>
    <mergeCell ref="AI60:AI62"/>
    <mergeCell ref="AH60:AH62"/>
    <mergeCell ref="V61:V62"/>
    <mergeCell ref="AT41:AT43"/>
    <mergeCell ref="AT50:AT52"/>
    <mergeCell ref="AT60:AT62"/>
    <mergeCell ref="AT71:AT73"/>
    <mergeCell ref="G89:G90"/>
    <mergeCell ref="G101:G102"/>
    <mergeCell ref="H42:J42"/>
    <mergeCell ref="K42:K43"/>
    <mergeCell ref="L42:L43"/>
    <mergeCell ref="G41:G43"/>
    <mergeCell ref="H41:L41"/>
    <mergeCell ref="M41:M43"/>
    <mergeCell ref="N41:N43"/>
    <mergeCell ref="AC42:AE42"/>
    <mergeCell ref="AF42:AF43"/>
    <mergeCell ref="AG42:AG43"/>
    <mergeCell ref="AB41:AB43"/>
    <mergeCell ref="AC41:AG41"/>
    <mergeCell ref="AI41:AI43"/>
    <mergeCell ref="Z41:Z43"/>
    <mergeCell ref="AC50:AG50"/>
    <mergeCell ref="Q50:Q52"/>
    <mergeCell ref="R50:V50"/>
    <mergeCell ref="R51:T51"/>
    <mergeCell ref="BL41:BL43"/>
    <mergeCell ref="BL50:BL52"/>
    <mergeCell ref="BL60:BL62"/>
    <mergeCell ref="BI41:BI43"/>
    <mergeCell ref="BJ41:BJ43"/>
    <mergeCell ref="BK41:BK43"/>
    <mergeCell ref="BI50:BI52"/>
    <mergeCell ref="BJ50:BJ52"/>
    <mergeCell ref="BK50:BK52"/>
    <mergeCell ref="BI60:BI62"/>
    <mergeCell ref="BJ60:BJ62"/>
    <mergeCell ref="BK60:BK62"/>
    <mergeCell ref="BI71:BI73"/>
    <mergeCell ref="BJ71:BJ73"/>
    <mergeCell ref="BK71:BK73"/>
    <mergeCell ref="BL71:BL73"/>
    <mergeCell ref="BA41:BA43"/>
    <mergeCell ref="BA50:BA52"/>
    <mergeCell ref="BA60:BA62"/>
    <mergeCell ref="O41:O43"/>
    <mergeCell ref="AP41:AP43"/>
    <mergeCell ref="AR41:AR43"/>
    <mergeCell ref="AN41:AN43"/>
    <mergeCell ref="AO41:AO43"/>
    <mergeCell ref="AQ41:AQ43"/>
    <mergeCell ref="AH41:AH43"/>
    <mergeCell ref="AH50:AH52"/>
    <mergeCell ref="AI50:AI52"/>
    <mergeCell ref="Q41:Q43"/>
    <mergeCell ref="R41:V41"/>
    <mergeCell ref="X41:X43"/>
    <mergeCell ref="AU41:AU43"/>
    <mergeCell ref="Y41:Y43"/>
    <mergeCell ref="AV41:AV43"/>
    <mergeCell ref="W41:W43"/>
    <mergeCell ref="AX41:AX43"/>
    <mergeCell ref="AW41:AW43"/>
    <mergeCell ref="AY41:AY43"/>
    <mergeCell ref="R42:T42"/>
    <mergeCell ref="U42:U43"/>
    <mergeCell ref="V42:V43"/>
    <mergeCell ref="BB50:BB52"/>
    <mergeCell ref="AC51:AE51"/>
    <mergeCell ref="M50:M52"/>
    <mergeCell ref="AN50:AN52"/>
    <mergeCell ref="N50:N52"/>
    <mergeCell ref="AO50:AO52"/>
    <mergeCell ref="AF51:AF52"/>
    <mergeCell ref="AG51:AG52"/>
    <mergeCell ref="X50:X52"/>
    <mergeCell ref="AU50:AU52"/>
    <mergeCell ref="Y50:Y52"/>
    <mergeCell ref="AV50:AV52"/>
    <mergeCell ref="Z50:Z52"/>
    <mergeCell ref="AW50:AW52"/>
    <mergeCell ref="AQ50:AQ52"/>
    <mergeCell ref="AR50:AR52"/>
    <mergeCell ref="AY50:AY52"/>
    <mergeCell ref="AB50:AB52"/>
    <mergeCell ref="W50:W52"/>
    <mergeCell ref="AP50:AP52"/>
    <mergeCell ref="AX50:AX52"/>
    <mergeCell ref="Z60:Z62"/>
    <mergeCell ref="G50:G52"/>
    <mergeCell ref="H50:L50"/>
    <mergeCell ref="AW60:AW62"/>
    <mergeCell ref="AX60:AX62"/>
    <mergeCell ref="AP60:AP62"/>
    <mergeCell ref="AQ60:AQ62"/>
    <mergeCell ref="AR60:AR62"/>
    <mergeCell ref="Q60:Q62"/>
    <mergeCell ref="R60:V60"/>
    <mergeCell ref="X60:X62"/>
    <mergeCell ref="AK60:AK62"/>
    <mergeCell ref="R61:T61"/>
    <mergeCell ref="U61:U62"/>
    <mergeCell ref="G60:G62"/>
    <mergeCell ref="H60:L60"/>
    <mergeCell ref="M60:M62"/>
    <mergeCell ref="AN60:AN62"/>
    <mergeCell ref="N60:N62"/>
    <mergeCell ref="AO60:AO62"/>
    <mergeCell ref="O60:O62"/>
    <mergeCell ref="H61:J61"/>
    <mergeCell ref="W60:W62"/>
    <mergeCell ref="BF41:BF43"/>
    <mergeCell ref="BC60:BC62"/>
    <mergeCell ref="BD60:BD62"/>
    <mergeCell ref="BE60:BE62"/>
    <mergeCell ref="BF60:BF62"/>
    <mergeCell ref="BB60:BB62"/>
    <mergeCell ref="AJ60:AJ62"/>
    <mergeCell ref="AJ50:AJ52"/>
    <mergeCell ref="BC50:BC52"/>
    <mergeCell ref="AK50:AK52"/>
    <mergeCell ref="BD50:BD52"/>
    <mergeCell ref="BE50:BE52"/>
    <mergeCell ref="BF50:BF52"/>
    <mergeCell ref="BC41:BC43"/>
    <mergeCell ref="BE41:BE43"/>
    <mergeCell ref="BD41:BD43"/>
    <mergeCell ref="AK41:AK43"/>
    <mergeCell ref="AU60:AU62"/>
    <mergeCell ref="Y60:Y62"/>
    <mergeCell ref="AV60:AV62"/>
    <mergeCell ref="BB41:BB43"/>
    <mergeCell ref="AJ41:AJ43"/>
    <mergeCell ref="AY60:AY62"/>
    <mergeCell ref="BC71:BC73"/>
    <mergeCell ref="H71:L71"/>
    <mergeCell ref="M71:M73"/>
    <mergeCell ref="AN71:AN73"/>
    <mergeCell ref="N71:N73"/>
    <mergeCell ref="AO71:AO73"/>
    <mergeCell ref="O71:O73"/>
    <mergeCell ref="AP71:AP73"/>
    <mergeCell ref="AQ71:AQ73"/>
    <mergeCell ref="AR71:AR73"/>
    <mergeCell ref="Q71:Q73"/>
    <mergeCell ref="R71:V71"/>
    <mergeCell ref="W71:W73"/>
    <mergeCell ref="X71:X73"/>
    <mergeCell ref="AU71:AU73"/>
    <mergeCell ref="Y71:Y73"/>
    <mergeCell ref="AV71:AV73"/>
    <mergeCell ref="Z71:Z73"/>
    <mergeCell ref="AW71:AW73"/>
    <mergeCell ref="BA71:BA73"/>
    <mergeCell ref="AB60:AB62"/>
    <mergeCell ref="AC60:AG60"/>
    <mergeCell ref="G71:G73"/>
    <mergeCell ref="AK71:AK73"/>
    <mergeCell ref="BD71:BD73"/>
    <mergeCell ref="BE71:BE73"/>
    <mergeCell ref="BF71:BF73"/>
    <mergeCell ref="H72:J72"/>
    <mergeCell ref="K72:K73"/>
    <mergeCell ref="L72:L73"/>
    <mergeCell ref="R72:T72"/>
    <mergeCell ref="U72:U73"/>
    <mergeCell ref="V72:V73"/>
    <mergeCell ref="AC72:AE72"/>
    <mergeCell ref="AF72:AF73"/>
    <mergeCell ref="AG72:AG73"/>
    <mergeCell ref="AX71:AX73"/>
    <mergeCell ref="AY71:AY73"/>
    <mergeCell ref="AB71:AB73"/>
    <mergeCell ref="AC71:AG71"/>
    <mergeCell ref="AH71:AH73"/>
    <mergeCell ref="AI71:AI73"/>
    <mergeCell ref="BB71:BB73"/>
    <mergeCell ref="AJ71:AJ73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O181"/>
  <sheetViews>
    <sheetView topLeftCell="A119" zoomScaleNormal="100" workbookViewId="0">
      <selection activeCell="E155" sqref="E155"/>
    </sheetView>
  </sheetViews>
  <sheetFormatPr defaultColWidth="10.6640625" defaultRowHeight="15.5" x14ac:dyDescent="0.35"/>
  <cols>
    <col min="1" max="1" width="17.6640625" customWidth="1"/>
    <col min="2" max="2" width="45.83203125" bestFit="1" customWidth="1"/>
    <col min="3" max="3" width="15.33203125" bestFit="1" customWidth="1"/>
    <col min="4" max="5" width="14.33203125" bestFit="1" customWidth="1"/>
    <col min="7" max="7" width="19.1640625" bestFit="1" customWidth="1"/>
    <col min="8" max="8" width="11.5" bestFit="1" customWidth="1"/>
    <col min="9" max="9" width="12.5" bestFit="1" customWidth="1"/>
    <col min="10" max="10" width="10.5" bestFit="1" customWidth="1"/>
    <col min="11" max="11" width="11.83203125" bestFit="1" customWidth="1"/>
    <col min="12" max="12" width="12.5" bestFit="1" customWidth="1"/>
    <col min="13" max="14" width="11.6640625" bestFit="1" customWidth="1"/>
    <col min="15" max="15" width="15.6640625" bestFit="1" customWidth="1"/>
    <col min="16" max="16" width="11.6640625" bestFit="1" customWidth="1"/>
    <col min="17" max="17" width="12.5" customWidth="1"/>
    <col min="18" max="18" width="11.6640625" bestFit="1" customWidth="1"/>
    <col min="19" max="19" width="14.1640625" bestFit="1" customWidth="1"/>
    <col min="20" max="20" width="11.6640625" bestFit="1" customWidth="1"/>
    <col min="21" max="21" width="11.5" customWidth="1"/>
    <col min="22" max="22" width="12.5" bestFit="1" customWidth="1"/>
    <col min="23" max="23" width="11.6640625" bestFit="1" customWidth="1"/>
    <col min="24" max="24" width="11.5" bestFit="1" customWidth="1"/>
    <col min="25" max="25" width="12.5" bestFit="1" customWidth="1"/>
    <col min="26" max="26" width="15.6640625" bestFit="1" customWidth="1"/>
    <col min="27" max="27" width="11.5" bestFit="1" customWidth="1"/>
    <col min="29" max="30" width="11.5" bestFit="1" customWidth="1"/>
    <col min="31" max="31" width="11.5" customWidth="1"/>
    <col min="32" max="32" width="11.5" bestFit="1" customWidth="1"/>
    <col min="33" max="33" width="12.5" customWidth="1"/>
    <col min="34" max="34" width="12.5" bestFit="1" customWidth="1"/>
    <col min="35" max="35" width="12.5" customWidth="1"/>
    <col min="36" max="36" width="12.5" bestFit="1" customWidth="1"/>
    <col min="37" max="37" width="13.33203125" customWidth="1"/>
    <col min="38" max="38" width="11.5" bestFit="1" customWidth="1"/>
    <col min="39" max="39" width="12.6640625" customWidth="1"/>
    <col min="40" max="42" width="11.5" bestFit="1" customWidth="1"/>
    <col min="44" max="46" width="11.5" bestFit="1" customWidth="1"/>
    <col min="47" max="47" width="11.5" customWidth="1"/>
    <col min="48" max="48" width="11.5" bestFit="1" customWidth="1"/>
    <col min="49" max="49" width="12.33203125" customWidth="1"/>
    <col min="50" max="50" width="11.6640625" customWidth="1"/>
    <col min="51" max="51" width="13.83203125" bestFit="1" customWidth="1"/>
    <col min="52" max="52" width="13.5" bestFit="1" customWidth="1"/>
    <col min="53" max="63" width="11.6640625" customWidth="1"/>
    <col min="64" max="64" width="12.6640625" customWidth="1"/>
    <col min="65" max="67" width="11.6640625" customWidth="1"/>
    <col min="68" max="68" width="11.5" bestFit="1" customWidth="1"/>
    <col min="69" max="69" width="11.6640625" customWidth="1"/>
    <col min="70" max="71" width="12.5" bestFit="1" customWidth="1"/>
    <col min="72" max="78" width="11.6640625" customWidth="1"/>
    <col min="79" max="79" width="11.5" customWidth="1"/>
    <col min="80" max="82" width="11.5" bestFit="1" customWidth="1"/>
    <col min="83" max="83" width="23.6640625" bestFit="1" customWidth="1"/>
    <col min="84" max="84" width="10.5" bestFit="1" customWidth="1"/>
    <col min="85" max="86" width="11.5" bestFit="1" customWidth="1"/>
    <col min="87" max="87" width="12.5" bestFit="1" customWidth="1"/>
    <col min="88" max="88" width="11.5" bestFit="1" customWidth="1"/>
    <col min="89" max="89" width="11.6640625" customWidth="1"/>
    <col min="90" max="91" width="12.5" bestFit="1" customWidth="1"/>
  </cols>
  <sheetData>
    <row r="1" spans="1:22" ht="23.5" x14ac:dyDescent="0.55000000000000004">
      <c r="A1" s="89" t="s">
        <v>111</v>
      </c>
      <c r="V1" s="15"/>
    </row>
    <row r="2" spans="1:22" x14ac:dyDescent="0.35">
      <c r="V2" s="15"/>
    </row>
    <row r="3" spans="1:22" x14ac:dyDescent="0.35">
      <c r="C3" s="7"/>
      <c r="D3" s="1"/>
      <c r="V3" s="15"/>
    </row>
    <row r="4" spans="1:22" ht="21" x14ac:dyDescent="0.5">
      <c r="A4" s="82" t="s">
        <v>44</v>
      </c>
      <c r="C4" s="7"/>
      <c r="D4" s="1"/>
      <c r="V4" s="15"/>
    </row>
    <row r="5" spans="1:22" x14ac:dyDescent="0.35">
      <c r="A5" t="s">
        <v>166</v>
      </c>
      <c r="V5" s="15"/>
    </row>
    <row r="6" spans="1:22" x14ac:dyDescent="0.35">
      <c r="A6" t="s">
        <v>316</v>
      </c>
      <c r="V6" s="15"/>
    </row>
    <row r="7" spans="1:22" x14ac:dyDescent="0.35">
      <c r="A7" t="s">
        <v>43</v>
      </c>
      <c r="C7" s="7"/>
      <c r="D7" s="1"/>
      <c r="V7" s="15"/>
    </row>
    <row r="8" spans="1:22" x14ac:dyDescent="0.35">
      <c r="C8" s="7"/>
      <c r="D8" s="1"/>
      <c r="V8" s="15"/>
    </row>
    <row r="9" spans="1:22" ht="21" x14ac:dyDescent="0.5">
      <c r="A9" s="284" t="s">
        <v>305</v>
      </c>
      <c r="U9" s="15"/>
    </row>
    <row r="10" spans="1:22" x14ac:dyDescent="0.35">
      <c r="U10" s="15"/>
    </row>
    <row r="11" spans="1:22" x14ac:dyDescent="0.35">
      <c r="A11" s="11" t="s">
        <v>239</v>
      </c>
      <c r="B11" s="319" t="s">
        <v>303</v>
      </c>
      <c r="C11" s="301" t="s">
        <v>50</v>
      </c>
      <c r="D11" s="301" t="s">
        <v>51</v>
      </c>
      <c r="E11" s="301" t="s">
        <v>52</v>
      </c>
      <c r="G11" s="301"/>
      <c r="H11" s="301"/>
      <c r="I11" s="301"/>
      <c r="J11" s="301"/>
      <c r="U11" s="15"/>
    </row>
    <row r="12" spans="1:22" x14ac:dyDescent="0.35">
      <c r="B12" s="302" t="s">
        <v>383</v>
      </c>
      <c r="C12" s="287">
        <f>SUM(C113:C114)</f>
        <v>281</v>
      </c>
      <c r="D12" s="287">
        <f t="shared" ref="D12:E12" si="0">SUM(D113:D114)</f>
        <v>665</v>
      </c>
      <c r="E12" s="287">
        <f t="shared" si="0"/>
        <v>1180</v>
      </c>
      <c r="G12" s="48"/>
      <c r="H12" s="66"/>
      <c r="U12" s="15"/>
    </row>
    <row r="13" spans="1:22" x14ac:dyDescent="0.35">
      <c r="B13" s="302" t="s">
        <v>367</v>
      </c>
      <c r="C13" s="287">
        <f>M124</f>
        <v>314</v>
      </c>
      <c r="D13" s="287">
        <f>N124</f>
        <v>636</v>
      </c>
      <c r="E13" s="287">
        <f>O124</f>
        <v>1127</v>
      </c>
      <c r="U13" s="15"/>
    </row>
    <row r="14" spans="1:22" x14ac:dyDescent="0.35">
      <c r="B14" s="302" t="s">
        <v>368</v>
      </c>
      <c r="C14" s="287">
        <f>P124</f>
        <v>22</v>
      </c>
      <c r="D14" s="287">
        <f>Q124</f>
        <v>26</v>
      </c>
      <c r="E14" s="287">
        <f>R124</f>
        <v>46</v>
      </c>
      <c r="U14" s="15"/>
    </row>
    <row r="15" spans="1:22" x14ac:dyDescent="0.35">
      <c r="B15" s="302" t="s">
        <v>109</v>
      </c>
      <c r="C15" s="287">
        <f>SUM(BP84,AV123)</f>
        <v>71</v>
      </c>
      <c r="D15" s="287">
        <f>SUM(BP84:BQ84,AV123:AW123)</f>
        <v>141</v>
      </c>
      <c r="E15" s="287">
        <f>SUM(BP84:BR84,AV123:AX123)</f>
        <v>261</v>
      </c>
      <c r="U15" s="15"/>
    </row>
    <row r="16" spans="1:22" x14ac:dyDescent="0.35">
      <c r="B16" s="14"/>
      <c r="C16" s="1"/>
      <c r="D16" s="1"/>
      <c r="E16" s="1"/>
      <c r="U16" s="15"/>
    </row>
    <row r="17" spans="1:21" x14ac:dyDescent="0.35">
      <c r="B17" s="14"/>
      <c r="C17" s="1"/>
      <c r="D17" s="1"/>
      <c r="E17" s="1"/>
      <c r="U17" s="15"/>
    </row>
    <row r="18" spans="1:21" x14ac:dyDescent="0.35">
      <c r="B18" s="14"/>
      <c r="C18" s="1"/>
      <c r="D18" s="1"/>
      <c r="E18" s="1"/>
      <c r="U18" s="15"/>
    </row>
    <row r="19" spans="1:21" x14ac:dyDescent="0.35">
      <c r="B19" s="14"/>
      <c r="C19" s="1"/>
      <c r="D19" s="1"/>
      <c r="E19" s="1"/>
      <c r="U19" s="15"/>
    </row>
    <row r="20" spans="1:21" x14ac:dyDescent="0.35">
      <c r="B20" s="14"/>
      <c r="C20" s="1"/>
      <c r="D20" s="1"/>
      <c r="E20" s="1"/>
      <c r="U20" s="15"/>
    </row>
    <row r="21" spans="1:21" x14ac:dyDescent="0.35">
      <c r="B21" s="14"/>
      <c r="C21" s="1"/>
      <c r="D21" s="1"/>
      <c r="E21" s="1"/>
      <c r="U21" s="15"/>
    </row>
    <row r="22" spans="1:21" x14ac:dyDescent="0.35">
      <c r="B22" s="14"/>
      <c r="C22" s="1"/>
      <c r="D22" s="1"/>
      <c r="E22" s="1"/>
      <c r="U22" s="15"/>
    </row>
    <row r="23" spans="1:21" x14ac:dyDescent="0.35">
      <c r="B23" s="14"/>
      <c r="C23" s="1"/>
      <c r="D23" s="1"/>
      <c r="E23" s="1"/>
      <c r="U23" s="15"/>
    </row>
    <row r="24" spans="1:21" x14ac:dyDescent="0.35">
      <c r="B24" s="14"/>
      <c r="C24" s="1"/>
      <c r="D24" s="1"/>
      <c r="E24" s="1"/>
      <c r="U24" s="15"/>
    </row>
    <row r="25" spans="1:21" x14ac:dyDescent="0.35">
      <c r="B25" s="14"/>
      <c r="C25" s="1"/>
      <c r="D25" s="1"/>
      <c r="E25" s="1"/>
      <c r="U25" s="15"/>
    </row>
    <row r="26" spans="1:21" x14ac:dyDescent="0.35">
      <c r="B26" s="14"/>
      <c r="C26" s="1"/>
      <c r="D26" s="1"/>
      <c r="E26" s="1"/>
      <c r="U26" s="15"/>
    </row>
    <row r="27" spans="1:21" x14ac:dyDescent="0.35">
      <c r="B27" s="14"/>
      <c r="C27" s="1"/>
      <c r="D27" s="1"/>
      <c r="E27" s="1"/>
      <c r="U27" s="15"/>
    </row>
    <row r="28" spans="1:21" ht="21" x14ac:dyDescent="0.5">
      <c r="A28" s="284" t="s">
        <v>76</v>
      </c>
      <c r="B28" s="14"/>
      <c r="C28" s="1"/>
      <c r="D28" s="1"/>
      <c r="E28" s="1"/>
      <c r="U28" s="15"/>
    </row>
    <row r="29" spans="1:21" x14ac:dyDescent="0.35">
      <c r="B29" s="14"/>
      <c r="C29" s="1"/>
      <c r="D29" s="1"/>
      <c r="E29" s="1"/>
      <c r="U29" s="15"/>
    </row>
    <row r="30" spans="1:21" x14ac:dyDescent="0.35">
      <c r="A30" s="11" t="s">
        <v>306</v>
      </c>
      <c r="B30" s="14"/>
      <c r="C30" s="301" t="s">
        <v>50</v>
      </c>
      <c r="D30" s="301" t="s">
        <v>51</v>
      </c>
      <c r="E30" s="301" t="s">
        <v>52</v>
      </c>
      <c r="U30" s="15"/>
    </row>
    <row r="31" spans="1:21" x14ac:dyDescent="0.35">
      <c r="B31" s="302" t="s">
        <v>82</v>
      </c>
      <c r="C31" s="87">
        <f>AN85</f>
        <v>1880000</v>
      </c>
      <c r="D31" s="87">
        <f>AU85</f>
        <v>1142335</v>
      </c>
      <c r="E31" s="87">
        <f>BB85</f>
        <v>2149102.2599999998</v>
      </c>
      <c r="U31" s="15"/>
    </row>
    <row r="32" spans="1:21" x14ac:dyDescent="0.35">
      <c r="B32" s="302" t="s">
        <v>85</v>
      </c>
      <c r="C32" s="87">
        <f>SUM(Z120:AA120)</f>
        <v>2714000</v>
      </c>
      <c r="D32" s="87">
        <f>SUM(AG120:AH120)</f>
        <v>2168000</v>
      </c>
      <c r="E32" s="87">
        <f>SUM(AN120:AO120)</f>
        <v>3747000</v>
      </c>
      <c r="U32" s="15"/>
    </row>
    <row r="33" spans="1:93" x14ac:dyDescent="0.35">
      <c r="B33" s="302" t="s">
        <v>109</v>
      </c>
      <c r="C33" s="87">
        <f>AO85+AB120</f>
        <v>685000</v>
      </c>
      <c r="D33" s="87">
        <f>AV85+AI120</f>
        <v>365000</v>
      </c>
      <c r="E33" s="87">
        <f>BC85+AP120</f>
        <v>735000</v>
      </c>
      <c r="U33" s="15"/>
    </row>
    <row r="34" spans="1:93" x14ac:dyDescent="0.35">
      <c r="B34" s="26" t="s">
        <v>310</v>
      </c>
      <c r="C34" s="290">
        <f>SUM(C31:C33)</f>
        <v>5279000</v>
      </c>
      <c r="D34" s="290">
        <f t="shared" ref="D34:E34" si="1">SUM(D31:D33)</f>
        <v>3675335</v>
      </c>
      <c r="E34" s="290">
        <f t="shared" si="1"/>
        <v>6631102.2599999998</v>
      </c>
      <c r="U34" s="15"/>
    </row>
    <row r="35" spans="1:93" x14ac:dyDescent="0.35">
      <c r="A35" s="11" t="s">
        <v>307</v>
      </c>
      <c r="B35" s="14"/>
      <c r="C35" s="1"/>
      <c r="D35" s="1"/>
      <c r="E35" s="1"/>
      <c r="U35" s="15"/>
    </row>
    <row r="36" spans="1:93" x14ac:dyDescent="0.35">
      <c r="A36" s="11"/>
      <c r="B36" s="302" t="s">
        <v>234</v>
      </c>
      <c r="C36" s="87">
        <f>C159</f>
        <v>127568.94040000001</v>
      </c>
      <c r="D36" s="87">
        <f t="shared" ref="D36:E36" si="2">D159</f>
        <v>275168.15240000002</v>
      </c>
      <c r="E36" s="87">
        <f t="shared" si="2"/>
        <v>486401.48960000003</v>
      </c>
      <c r="U36" s="15"/>
    </row>
    <row r="37" spans="1:93" x14ac:dyDescent="0.35">
      <c r="B37" s="302" t="s">
        <v>110</v>
      </c>
      <c r="C37" s="87">
        <f>C170</f>
        <v>2028000</v>
      </c>
      <c r="D37" s="87">
        <f>D170</f>
        <v>2088840</v>
      </c>
      <c r="E37" s="87">
        <f>E170</f>
        <v>2151505.2000000002</v>
      </c>
      <c r="U37" s="15"/>
    </row>
    <row r="38" spans="1:93" x14ac:dyDescent="0.35">
      <c r="B38" t="s">
        <v>363</v>
      </c>
      <c r="C38" s="87">
        <f>SUM(C160:C162)</f>
        <v>809916.4310572875</v>
      </c>
      <c r="D38" s="87">
        <f t="shared" ref="D38:E38" si="3">SUM(D160:D162)</f>
        <v>2509246.2706092875</v>
      </c>
      <c r="E38" s="87">
        <f t="shared" si="3"/>
        <v>3667692.5190252876</v>
      </c>
      <c r="U38" s="15"/>
    </row>
    <row r="39" spans="1:93" x14ac:dyDescent="0.35">
      <c r="B39" t="s">
        <v>311</v>
      </c>
      <c r="C39" s="87">
        <f>C152</f>
        <v>15475870.571328769</v>
      </c>
      <c r="D39" s="87">
        <f>D152</f>
        <v>0</v>
      </c>
      <c r="E39" s="87">
        <f>E152</f>
        <v>0</v>
      </c>
      <c r="U39" s="15"/>
    </row>
    <row r="40" spans="1:93" x14ac:dyDescent="0.35">
      <c r="B40" s="11" t="s">
        <v>309</v>
      </c>
      <c r="C40" s="290">
        <f>SUM(C36:C39)</f>
        <v>18441355.942786057</v>
      </c>
      <c r="D40" s="290">
        <f t="shared" ref="D40:E40" si="4">SUM(D36:D39)</f>
        <v>4873254.4230092876</v>
      </c>
      <c r="E40" s="290">
        <f t="shared" si="4"/>
        <v>6305599.2086252877</v>
      </c>
      <c r="U40" s="15"/>
    </row>
    <row r="41" spans="1:93" x14ac:dyDescent="0.35">
      <c r="A41" s="314" t="s">
        <v>308</v>
      </c>
      <c r="B41" s="321">
        <f>SUM(C41:E41)</f>
        <v>45205646.834420636</v>
      </c>
      <c r="C41" s="313">
        <f>SUM(C34,C40)</f>
        <v>23720355.942786057</v>
      </c>
      <c r="D41" s="313">
        <f>SUM(D34,D40)</f>
        <v>8548589.4230092876</v>
      </c>
      <c r="E41" s="313">
        <f>SUM(E34,E40)</f>
        <v>12936701.468625288</v>
      </c>
      <c r="U41" s="15"/>
    </row>
    <row r="42" spans="1:93" x14ac:dyDescent="0.35">
      <c r="C42" s="1"/>
      <c r="U42" s="15"/>
    </row>
    <row r="43" spans="1:93" x14ac:dyDescent="0.35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111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</row>
    <row r="44" spans="1:93" x14ac:dyDescent="0.35">
      <c r="C44" s="1"/>
      <c r="U44" s="15"/>
    </row>
    <row r="45" spans="1:93" ht="21" x14ac:dyDescent="0.5">
      <c r="A45" s="82" t="s">
        <v>82</v>
      </c>
      <c r="C45" s="1"/>
      <c r="U45" s="15"/>
    </row>
    <row r="46" spans="1:93" x14ac:dyDescent="0.35">
      <c r="C46" s="1"/>
      <c r="U46" s="15"/>
    </row>
    <row r="47" spans="1:93" ht="18.5" x14ac:dyDescent="0.45">
      <c r="A47" s="51" t="s">
        <v>314</v>
      </c>
      <c r="U47" s="15"/>
    </row>
    <row r="48" spans="1:93" ht="16" thickBot="1" x14ac:dyDescent="0.4">
      <c r="G48" s="27" t="s">
        <v>232</v>
      </c>
      <c r="H48" s="27"/>
      <c r="I48" s="27"/>
      <c r="J48" s="27"/>
      <c r="K48" s="27"/>
      <c r="L48" s="27"/>
      <c r="U48" s="15"/>
      <c r="AM48" t="s">
        <v>233</v>
      </c>
    </row>
    <row r="49" spans="1:71" ht="34" customHeight="1" thickBot="1" x14ac:dyDescent="0.4">
      <c r="A49" s="437" t="s">
        <v>338</v>
      </c>
      <c r="B49" s="437"/>
      <c r="C49" s="437"/>
      <c r="D49" s="437"/>
      <c r="E49" s="437"/>
      <c r="F49" s="15"/>
      <c r="G49" s="266" t="s">
        <v>50</v>
      </c>
      <c r="H49" s="263"/>
      <c r="I49" s="263"/>
      <c r="J49" s="263"/>
      <c r="K49" s="263"/>
      <c r="L49" s="263"/>
      <c r="M49" s="263"/>
      <c r="N49" s="263"/>
      <c r="O49" s="95"/>
      <c r="P49" s="105"/>
      <c r="Q49" s="266" t="s">
        <v>51</v>
      </c>
      <c r="R49" s="263"/>
      <c r="S49" s="263"/>
      <c r="T49" s="263"/>
      <c r="U49" s="263"/>
      <c r="V49" s="263"/>
      <c r="W49" s="263"/>
      <c r="X49" s="263"/>
      <c r="Y49" s="263"/>
      <c r="Z49" s="265"/>
      <c r="AA49" s="105"/>
      <c r="AB49" s="268" t="s">
        <v>52</v>
      </c>
      <c r="AC49" s="94"/>
      <c r="AD49" s="94"/>
      <c r="AE49" s="94"/>
      <c r="AF49" s="94"/>
      <c r="AG49" s="94"/>
      <c r="AH49" s="94"/>
      <c r="AI49" s="94"/>
      <c r="AJ49" s="94"/>
      <c r="AK49" s="95"/>
      <c r="AL49" s="105"/>
      <c r="AM49" s="254" t="s">
        <v>50</v>
      </c>
      <c r="AN49" s="99"/>
      <c r="AO49" s="99"/>
      <c r="AP49" s="99"/>
      <c r="AQ49" s="99"/>
      <c r="AR49" s="100"/>
      <c r="AT49" s="254" t="s">
        <v>51</v>
      </c>
      <c r="AU49" s="263"/>
      <c r="AV49" s="263"/>
      <c r="AW49" s="263"/>
      <c r="AX49" s="263"/>
      <c r="AY49" s="265"/>
      <c r="BA49" s="254" t="s">
        <v>52</v>
      </c>
      <c r="BB49" s="94"/>
      <c r="BC49" s="94"/>
      <c r="BD49" s="94"/>
      <c r="BE49" s="94"/>
      <c r="BF49" s="95"/>
      <c r="BI49" s="243" t="s">
        <v>217</v>
      </c>
      <c r="BJ49" s="243" t="s">
        <v>215</v>
      </c>
      <c r="BK49" s="195" t="s">
        <v>214</v>
      </c>
      <c r="BL49" s="170" t="s">
        <v>213</v>
      </c>
      <c r="BO49" s="298" t="s">
        <v>76</v>
      </c>
      <c r="BP49" s="299"/>
      <c r="BQ49" s="299"/>
      <c r="BR49" s="299"/>
      <c r="BS49" s="300"/>
    </row>
    <row r="50" spans="1:71" ht="51" customHeight="1" thickBot="1" x14ac:dyDescent="0.4">
      <c r="A50" s="46" t="s">
        <v>69</v>
      </c>
      <c r="B50" s="230"/>
      <c r="C50" s="231"/>
      <c r="D50" s="231"/>
      <c r="E50" s="232"/>
      <c r="F50" s="15"/>
      <c r="G50" s="418" t="s">
        <v>53</v>
      </c>
      <c r="H50" s="416" t="s">
        <v>55</v>
      </c>
      <c r="I50" s="417"/>
      <c r="J50" s="417"/>
      <c r="K50" s="417"/>
      <c r="L50" s="417"/>
      <c r="M50" s="423" t="s">
        <v>80</v>
      </c>
      <c r="N50" s="417" t="s">
        <v>57</v>
      </c>
      <c r="O50" s="420" t="s">
        <v>241</v>
      </c>
      <c r="P50" s="293"/>
      <c r="Q50" s="418" t="s">
        <v>53</v>
      </c>
      <c r="R50" s="417" t="s">
        <v>79</v>
      </c>
      <c r="S50" s="417"/>
      <c r="T50" s="417"/>
      <c r="U50" s="417"/>
      <c r="V50" s="417"/>
      <c r="W50" s="423" t="s">
        <v>104</v>
      </c>
      <c r="X50" s="423" t="s">
        <v>72</v>
      </c>
      <c r="Y50" s="423" t="s">
        <v>74</v>
      </c>
      <c r="Z50" s="420" t="s">
        <v>241</v>
      </c>
      <c r="AA50" s="293"/>
      <c r="AB50" s="414" t="s">
        <v>53</v>
      </c>
      <c r="AC50" s="416" t="s">
        <v>55</v>
      </c>
      <c r="AD50" s="417"/>
      <c r="AE50" s="417"/>
      <c r="AF50" s="417"/>
      <c r="AG50" s="417"/>
      <c r="AH50" s="423" t="s">
        <v>78</v>
      </c>
      <c r="AI50" s="423" t="s">
        <v>72</v>
      </c>
      <c r="AJ50" s="423" t="s">
        <v>74</v>
      </c>
      <c r="AK50" s="420" t="s">
        <v>241</v>
      </c>
      <c r="AL50" s="293"/>
      <c r="AM50" s="415" t="s">
        <v>53</v>
      </c>
      <c r="AN50" s="416" t="s">
        <v>56</v>
      </c>
      <c r="AO50" s="417" t="s">
        <v>58</v>
      </c>
      <c r="AP50" s="423" t="s">
        <v>242</v>
      </c>
      <c r="AQ50" s="423" t="s">
        <v>60</v>
      </c>
      <c r="AR50" s="420" t="s">
        <v>97</v>
      </c>
      <c r="AT50" s="418" t="s">
        <v>53</v>
      </c>
      <c r="AU50" s="423" t="s">
        <v>73</v>
      </c>
      <c r="AV50" s="423" t="s">
        <v>75</v>
      </c>
      <c r="AW50" s="423" t="s">
        <v>242</v>
      </c>
      <c r="AX50" s="423" t="s">
        <v>60</v>
      </c>
      <c r="AY50" s="420" t="s">
        <v>97</v>
      </c>
      <c r="BA50" s="418" t="s">
        <v>53</v>
      </c>
      <c r="BB50" s="423" t="s">
        <v>73</v>
      </c>
      <c r="BC50" s="423" t="s">
        <v>75</v>
      </c>
      <c r="BD50" s="423" t="s">
        <v>242</v>
      </c>
      <c r="BE50" s="423" t="s">
        <v>60</v>
      </c>
      <c r="BF50" s="420" t="s">
        <v>97</v>
      </c>
      <c r="BI50" s="433"/>
      <c r="BJ50" s="433"/>
      <c r="BK50" s="433"/>
      <c r="BL50" s="431"/>
      <c r="BO50" s="92"/>
      <c r="BP50" s="296" t="s">
        <v>50</v>
      </c>
      <c r="BQ50" s="296" t="s">
        <v>51</v>
      </c>
      <c r="BR50" s="296" t="s">
        <v>52</v>
      </c>
      <c r="BS50" s="292" t="s">
        <v>77</v>
      </c>
    </row>
    <row r="51" spans="1:71" ht="16" thickBot="1" x14ac:dyDescent="0.4">
      <c r="A51" s="35"/>
      <c r="B51" s="73" t="s">
        <v>164</v>
      </c>
      <c r="C51" s="209" t="s">
        <v>50</v>
      </c>
      <c r="D51" s="209" t="s">
        <v>51</v>
      </c>
      <c r="E51" s="210" t="s">
        <v>52</v>
      </c>
      <c r="F51" s="15"/>
      <c r="G51" s="415"/>
      <c r="H51" s="426" t="s">
        <v>163</v>
      </c>
      <c r="I51" s="427"/>
      <c r="J51" s="427"/>
      <c r="K51" s="427" t="s">
        <v>47</v>
      </c>
      <c r="L51" s="427" t="s">
        <v>31</v>
      </c>
      <c r="M51" s="424"/>
      <c r="N51" s="427"/>
      <c r="O51" s="421"/>
      <c r="P51" s="293"/>
      <c r="Q51" s="415"/>
      <c r="R51" s="427" t="s">
        <v>163</v>
      </c>
      <c r="S51" s="427"/>
      <c r="T51" s="427"/>
      <c r="U51" s="427" t="s">
        <v>47</v>
      </c>
      <c r="V51" s="427" t="s">
        <v>31</v>
      </c>
      <c r="W51" s="424"/>
      <c r="X51" s="424"/>
      <c r="Y51" s="424"/>
      <c r="Z51" s="421"/>
      <c r="AA51" s="293"/>
      <c r="AB51" s="415"/>
      <c r="AC51" s="426" t="s">
        <v>163</v>
      </c>
      <c r="AD51" s="427"/>
      <c r="AE51" s="427"/>
      <c r="AF51" s="427" t="s">
        <v>47</v>
      </c>
      <c r="AG51" s="427" t="s">
        <v>31</v>
      </c>
      <c r="AH51" s="424"/>
      <c r="AI51" s="424"/>
      <c r="AJ51" s="424"/>
      <c r="AK51" s="421"/>
      <c r="AL51" s="293"/>
      <c r="AM51" s="415"/>
      <c r="AN51" s="426"/>
      <c r="AO51" s="427"/>
      <c r="AP51" s="424"/>
      <c r="AQ51" s="424"/>
      <c r="AR51" s="421"/>
      <c r="AT51" s="415"/>
      <c r="AU51" s="424"/>
      <c r="AV51" s="424"/>
      <c r="AW51" s="424"/>
      <c r="AX51" s="424"/>
      <c r="AY51" s="421"/>
      <c r="BA51" s="415"/>
      <c r="BB51" s="424"/>
      <c r="BC51" s="424"/>
      <c r="BD51" s="424"/>
      <c r="BE51" s="424"/>
      <c r="BF51" s="421"/>
      <c r="BI51" s="431"/>
      <c r="BJ51" s="431"/>
      <c r="BK51" s="431"/>
      <c r="BL51" s="431"/>
      <c r="BO51" s="254" t="s">
        <v>91</v>
      </c>
      <c r="BP51" s="260">
        <f>AR55</f>
        <v>3113573</v>
      </c>
      <c r="BQ51" s="260">
        <f>AY55</f>
        <v>4832172</v>
      </c>
      <c r="BR51" s="260">
        <f>BF55</f>
        <v>10055301</v>
      </c>
      <c r="BS51" s="269">
        <f>SUM(BP51:BR51)</f>
        <v>18001046</v>
      </c>
    </row>
    <row r="52" spans="1:71" ht="16" thickBot="1" x14ac:dyDescent="0.4">
      <c r="A52" s="35"/>
      <c r="B52" s="112" t="s">
        <v>48</v>
      </c>
      <c r="C52" s="138">
        <f>SUM(Storage!$E$9:$E$11)</f>
        <v>522240</v>
      </c>
      <c r="D52" s="138">
        <f>SUM(Storage!$E$9:$E$11)</f>
        <v>522240</v>
      </c>
      <c r="E52" s="141">
        <f>SUM(Storage!$E$9:$E$11)</f>
        <v>522240</v>
      </c>
      <c r="F52" s="15"/>
      <c r="G52" s="419"/>
      <c r="H52" s="267">
        <v>0.4</v>
      </c>
      <c r="I52" s="264">
        <v>0.6</v>
      </c>
      <c r="J52" s="264">
        <v>0.8</v>
      </c>
      <c r="K52" s="428"/>
      <c r="L52" s="428"/>
      <c r="M52" s="425"/>
      <c r="N52" s="428"/>
      <c r="O52" s="422"/>
      <c r="P52" s="293"/>
      <c r="Q52" s="419"/>
      <c r="R52" s="264">
        <v>0.4</v>
      </c>
      <c r="S52" s="264">
        <v>0.6</v>
      </c>
      <c r="T52" s="264">
        <v>0.8</v>
      </c>
      <c r="U52" s="428"/>
      <c r="V52" s="428"/>
      <c r="W52" s="425"/>
      <c r="X52" s="425"/>
      <c r="Y52" s="425"/>
      <c r="Z52" s="422"/>
      <c r="AA52" s="293"/>
      <c r="AB52" s="415"/>
      <c r="AC52" s="267">
        <v>0.4</v>
      </c>
      <c r="AD52" s="264">
        <v>0.6</v>
      </c>
      <c r="AE52" s="264">
        <v>0.8</v>
      </c>
      <c r="AF52" s="428"/>
      <c r="AG52" s="428"/>
      <c r="AH52" s="425"/>
      <c r="AI52" s="425"/>
      <c r="AJ52" s="425"/>
      <c r="AK52" s="422"/>
      <c r="AL52" s="293"/>
      <c r="AM52" s="415"/>
      <c r="AN52" s="429"/>
      <c r="AO52" s="428"/>
      <c r="AP52" s="425"/>
      <c r="AQ52" s="425"/>
      <c r="AR52" s="422"/>
      <c r="AT52" s="419"/>
      <c r="AU52" s="425"/>
      <c r="AV52" s="425"/>
      <c r="AW52" s="425"/>
      <c r="AX52" s="425"/>
      <c r="AY52" s="422"/>
      <c r="BA52" s="419"/>
      <c r="BB52" s="425"/>
      <c r="BC52" s="425"/>
      <c r="BD52" s="425"/>
      <c r="BE52" s="425"/>
      <c r="BF52" s="422"/>
      <c r="BI52" s="432"/>
      <c r="BJ52" s="432"/>
      <c r="BK52" s="432"/>
      <c r="BL52" s="432"/>
      <c r="BO52" s="92" t="s">
        <v>235</v>
      </c>
      <c r="BP52" s="270">
        <f>M55</f>
        <v>17</v>
      </c>
      <c r="BQ52" s="270">
        <f>X55</f>
        <v>23</v>
      </c>
      <c r="BR52" s="270">
        <f>AI55</f>
        <v>47</v>
      </c>
      <c r="BS52" s="215">
        <f>SUM(BP52:BR52)</f>
        <v>87</v>
      </c>
    </row>
    <row r="53" spans="1:71" x14ac:dyDescent="0.35">
      <c r="A53" s="35"/>
      <c r="B53" s="112" t="s">
        <v>146</v>
      </c>
      <c r="C53" s="138">
        <f>'CPU (Workload)'!$D$17</f>
        <v>8384.3812499999985</v>
      </c>
      <c r="D53" s="138">
        <f>'CPU (Workload)'!$D$19</f>
        <v>19868.499999999996</v>
      </c>
      <c r="E53" s="141">
        <f>'CPU (Workload)'!$D$21</f>
        <v>35323.174999999996</v>
      </c>
      <c r="F53" s="15"/>
      <c r="G53" s="235" t="s">
        <v>32</v>
      </c>
      <c r="H53" s="12">
        <f>ROUNDUP($C53/(gen_l_tps40),0)</f>
        <v>12</v>
      </c>
      <c r="I53" s="12">
        <f>ROUNDUP($C53/(gen_l_tps60),0)</f>
        <v>8</v>
      </c>
      <c r="J53" s="12">
        <f>ROUNDUP($C53/(gen_l_tps80),0)</f>
        <v>6</v>
      </c>
      <c r="K53" s="9">
        <f>ROUNDUP($C52/gen_l_disk,0)</f>
        <v>820</v>
      </c>
      <c r="L53" s="9">
        <f>ROUNDUP($C54/gen_l_bw,0)</f>
        <v>399</v>
      </c>
      <c r="M53" s="9">
        <f>MAX(J53:L53)</f>
        <v>820</v>
      </c>
      <c r="N53" s="9">
        <f>ROUNDUP(M53/gen_l_spr80,0)</f>
        <v>75</v>
      </c>
      <c r="O53" s="76">
        <f>ROUND(M53*gen_l_pow80*24*365,0)</f>
        <v>1867632</v>
      </c>
      <c r="P53" s="67"/>
      <c r="Q53" s="235" t="s">
        <v>32</v>
      </c>
      <c r="R53" s="12">
        <f>ROUNDUP($D53/(gen_l_tps40),0)</f>
        <v>27</v>
      </c>
      <c r="S53" s="12">
        <f>ROUNDUP($D53/(gen_l_tps60),0)</f>
        <v>18</v>
      </c>
      <c r="T53" s="12">
        <f>ROUNDUP($D53/(gen_l_tps80),0)</f>
        <v>14</v>
      </c>
      <c r="U53" s="9">
        <f>ROUNDUP($D52/gen_l_disk,0)</f>
        <v>820</v>
      </c>
      <c r="V53" s="9">
        <f>ROUNDUP($D54/gen_l_bw,0)</f>
        <v>945</v>
      </c>
      <c r="W53" s="9">
        <f>MAX(T53:V53)</f>
        <v>945</v>
      </c>
      <c r="X53" s="9">
        <f>W53-M53</f>
        <v>125</v>
      </c>
      <c r="Y53" s="9">
        <f>ROUNDUP(X53/gen_l_spr80,0)</f>
        <v>12</v>
      </c>
      <c r="Z53" s="76">
        <f>ROUND((W53)*gen_l_pow80*24*365,0)</f>
        <v>2152332</v>
      </c>
      <c r="AA53" s="67"/>
      <c r="AB53" s="235" t="s">
        <v>32</v>
      </c>
      <c r="AC53" s="12">
        <f>ROUNDUP($E53/(gen_l_tps40),0)</f>
        <v>48</v>
      </c>
      <c r="AD53" s="12">
        <f>ROUNDUP($E53/(gen_l_tps60),0)</f>
        <v>32</v>
      </c>
      <c r="AE53" s="12">
        <f>ROUNDUP($E53/(gen_l_tps80),0)</f>
        <v>24</v>
      </c>
      <c r="AF53" s="9">
        <f>ROUNDUP($E52/gen_l_disk,0)</f>
        <v>820</v>
      </c>
      <c r="AG53" s="9">
        <f>ROUNDUP($E54/gen_l_bw,0)</f>
        <v>1679</v>
      </c>
      <c r="AH53" s="9">
        <f>MAX(AE53:AG53)</f>
        <v>1679</v>
      </c>
      <c r="AI53" s="9">
        <f>AH53-W53</f>
        <v>734</v>
      </c>
      <c r="AJ53" s="9">
        <f>ROUNDUP(AI53/gen_l_spr80,0)</f>
        <v>67</v>
      </c>
      <c r="AK53" s="76">
        <f>ROUND((AH53)*gen_l_pow80*24*365,0)</f>
        <v>3824090</v>
      </c>
      <c r="AL53" s="67"/>
      <c r="AM53" s="235" t="s">
        <v>32</v>
      </c>
      <c r="AN53" s="36">
        <f>M53*gen_l_cost</f>
        <v>697000</v>
      </c>
      <c r="AO53" s="36">
        <f>N53*rack_cost</f>
        <v>375000</v>
      </c>
      <c r="AP53" s="36">
        <f>ROUND(O53*kwh_cost,0)</f>
        <v>95996</v>
      </c>
      <c r="AQ53" s="36">
        <v>0</v>
      </c>
      <c r="AR53" s="72">
        <f>SUM(AN53,AO53,AP53)</f>
        <v>1167996</v>
      </c>
      <c r="AT53" s="235" t="s">
        <v>32</v>
      </c>
      <c r="AU53" s="36">
        <f>X53*gen_l_cost</f>
        <v>106250</v>
      </c>
      <c r="AV53" s="36">
        <f>Y53*rack_cost</f>
        <v>60000</v>
      </c>
      <c r="AW53" s="36">
        <f>ROUND(Z53*kwh_cost,0)</f>
        <v>110630</v>
      </c>
      <c r="AX53" s="36">
        <f>AN53*hw_supt</f>
        <v>139400</v>
      </c>
      <c r="AY53" s="72">
        <f>SUM(AU53,AV53,AW53,AX53)</f>
        <v>416280</v>
      </c>
      <c r="BA53" s="235" t="s">
        <v>32</v>
      </c>
      <c r="BB53" s="36">
        <f>AI53*gen_l_cost*1.0404</f>
        <v>649105.55999999994</v>
      </c>
      <c r="BC53" s="36">
        <f>AJ53*rack_cost</f>
        <v>335000</v>
      </c>
      <c r="BD53" s="36">
        <f>ROUND(AK53*kwh_cost,0)</f>
        <v>196558</v>
      </c>
      <c r="BE53" s="36">
        <f>(AN53+AU53)*hw_supt</f>
        <v>160650</v>
      </c>
      <c r="BF53" s="72">
        <f>SUM(BB53,BC53,BD53,BE53)</f>
        <v>1341313.56</v>
      </c>
      <c r="BI53" s="188">
        <f>SUM(AH53)</f>
        <v>1679</v>
      </c>
      <c r="BJ53" s="188">
        <f t="shared" ref="BJ53:BK55" si="5">SUM(AJ53,Y53,N53)</f>
        <v>154</v>
      </c>
      <c r="BK53" s="188">
        <f t="shared" si="5"/>
        <v>7844054</v>
      </c>
      <c r="BL53" s="245">
        <f>SUM(AR53,AY53,BF53)</f>
        <v>2925589.56</v>
      </c>
      <c r="BO53" s="235" t="s">
        <v>236</v>
      </c>
      <c r="BP53" s="9">
        <f>N55</f>
        <v>9</v>
      </c>
      <c r="BQ53" s="9">
        <f>Y55</f>
        <v>12</v>
      </c>
      <c r="BR53" s="9">
        <f>AJ55</f>
        <v>24</v>
      </c>
      <c r="BS53" s="188">
        <f t="shared" ref="BS53:BS54" si="6">SUM(BP53:BR53)</f>
        <v>45</v>
      </c>
    </row>
    <row r="54" spans="1:71" ht="16" thickBot="1" x14ac:dyDescent="0.4">
      <c r="A54" s="39"/>
      <c r="B54" s="113" t="s">
        <v>49</v>
      </c>
      <c r="C54" s="44">
        <f>Bandwidth!$O$7</f>
        <v>298.77910271999997</v>
      </c>
      <c r="D54" s="44">
        <f>Bandwidth!$O$9</f>
        <v>708.01797119999981</v>
      </c>
      <c r="E54" s="45">
        <f>Bandwidth!$O$11</f>
        <v>1258.7484057599997</v>
      </c>
      <c r="F54" s="15"/>
      <c r="G54" s="93" t="s">
        <v>41</v>
      </c>
      <c r="H54" s="74">
        <f>ROUNDUP($C53/(gen_xl_tps40),0)</f>
        <v>5</v>
      </c>
      <c r="I54" s="74">
        <f>ROUNDUP($C53/(gen_xl_tps60),0)</f>
        <v>4</v>
      </c>
      <c r="J54" s="74">
        <f>ROUNDUP($C53/(gen_xl_tps80),0)</f>
        <v>3</v>
      </c>
      <c r="K54" s="69">
        <f>ROUNDUP($C52/gen_xl_disk,0)</f>
        <v>349</v>
      </c>
      <c r="L54" s="69">
        <f>ROUNDUP($C54/gen_xl_bw,0)</f>
        <v>200</v>
      </c>
      <c r="M54" s="69">
        <f>MAX(J54:L54)</f>
        <v>349</v>
      </c>
      <c r="N54" s="69">
        <f>ROUNDUP(M54/gen_xl_spr80,0)</f>
        <v>50</v>
      </c>
      <c r="O54" s="77">
        <f>ROUND(M54*gen_l_pow80*24*365,0)</f>
        <v>794882</v>
      </c>
      <c r="P54" s="67"/>
      <c r="Q54" s="93" t="s">
        <v>41</v>
      </c>
      <c r="R54" s="74">
        <f>ROUNDUP($D53/(gen_xl_tps40),0) - H54</f>
        <v>7</v>
      </c>
      <c r="S54" s="74">
        <f>ROUNDUP($D53/(gen_xl_tps60),0)</f>
        <v>8</v>
      </c>
      <c r="T54" s="74">
        <f>ROUNDUP($D53/(gen_xl_tps80),0)</f>
        <v>6</v>
      </c>
      <c r="U54" s="69">
        <f>ROUNDUP($D52/gen_xl_disk,0)</f>
        <v>349</v>
      </c>
      <c r="V54" s="69">
        <f>ROUNDUP($D54/gen_xl_bw,0)</f>
        <v>473</v>
      </c>
      <c r="W54" s="69">
        <f>MAX(T54:V54)</f>
        <v>473</v>
      </c>
      <c r="X54" s="69">
        <f>W54-M54</f>
        <v>124</v>
      </c>
      <c r="Y54" s="69">
        <f>ROUNDUP(X54/gen_xl_spr80,0)</f>
        <v>18</v>
      </c>
      <c r="Z54" s="77">
        <f>ROUND((W54)*gen_l_pow80*24*365,0)</f>
        <v>1077305</v>
      </c>
      <c r="AA54" s="67"/>
      <c r="AB54" s="93" t="s">
        <v>41</v>
      </c>
      <c r="AC54" s="74">
        <f>ROUNDUP($E53/(gen_xl_tps40),0)</f>
        <v>20</v>
      </c>
      <c r="AD54" s="74">
        <f>ROUNDUP($E53/(gen_xl_tps60),0)</f>
        <v>14</v>
      </c>
      <c r="AE54" s="74">
        <f>ROUNDUP($E53/(gen_xl_tps80),0)</f>
        <v>10</v>
      </c>
      <c r="AF54" s="69">
        <f>ROUNDUP($E52/gen_xl_disk,0)</f>
        <v>349</v>
      </c>
      <c r="AG54" s="69">
        <f>ROUNDUP($E54/gen_xl_bw,0)</f>
        <v>840</v>
      </c>
      <c r="AH54" s="69">
        <f>MAX(AE54:AG54)</f>
        <v>840</v>
      </c>
      <c r="AI54" s="69">
        <f>AH54-W54</f>
        <v>367</v>
      </c>
      <c r="AJ54" s="69">
        <f>ROUNDUP(AI54/gen_xl_spr80,0)</f>
        <v>53</v>
      </c>
      <c r="AK54" s="77">
        <f>ROUND((AH54)*gen_l_pow80*24*365,0)</f>
        <v>1913184</v>
      </c>
      <c r="AL54" s="67"/>
      <c r="AM54" s="93" t="s">
        <v>41</v>
      </c>
      <c r="AN54" s="75">
        <f>M54*gen_xl_cost</f>
        <v>820150</v>
      </c>
      <c r="AO54" s="75">
        <f>N54*rack_cost</f>
        <v>250000</v>
      </c>
      <c r="AP54" s="75">
        <f>ROUND(O54*kwh_cost,0)</f>
        <v>40857</v>
      </c>
      <c r="AQ54" s="75">
        <v>0</v>
      </c>
      <c r="AR54" s="320">
        <f>SUM(AN54,AO54,AP54)</f>
        <v>1111007</v>
      </c>
      <c r="AT54" s="93" t="s">
        <v>41</v>
      </c>
      <c r="AU54" s="75">
        <f>X54*gen_xl_cost</f>
        <v>291400</v>
      </c>
      <c r="AV54" s="75">
        <f>Y54*rack_cost</f>
        <v>90000</v>
      </c>
      <c r="AW54" s="75">
        <f>ROUND(Z54*kwh_cost,0)</f>
        <v>55373</v>
      </c>
      <c r="AX54" s="75">
        <f>AN54*hw_supt</f>
        <v>164030</v>
      </c>
      <c r="AY54" s="320">
        <f>SUM(AU54,AV54,AW54,AX54)</f>
        <v>600803</v>
      </c>
      <c r="BA54" s="93" t="s">
        <v>41</v>
      </c>
      <c r="BB54" s="75">
        <f>AI54*gen_xl_cost*1.0404</f>
        <v>897292.98</v>
      </c>
      <c r="BC54" s="75">
        <f>AJ54*rack_cost</f>
        <v>265000</v>
      </c>
      <c r="BD54" s="75">
        <f>ROUND(AK54*kwh_cost,0)</f>
        <v>98338</v>
      </c>
      <c r="BE54" s="75">
        <f>(AN54+AU54)*hw_supt</f>
        <v>222310</v>
      </c>
      <c r="BF54" s="320">
        <f>SUM(BB54,BC54,BD54,BE54)</f>
        <v>1482940.98</v>
      </c>
      <c r="BI54" s="189">
        <f>SUM(AH54)</f>
        <v>840</v>
      </c>
      <c r="BJ54" s="189">
        <f t="shared" si="5"/>
        <v>121</v>
      </c>
      <c r="BK54" s="189">
        <f t="shared" si="5"/>
        <v>3785371</v>
      </c>
      <c r="BL54" s="246">
        <f>SUM(AR54,AY54,BF54)</f>
        <v>3194750.98</v>
      </c>
      <c r="BO54" s="93" t="s">
        <v>234</v>
      </c>
      <c r="BP54" s="69">
        <f>O55</f>
        <v>166790</v>
      </c>
      <c r="BQ54" s="69">
        <f>Z55</f>
        <v>392448</v>
      </c>
      <c r="BR54" s="69">
        <f>AK55</f>
        <v>686784</v>
      </c>
      <c r="BS54" s="189">
        <f t="shared" si="6"/>
        <v>1246022</v>
      </c>
    </row>
    <row r="55" spans="1:71" ht="16" thickBot="1" x14ac:dyDescent="0.4">
      <c r="F55" s="15"/>
      <c r="G55" s="323" t="s">
        <v>317</v>
      </c>
      <c r="H55" s="108"/>
      <c r="I55" s="108"/>
      <c r="J55" s="108"/>
      <c r="K55" s="251">
        <f>ROUNDUP($C52/nas_disk,0)</f>
        <v>6</v>
      </c>
      <c r="L55" s="251">
        <f>ROUNDUP($C54/nas_bw,0)</f>
        <v>17</v>
      </c>
      <c r="M55" s="251">
        <f>MAX(K55:L55)</f>
        <v>17</v>
      </c>
      <c r="N55" s="251">
        <f>ROUNDUP(M55/nas_spr,0)</f>
        <v>9</v>
      </c>
      <c r="O55" s="322">
        <f>ROUND(M55*nas_pwr*24*365,0)</f>
        <v>166790</v>
      </c>
      <c r="Q55" s="323" t="s">
        <v>317</v>
      </c>
      <c r="R55" s="108"/>
      <c r="S55" s="108"/>
      <c r="T55" s="108"/>
      <c r="U55" s="251">
        <f>ROUNDUP($D52/nas_disk,0)</f>
        <v>6</v>
      </c>
      <c r="V55" s="251">
        <f>ROUNDUP($D54/nas_bw,0)</f>
        <v>40</v>
      </c>
      <c r="W55" s="251">
        <f>MAX(U55:V55)</f>
        <v>40</v>
      </c>
      <c r="X55" s="69">
        <f>W55-M55</f>
        <v>23</v>
      </c>
      <c r="Y55" s="69">
        <f>ROUNDUP(X55/nas_spr,0)</f>
        <v>12</v>
      </c>
      <c r="Z55" s="322">
        <f>ROUND(W55*nas_pwr*24*365,0)</f>
        <v>392448</v>
      </c>
      <c r="AA55" s="15"/>
      <c r="AB55" s="323" t="s">
        <v>317</v>
      </c>
      <c r="AC55" s="108"/>
      <c r="AD55" s="108"/>
      <c r="AE55" s="108"/>
      <c r="AF55" s="251">
        <f>ROUNDUP($E52/nas_disk,0)</f>
        <v>6</v>
      </c>
      <c r="AG55" s="251">
        <f>ROUNDUP($E54/nas_bw,0)</f>
        <v>70</v>
      </c>
      <c r="AH55" s="251">
        <f>MAX(AF55:AG55)</f>
        <v>70</v>
      </c>
      <c r="AI55" s="69">
        <f>AH55-X55</f>
        <v>47</v>
      </c>
      <c r="AJ55" s="69">
        <f>ROUNDUP(AI55/nas_spr,0)</f>
        <v>24</v>
      </c>
      <c r="AK55" s="322">
        <f>ROUND(AH55*nas_pwr*24*365,0)</f>
        <v>686784</v>
      </c>
      <c r="AM55" s="93" t="s">
        <v>317</v>
      </c>
      <c r="AN55" s="75">
        <f>M55*nas_cost</f>
        <v>3060000</v>
      </c>
      <c r="AO55" s="75">
        <f>N55*rack_cost</f>
        <v>45000</v>
      </c>
      <c r="AP55" s="75">
        <f>ROUND(O55*kwh_cost,0)</f>
        <v>8573</v>
      </c>
      <c r="AQ55" s="75">
        <v>0</v>
      </c>
      <c r="AR55" s="320">
        <f>SUM(AN55,AO55,AP55)</f>
        <v>3113573</v>
      </c>
      <c r="AT55" s="93" t="s">
        <v>317</v>
      </c>
      <c r="AU55" s="75">
        <f>X55*nas_cost</f>
        <v>4140000</v>
      </c>
      <c r="AV55" s="75">
        <f>Y55*rack_cost</f>
        <v>60000</v>
      </c>
      <c r="AW55" s="75">
        <f>ROUND(Z55*kwh_cost,0)</f>
        <v>20172</v>
      </c>
      <c r="AX55" s="75">
        <f>AN55*hw_supt</f>
        <v>612000</v>
      </c>
      <c r="AY55" s="320">
        <f>SUM(AU55,AV55,AW55,AX55)</f>
        <v>4832172</v>
      </c>
      <c r="BA55" s="93" t="s">
        <v>317</v>
      </c>
      <c r="BB55" s="75">
        <f>AI55*nas_cost</f>
        <v>8460000</v>
      </c>
      <c r="BC55" s="75">
        <f>AJ55*rack_cost</f>
        <v>120000</v>
      </c>
      <c r="BD55" s="75">
        <f>ROUND(AK55*kwh_cost,0)</f>
        <v>35301</v>
      </c>
      <c r="BE55" s="75">
        <f>(AN55+AU55)*hw_supt</f>
        <v>1440000</v>
      </c>
      <c r="BF55" s="320">
        <f>SUM(BB55,BC55,BD55,BE55)</f>
        <v>10055301</v>
      </c>
      <c r="BI55" s="189">
        <f>SUM(AH55)</f>
        <v>70</v>
      </c>
      <c r="BJ55" s="189">
        <f t="shared" si="5"/>
        <v>45</v>
      </c>
      <c r="BK55" s="189">
        <f t="shared" si="5"/>
        <v>1246022</v>
      </c>
      <c r="BL55" s="246">
        <f>SUM(AR55,AY55,BF55)</f>
        <v>18001046</v>
      </c>
      <c r="BM55" t="s">
        <v>320</v>
      </c>
      <c r="BP55" s="28"/>
    </row>
    <row r="56" spans="1:71" x14ac:dyDescent="0.35">
      <c r="F56" s="15"/>
      <c r="AA56" s="15"/>
    </row>
    <row r="57" spans="1:71" ht="18.5" x14ac:dyDescent="0.45">
      <c r="A57" s="51" t="s">
        <v>313</v>
      </c>
      <c r="F57" s="15"/>
      <c r="AA57" s="15"/>
    </row>
    <row r="58" spans="1:71" ht="16" thickBot="1" x14ac:dyDescent="0.4">
      <c r="F58" s="15"/>
      <c r="AA58" s="15"/>
    </row>
    <row r="59" spans="1:71" ht="34" customHeight="1" thickBot="1" x14ac:dyDescent="0.4">
      <c r="A59" s="437" t="s">
        <v>338</v>
      </c>
      <c r="B59" s="437"/>
      <c r="C59" s="437"/>
      <c r="D59" s="437"/>
      <c r="E59" s="437"/>
      <c r="F59" s="15"/>
      <c r="G59" s="266" t="s">
        <v>50</v>
      </c>
      <c r="H59" s="263"/>
      <c r="I59" s="263"/>
      <c r="J59" s="263"/>
      <c r="K59" s="263"/>
      <c r="L59" s="263"/>
      <c r="M59" s="263"/>
      <c r="N59" s="263"/>
      <c r="O59" s="265"/>
      <c r="P59" s="105"/>
      <c r="Q59" s="266" t="s">
        <v>51</v>
      </c>
      <c r="R59" s="263"/>
      <c r="S59" s="263"/>
      <c r="T59" s="263"/>
      <c r="U59" s="263"/>
      <c r="V59" s="263"/>
      <c r="W59" s="263"/>
      <c r="X59" s="263"/>
      <c r="Y59" s="263"/>
      <c r="Z59" s="265"/>
      <c r="AA59" s="105"/>
      <c r="AB59" s="268" t="s">
        <v>52</v>
      </c>
      <c r="AC59" s="263"/>
      <c r="AD59" s="263"/>
      <c r="AE59" s="263"/>
      <c r="AF59" s="263"/>
      <c r="AG59" s="263"/>
      <c r="AH59" s="263"/>
      <c r="AI59" s="263"/>
      <c r="AJ59" s="263"/>
      <c r="AK59" s="265"/>
      <c r="AL59" s="105"/>
      <c r="AM59" s="254" t="s">
        <v>50</v>
      </c>
      <c r="AN59" s="99"/>
      <c r="AO59" s="99"/>
      <c r="AP59" s="99"/>
      <c r="AQ59" s="99"/>
      <c r="AR59" s="100"/>
      <c r="AT59" s="254" t="s">
        <v>51</v>
      </c>
      <c r="AU59" s="96"/>
      <c r="AV59" s="96"/>
      <c r="AW59" s="96"/>
      <c r="AX59" s="96"/>
      <c r="AY59" s="97"/>
      <c r="BA59" s="254" t="s">
        <v>52</v>
      </c>
      <c r="BB59" s="96"/>
      <c r="BC59" s="96"/>
      <c r="BD59" s="96"/>
      <c r="BE59" s="96"/>
      <c r="BF59" s="97"/>
      <c r="BI59" s="243" t="s">
        <v>217</v>
      </c>
      <c r="BJ59" s="243" t="s">
        <v>215</v>
      </c>
      <c r="BK59" s="195" t="s">
        <v>214</v>
      </c>
      <c r="BL59" s="170" t="s">
        <v>213</v>
      </c>
      <c r="BO59" s="298" t="s">
        <v>76</v>
      </c>
      <c r="BP59" s="299"/>
      <c r="BQ59" s="299"/>
      <c r="BR59" s="299"/>
      <c r="BS59" s="300"/>
    </row>
    <row r="60" spans="1:71" ht="51" customHeight="1" thickBot="1" x14ac:dyDescent="0.4">
      <c r="A60" s="46" t="s">
        <v>62</v>
      </c>
      <c r="B60" s="41"/>
      <c r="C60" s="42"/>
      <c r="D60" s="42"/>
      <c r="E60" s="43"/>
      <c r="F60" s="15"/>
      <c r="G60" s="418" t="s">
        <v>53</v>
      </c>
      <c r="H60" s="416" t="s">
        <v>55</v>
      </c>
      <c r="I60" s="417"/>
      <c r="J60" s="417"/>
      <c r="K60" s="417"/>
      <c r="L60" s="417"/>
      <c r="M60" s="423" t="s">
        <v>80</v>
      </c>
      <c r="N60" s="417" t="s">
        <v>57</v>
      </c>
      <c r="O60" s="420" t="s">
        <v>241</v>
      </c>
      <c r="P60" s="293"/>
      <c r="Q60" s="418" t="s">
        <v>53</v>
      </c>
      <c r="R60" s="417" t="s">
        <v>79</v>
      </c>
      <c r="S60" s="417"/>
      <c r="T60" s="417"/>
      <c r="U60" s="417"/>
      <c r="V60" s="417"/>
      <c r="W60" s="423" t="s">
        <v>104</v>
      </c>
      <c r="X60" s="423" t="s">
        <v>72</v>
      </c>
      <c r="Y60" s="423" t="s">
        <v>74</v>
      </c>
      <c r="Z60" s="420" t="s">
        <v>241</v>
      </c>
      <c r="AA60" s="293"/>
      <c r="AB60" s="414" t="s">
        <v>53</v>
      </c>
      <c r="AC60" s="416" t="s">
        <v>55</v>
      </c>
      <c r="AD60" s="417"/>
      <c r="AE60" s="417"/>
      <c r="AF60" s="417"/>
      <c r="AG60" s="417"/>
      <c r="AH60" s="423" t="s">
        <v>78</v>
      </c>
      <c r="AI60" s="423" t="s">
        <v>72</v>
      </c>
      <c r="AJ60" s="423" t="s">
        <v>74</v>
      </c>
      <c r="AK60" s="420" t="s">
        <v>241</v>
      </c>
      <c r="AL60" s="293"/>
      <c r="AM60" s="415" t="s">
        <v>53</v>
      </c>
      <c r="AN60" s="416" t="s">
        <v>56</v>
      </c>
      <c r="AO60" s="417" t="s">
        <v>58</v>
      </c>
      <c r="AP60" s="423" t="s">
        <v>242</v>
      </c>
      <c r="AQ60" s="423" t="s">
        <v>60</v>
      </c>
      <c r="AR60" s="420" t="s">
        <v>97</v>
      </c>
      <c r="AT60" s="418" t="s">
        <v>53</v>
      </c>
      <c r="AU60" s="423" t="s">
        <v>73</v>
      </c>
      <c r="AV60" s="423" t="s">
        <v>75</v>
      </c>
      <c r="AW60" s="423" t="s">
        <v>242</v>
      </c>
      <c r="AX60" s="423" t="s">
        <v>60</v>
      </c>
      <c r="AY60" s="420" t="s">
        <v>97</v>
      </c>
      <c r="BA60" s="418" t="s">
        <v>53</v>
      </c>
      <c r="BB60" s="423" t="s">
        <v>73</v>
      </c>
      <c r="BC60" s="423" t="s">
        <v>75</v>
      </c>
      <c r="BD60" s="423" t="s">
        <v>242</v>
      </c>
      <c r="BE60" s="423" t="s">
        <v>60</v>
      </c>
      <c r="BF60" s="420" t="s">
        <v>97</v>
      </c>
      <c r="BI60" s="433"/>
      <c r="BJ60" s="433"/>
      <c r="BK60" s="433"/>
      <c r="BL60" s="433"/>
      <c r="BO60" s="92"/>
      <c r="BP60" s="296" t="s">
        <v>50</v>
      </c>
      <c r="BQ60" s="296" t="s">
        <v>51</v>
      </c>
      <c r="BR60" s="296" t="s">
        <v>52</v>
      </c>
      <c r="BS60" s="292" t="s">
        <v>77</v>
      </c>
    </row>
    <row r="61" spans="1:71" ht="16" thickBot="1" x14ac:dyDescent="0.4">
      <c r="A61" s="35"/>
      <c r="B61" s="35" t="s">
        <v>164</v>
      </c>
      <c r="C61" s="15" t="s">
        <v>50</v>
      </c>
      <c r="D61" s="15" t="s">
        <v>51</v>
      </c>
      <c r="E61" s="38" t="s">
        <v>52</v>
      </c>
      <c r="F61" s="15"/>
      <c r="G61" s="415"/>
      <c r="H61" s="426" t="s">
        <v>163</v>
      </c>
      <c r="I61" s="427"/>
      <c r="J61" s="427"/>
      <c r="K61" s="427" t="s">
        <v>47</v>
      </c>
      <c r="L61" s="427" t="s">
        <v>31</v>
      </c>
      <c r="M61" s="424"/>
      <c r="N61" s="427"/>
      <c r="O61" s="421"/>
      <c r="P61" s="293"/>
      <c r="Q61" s="415"/>
      <c r="R61" s="427" t="s">
        <v>163</v>
      </c>
      <c r="S61" s="427"/>
      <c r="T61" s="427"/>
      <c r="U61" s="427" t="s">
        <v>47</v>
      </c>
      <c r="V61" s="427" t="s">
        <v>31</v>
      </c>
      <c r="W61" s="424"/>
      <c r="X61" s="424"/>
      <c r="Y61" s="424"/>
      <c r="Z61" s="421"/>
      <c r="AA61" s="293"/>
      <c r="AB61" s="415"/>
      <c r="AC61" s="426" t="s">
        <v>163</v>
      </c>
      <c r="AD61" s="427"/>
      <c r="AE61" s="427"/>
      <c r="AF61" s="427" t="s">
        <v>47</v>
      </c>
      <c r="AG61" s="427" t="s">
        <v>31</v>
      </c>
      <c r="AH61" s="424"/>
      <c r="AI61" s="424"/>
      <c r="AJ61" s="424"/>
      <c r="AK61" s="421"/>
      <c r="AL61" s="293"/>
      <c r="AM61" s="415"/>
      <c r="AN61" s="426"/>
      <c r="AO61" s="427"/>
      <c r="AP61" s="424"/>
      <c r="AQ61" s="424"/>
      <c r="AR61" s="421"/>
      <c r="AT61" s="415"/>
      <c r="AU61" s="424"/>
      <c r="AV61" s="424"/>
      <c r="AW61" s="424"/>
      <c r="AX61" s="424"/>
      <c r="AY61" s="421"/>
      <c r="BA61" s="415"/>
      <c r="BB61" s="424"/>
      <c r="BC61" s="424"/>
      <c r="BD61" s="424"/>
      <c r="BE61" s="424"/>
      <c r="BF61" s="421"/>
      <c r="BI61" s="431"/>
      <c r="BJ61" s="431"/>
      <c r="BK61" s="431"/>
      <c r="BL61" s="431"/>
      <c r="BO61" s="254" t="s">
        <v>91</v>
      </c>
      <c r="BP61" s="260">
        <f>AR65</f>
        <v>917521</v>
      </c>
      <c r="BQ61" s="260">
        <f>AY65</f>
        <v>1280547</v>
      </c>
      <c r="BR61" s="260">
        <f>BF65</f>
        <v>2780582</v>
      </c>
      <c r="BS61" s="269">
        <f>SUM(BP61:BR61)</f>
        <v>4978650</v>
      </c>
    </row>
    <row r="62" spans="1:71" ht="16" thickBot="1" x14ac:dyDescent="0.4">
      <c r="A62" s="35"/>
      <c r="B62" s="112" t="s">
        <v>48</v>
      </c>
      <c r="C62" s="138">
        <f>Storage!$E$15</f>
        <v>288000</v>
      </c>
      <c r="D62" s="138">
        <f>Storage!$E$15</f>
        <v>288000</v>
      </c>
      <c r="E62" s="141">
        <f>Storage!$E$15</f>
        <v>288000</v>
      </c>
      <c r="F62" s="15"/>
      <c r="G62" s="419"/>
      <c r="H62" s="267">
        <v>0.4</v>
      </c>
      <c r="I62" s="264">
        <v>0.6</v>
      </c>
      <c r="J62" s="264">
        <v>0.8</v>
      </c>
      <c r="K62" s="428"/>
      <c r="L62" s="428"/>
      <c r="M62" s="425"/>
      <c r="N62" s="428"/>
      <c r="O62" s="422"/>
      <c r="P62" s="293"/>
      <c r="Q62" s="419"/>
      <c r="R62" s="264">
        <v>0.4</v>
      </c>
      <c r="S62" s="264">
        <v>0.6</v>
      </c>
      <c r="T62" s="264">
        <v>0.8</v>
      </c>
      <c r="U62" s="428"/>
      <c r="V62" s="428"/>
      <c r="W62" s="425"/>
      <c r="X62" s="425"/>
      <c r="Y62" s="425"/>
      <c r="Z62" s="422"/>
      <c r="AA62" s="293"/>
      <c r="AB62" s="415"/>
      <c r="AC62" s="267">
        <v>0.4</v>
      </c>
      <c r="AD62" s="264">
        <v>0.6</v>
      </c>
      <c r="AE62" s="264">
        <v>0.8</v>
      </c>
      <c r="AF62" s="428"/>
      <c r="AG62" s="428"/>
      <c r="AH62" s="425"/>
      <c r="AI62" s="425"/>
      <c r="AJ62" s="425"/>
      <c r="AK62" s="422"/>
      <c r="AL62" s="293"/>
      <c r="AM62" s="415"/>
      <c r="AN62" s="429"/>
      <c r="AO62" s="428"/>
      <c r="AP62" s="425"/>
      <c r="AQ62" s="425"/>
      <c r="AR62" s="422"/>
      <c r="AT62" s="419"/>
      <c r="AU62" s="425"/>
      <c r="AV62" s="425"/>
      <c r="AW62" s="425"/>
      <c r="AX62" s="425"/>
      <c r="AY62" s="422"/>
      <c r="BA62" s="419"/>
      <c r="BB62" s="425"/>
      <c r="BC62" s="425"/>
      <c r="BD62" s="425"/>
      <c r="BE62" s="425"/>
      <c r="BF62" s="422"/>
      <c r="BI62" s="432"/>
      <c r="BJ62" s="432"/>
      <c r="BK62" s="432"/>
      <c r="BL62" s="432"/>
      <c r="BO62" s="92" t="s">
        <v>235</v>
      </c>
      <c r="BP62" s="270">
        <f>M65</f>
        <v>5</v>
      </c>
      <c r="BQ62" s="270">
        <f>X65</f>
        <v>6</v>
      </c>
      <c r="BR62" s="270">
        <f>AI65</f>
        <v>13</v>
      </c>
      <c r="BS62" s="215">
        <f>SUM(BP62:BR62)</f>
        <v>24</v>
      </c>
    </row>
    <row r="63" spans="1:71" ht="17" customHeight="1" x14ac:dyDescent="0.35">
      <c r="A63" s="35"/>
      <c r="B63" s="112" t="s">
        <v>146</v>
      </c>
      <c r="C63" s="138">
        <f>'CPU (Workload)'!$E$17</f>
        <v>1397.3968749999999</v>
      </c>
      <c r="D63" s="138">
        <f>'CPU (Workload)'!$E$19</f>
        <v>3311.4166666666665</v>
      </c>
      <c r="E63" s="141">
        <f>'CPU (Workload)'!$E$21</f>
        <v>5887.1958333333332</v>
      </c>
      <c r="F63" s="15"/>
      <c r="G63" s="235" t="s">
        <v>32</v>
      </c>
      <c r="H63" s="12">
        <f>ROUNDUP($C63/(gen_l_tps40),0)</f>
        <v>2</v>
      </c>
      <c r="I63" s="12">
        <f>ROUNDUP($C63/(gen_l_tps60),0)</f>
        <v>2</v>
      </c>
      <c r="J63" s="12">
        <f>ROUNDUP($C63/(gen_l_tps80),0)</f>
        <v>1</v>
      </c>
      <c r="K63" s="9">
        <f>ROUNDUP($C62/gen_l_disk,0)</f>
        <v>452</v>
      </c>
      <c r="L63" s="9">
        <f>ROUNDUP($C64/gen_l_bw,0)</f>
        <v>108</v>
      </c>
      <c r="M63" s="9">
        <f>MAX(J63:L63)</f>
        <v>452</v>
      </c>
      <c r="N63" s="9">
        <f>ROUNDUP(M63/gen_l_spr80,0)</f>
        <v>42</v>
      </c>
      <c r="O63" s="76">
        <f>ROUND(M63*gen_l_pow80*24*365,0)</f>
        <v>1029475</v>
      </c>
      <c r="P63" s="67"/>
      <c r="Q63" s="235" t="s">
        <v>32</v>
      </c>
      <c r="R63" s="12">
        <f>ROUNDUP($D63/(gen_l_tps40),0)</f>
        <v>5</v>
      </c>
      <c r="S63" s="12">
        <f>ROUNDUP($D63/(gen_l_tps60),0)</f>
        <v>3</v>
      </c>
      <c r="T63" s="12">
        <f>ROUNDUP($D63/(gen_l_tps80),0)</f>
        <v>3</v>
      </c>
      <c r="U63" s="9">
        <f>ROUNDUP($D62/gen_l_disk,0)</f>
        <v>452</v>
      </c>
      <c r="V63" s="9">
        <f>ROUNDUP($D64/gen_l_bw,0)</f>
        <v>255</v>
      </c>
      <c r="W63" s="9">
        <f>MAX(T63:V63)</f>
        <v>452</v>
      </c>
      <c r="X63" s="9">
        <f>W63-M63</f>
        <v>0</v>
      </c>
      <c r="Y63" s="9">
        <f>ROUNDUP(X63/gen_l_spr80,0)</f>
        <v>0</v>
      </c>
      <c r="Z63" s="76">
        <f>ROUND((W63)*gen_l_pow80*24*365,0)</f>
        <v>1029475</v>
      </c>
      <c r="AA63" s="67"/>
      <c r="AB63" s="235" t="s">
        <v>32</v>
      </c>
      <c r="AC63" s="12">
        <f>ROUNDUP($E63/(gen_l_tps40),0)</f>
        <v>8</v>
      </c>
      <c r="AD63" s="12">
        <f>ROUNDUP($E63/(gen_l_tps60),0)</f>
        <v>6</v>
      </c>
      <c r="AE63" s="12">
        <f>ROUNDUP($E63/(gen_l_tps80),0)</f>
        <v>4</v>
      </c>
      <c r="AF63" s="9">
        <f>ROUNDUP($E62/gen_l_disk,0)</f>
        <v>452</v>
      </c>
      <c r="AG63" s="9">
        <f>ROUNDUP($E64/gen_l_bw,0)</f>
        <v>453</v>
      </c>
      <c r="AH63" s="9">
        <f>MAX(AE63:AG63)</f>
        <v>453</v>
      </c>
      <c r="AI63" s="9">
        <f>AH63-W63</f>
        <v>1</v>
      </c>
      <c r="AJ63" s="9">
        <f>ROUNDUP(AI63/gen_l_spr80,0)</f>
        <v>1</v>
      </c>
      <c r="AK63" s="76">
        <f>ROUND((AH63)*gen_l_pow80*24*365,0)</f>
        <v>1031753</v>
      </c>
      <c r="AL63" s="67"/>
      <c r="AM63" s="235" t="s">
        <v>32</v>
      </c>
      <c r="AN63" s="36">
        <f>M63*gen_l_cost</f>
        <v>384200</v>
      </c>
      <c r="AO63" s="36">
        <f>N63*rack_cost</f>
        <v>210000</v>
      </c>
      <c r="AP63" s="36">
        <f>ROUND(O63*kwh_cost,0)</f>
        <v>52915</v>
      </c>
      <c r="AQ63" s="36">
        <v>0</v>
      </c>
      <c r="AR63" s="72">
        <f>SUM(AN63,AO63,AP63)</f>
        <v>647115</v>
      </c>
      <c r="AT63" s="235" t="s">
        <v>32</v>
      </c>
      <c r="AU63" s="36">
        <f>X63*gen_l_cost*1.02</f>
        <v>0</v>
      </c>
      <c r="AV63" s="36">
        <f>Y63*rack_cost</f>
        <v>0</v>
      </c>
      <c r="AW63" s="36">
        <f>ROUND(Z63*kwh_cost,0)</f>
        <v>52915</v>
      </c>
      <c r="AX63" s="36">
        <f>AN63*hw_supt</f>
        <v>76840</v>
      </c>
      <c r="AY63" s="72">
        <f>SUM(AU63,AV63,AW63,AX63)</f>
        <v>129755</v>
      </c>
      <c r="BA63" s="235" t="s">
        <v>32</v>
      </c>
      <c r="BB63" s="36">
        <f>AI63*gen_l_cost*1.0404</f>
        <v>884.34</v>
      </c>
      <c r="BC63" s="36">
        <f>AJ63*rack_cost</f>
        <v>5000</v>
      </c>
      <c r="BD63" s="36">
        <f>ROUND(AK63*kwh_cost,0)</f>
        <v>53032</v>
      </c>
      <c r="BE63" s="36">
        <f>(AN63+AU63)*hw_supt</f>
        <v>76840</v>
      </c>
      <c r="BF63" s="37">
        <f>SUM(BB63,BC63,BD63,BE63)</f>
        <v>135756.34</v>
      </c>
      <c r="BI63" s="188">
        <f>SUM(AH63)</f>
        <v>453</v>
      </c>
      <c r="BJ63" s="188">
        <f t="shared" ref="BJ63:BK65" si="7">SUM(AJ63,Y63,N63)</f>
        <v>43</v>
      </c>
      <c r="BK63" s="188">
        <f t="shared" si="7"/>
        <v>3090703</v>
      </c>
      <c r="BL63" s="245">
        <f>SUM(AR63,AY63,BF63)</f>
        <v>912626.34</v>
      </c>
      <c r="BO63" s="235" t="s">
        <v>236</v>
      </c>
      <c r="BP63" s="9">
        <f>N65</f>
        <v>3</v>
      </c>
      <c r="BQ63" s="9">
        <f>Y65</f>
        <v>3</v>
      </c>
      <c r="BR63" s="9">
        <f>AJ65</f>
        <v>7</v>
      </c>
      <c r="BS63" s="188">
        <f t="shared" ref="BS63:BS64" si="8">SUM(BP63:BR63)</f>
        <v>13</v>
      </c>
    </row>
    <row r="64" spans="1:71" ht="16" thickBot="1" x14ac:dyDescent="0.4">
      <c r="A64" s="39"/>
      <c r="B64" s="113" t="s">
        <v>49</v>
      </c>
      <c r="C64" s="142">
        <f>Bandwidth!$O$17</f>
        <v>80.490059999999986</v>
      </c>
      <c r="D64" s="142">
        <f>Bandwidth!$O$19</f>
        <v>190.73759999999999</v>
      </c>
      <c r="E64" s="143">
        <f>Bandwidth!$O$21</f>
        <v>339.10247999999996</v>
      </c>
      <c r="F64" s="15"/>
      <c r="G64" s="93" t="s">
        <v>41</v>
      </c>
      <c r="H64" s="74">
        <f>ROUNDUP($C63/(gen_xl_tps40),0)</f>
        <v>1</v>
      </c>
      <c r="I64" s="74">
        <f>ROUNDUP($C63/(gen_xl_tps60),0)</f>
        <v>1</v>
      </c>
      <c r="J64" s="74">
        <f>ROUNDUP($C63/(gen_xl_tps80),0)</f>
        <v>1</v>
      </c>
      <c r="K64" s="69">
        <f>ROUNDUP($C62/gen_xl_disk,0)</f>
        <v>192</v>
      </c>
      <c r="L64" s="69">
        <f>ROUNDUP($C64/gen_xl_bw,0)</f>
        <v>54</v>
      </c>
      <c r="M64" s="69">
        <f>MAX(J64:L64)</f>
        <v>192</v>
      </c>
      <c r="N64" s="69">
        <f>ROUNDUP(M64/gen_xl_spr80,0)</f>
        <v>28</v>
      </c>
      <c r="O64" s="77">
        <f>ROUND(M64*gen_l_pow80*24*365,0)</f>
        <v>437299</v>
      </c>
      <c r="P64" s="67"/>
      <c r="Q64" s="93" t="s">
        <v>41</v>
      </c>
      <c r="R64" s="74">
        <f>ROUNDUP($D63/(gen_xl_tps40),0) - H64</f>
        <v>1</v>
      </c>
      <c r="S64" s="74">
        <f>ROUNDUP($D63/(gen_xl_tps60),0)</f>
        <v>2</v>
      </c>
      <c r="T64" s="74">
        <f>ROUNDUP($D63/(gen_xl_tps80),0)</f>
        <v>1</v>
      </c>
      <c r="U64" s="69">
        <f>ROUNDUP($D62/gen_xl_disk,0)</f>
        <v>192</v>
      </c>
      <c r="V64" s="69">
        <f>ROUNDUP($D64/gen_xl_bw,0)</f>
        <v>128</v>
      </c>
      <c r="W64" s="69">
        <f>MAX(T64:V64)</f>
        <v>192</v>
      </c>
      <c r="X64" s="69">
        <f>W64-M64</f>
        <v>0</v>
      </c>
      <c r="Y64" s="69">
        <f>ROUNDUP(X64/gen_xl_spr80,0)</f>
        <v>0</v>
      </c>
      <c r="Z64" s="77">
        <f>ROUND((W64)*gen_l_pow80*24*365,0)</f>
        <v>437299</v>
      </c>
      <c r="AA64" s="67"/>
      <c r="AB64" s="93" t="s">
        <v>41</v>
      </c>
      <c r="AC64" s="74">
        <f>ROUNDUP($E63/(gen_xl_tps40),0)</f>
        <v>4</v>
      </c>
      <c r="AD64" s="74">
        <f>ROUNDUP($E63/(gen_xl_tps60),0)</f>
        <v>3</v>
      </c>
      <c r="AE64" s="74">
        <f>ROUNDUP($E63/(gen_xl_tps80),0)</f>
        <v>2</v>
      </c>
      <c r="AF64" s="69">
        <f>ROUNDUP($E62/gen_xl_disk,0)</f>
        <v>192</v>
      </c>
      <c r="AG64" s="69">
        <f>ROUNDUP($E64/gen_xl_bw,0)</f>
        <v>227</v>
      </c>
      <c r="AH64" s="69">
        <f>MAX(AE64:AG64)</f>
        <v>227</v>
      </c>
      <c r="AI64" s="69">
        <f>AH64-W64</f>
        <v>35</v>
      </c>
      <c r="AJ64" s="69">
        <f>ROUNDUP(AI64/gen_xl_spr80,0)</f>
        <v>5</v>
      </c>
      <c r="AK64" s="77">
        <f>ROUND((AH64)*gen_l_pow80*24*365,0)</f>
        <v>517015</v>
      </c>
      <c r="AL64" s="67"/>
      <c r="AM64" s="93" t="s">
        <v>41</v>
      </c>
      <c r="AN64" s="75">
        <f>M64*gen_xl_cost</f>
        <v>451200</v>
      </c>
      <c r="AO64" s="75">
        <f>N64*rack_cost</f>
        <v>140000</v>
      </c>
      <c r="AP64" s="75">
        <f>ROUND(O64*kwh_cost,0)</f>
        <v>22477</v>
      </c>
      <c r="AQ64" s="75">
        <v>0</v>
      </c>
      <c r="AR64" s="320">
        <f>SUM(AN64,AO64,AP64)</f>
        <v>613677</v>
      </c>
      <c r="AT64" s="93" t="s">
        <v>41</v>
      </c>
      <c r="AU64" s="40">
        <f>X64*gen_xl_cost*1.02</f>
        <v>0</v>
      </c>
      <c r="AV64" s="40">
        <f>Y64*rack_cost</f>
        <v>0</v>
      </c>
      <c r="AW64" s="40">
        <f>ROUND(Z64*kwh_cost,0)</f>
        <v>22477</v>
      </c>
      <c r="AX64" s="40">
        <f>AN64*hw_supt</f>
        <v>90240</v>
      </c>
      <c r="AY64" s="320">
        <f>SUM(AU64,AV64,AW64,AX64)</f>
        <v>112717</v>
      </c>
      <c r="BA64" s="93" t="s">
        <v>41</v>
      </c>
      <c r="BB64" s="40">
        <f>AI64*gen_xl_cost*1.0404</f>
        <v>85572.9</v>
      </c>
      <c r="BC64" s="40">
        <f>AJ64*rack_cost</f>
        <v>25000</v>
      </c>
      <c r="BD64" s="40">
        <f>ROUND(AK64*kwh_cost,0)</f>
        <v>26575</v>
      </c>
      <c r="BE64" s="40">
        <f>(AN64+AU64)*hw_supt</f>
        <v>90240</v>
      </c>
      <c r="BF64" s="320">
        <f>SUM(BB64,BC64,BD64,BE64)</f>
        <v>227387.9</v>
      </c>
      <c r="BI64" s="189">
        <f>SUM(AH64)</f>
        <v>227</v>
      </c>
      <c r="BJ64" s="189">
        <f t="shared" si="7"/>
        <v>33</v>
      </c>
      <c r="BK64" s="189">
        <f t="shared" si="7"/>
        <v>1391613</v>
      </c>
      <c r="BL64" s="246">
        <f>SUM(AR64,AY64,BF64)</f>
        <v>953781.9</v>
      </c>
      <c r="BO64" s="93" t="s">
        <v>234</v>
      </c>
      <c r="BP64" s="69">
        <f>O65</f>
        <v>49056</v>
      </c>
      <c r="BQ64" s="69">
        <f>Z65</f>
        <v>107923</v>
      </c>
      <c r="BR64" s="69">
        <f>AK65</f>
        <v>186413</v>
      </c>
      <c r="BS64" s="189">
        <f t="shared" si="8"/>
        <v>343392</v>
      </c>
    </row>
    <row r="65" spans="1:76" ht="16" thickBot="1" x14ac:dyDescent="0.4">
      <c r="F65" s="15"/>
      <c r="G65" s="323" t="s">
        <v>317</v>
      </c>
      <c r="H65" s="108"/>
      <c r="I65" s="108"/>
      <c r="J65" s="108"/>
      <c r="K65" s="251">
        <f>ROUNDUP($C62/nas_disk,0)</f>
        <v>4</v>
      </c>
      <c r="L65" s="251">
        <f>ROUNDUP($C64/nas_bw,0)</f>
        <v>5</v>
      </c>
      <c r="M65" s="251">
        <f>MAX(K65:L65)</f>
        <v>5</v>
      </c>
      <c r="N65" s="251">
        <f>ROUNDUP(M65/nas_spr,0)</f>
        <v>3</v>
      </c>
      <c r="O65" s="322">
        <f>ROUND(M65*nas_pwr*24*365,0)</f>
        <v>49056</v>
      </c>
      <c r="Q65" s="323" t="s">
        <v>317</v>
      </c>
      <c r="R65" s="108"/>
      <c r="S65" s="108"/>
      <c r="T65" s="108"/>
      <c r="U65" s="251">
        <f>ROUNDUP($D62/nas_disk,0)</f>
        <v>4</v>
      </c>
      <c r="V65" s="251">
        <f>ROUNDUP($D64/nas_bw,0)</f>
        <v>11</v>
      </c>
      <c r="W65" s="251">
        <f>MAX(U65:V65)</f>
        <v>11</v>
      </c>
      <c r="X65" s="69">
        <f>W65-M65</f>
        <v>6</v>
      </c>
      <c r="Y65" s="69">
        <f>ROUNDUP(X65/nas_spr,0)</f>
        <v>3</v>
      </c>
      <c r="Z65" s="322">
        <f>ROUND(W65*nas_pwr*24*365,0)</f>
        <v>107923</v>
      </c>
      <c r="AA65" s="15"/>
      <c r="AB65" s="323" t="s">
        <v>317</v>
      </c>
      <c r="AC65" s="108"/>
      <c r="AD65" s="108"/>
      <c r="AE65" s="108"/>
      <c r="AF65" s="251">
        <f>ROUNDUP($E62/nas_disk,0)</f>
        <v>4</v>
      </c>
      <c r="AG65" s="251">
        <f>ROUNDUP($E64/nas_bw,0)</f>
        <v>19</v>
      </c>
      <c r="AH65" s="251">
        <f>MAX(AF65:AG65)</f>
        <v>19</v>
      </c>
      <c r="AI65" s="69">
        <f>AH65-X65</f>
        <v>13</v>
      </c>
      <c r="AJ65" s="69">
        <f>ROUNDUP(AI65/nas_spr,0)</f>
        <v>7</v>
      </c>
      <c r="AK65" s="322">
        <f>ROUND(AH65*nas_pwr*24*365,0)</f>
        <v>186413</v>
      </c>
      <c r="AM65" s="93" t="s">
        <v>317</v>
      </c>
      <c r="AN65" s="75">
        <f>M65*nas_cost</f>
        <v>900000</v>
      </c>
      <c r="AO65" s="75">
        <f>N65*rack_cost</f>
        <v>15000</v>
      </c>
      <c r="AP65" s="75">
        <f>ROUND(O65*kwh_cost,0)</f>
        <v>2521</v>
      </c>
      <c r="AQ65" s="75">
        <v>0</v>
      </c>
      <c r="AR65" s="320">
        <f>SUM(AN65,AO65,AP65)</f>
        <v>917521</v>
      </c>
      <c r="AT65" s="93" t="s">
        <v>317</v>
      </c>
      <c r="AU65" s="40">
        <f>X65*nas_cost</f>
        <v>1080000</v>
      </c>
      <c r="AV65" s="40">
        <f>Y65*rack_cost</f>
        <v>15000</v>
      </c>
      <c r="AW65" s="40">
        <f>ROUND(Z65*kwh_cost,0)</f>
        <v>5547</v>
      </c>
      <c r="AX65" s="40">
        <f>AN65*hw_supt</f>
        <v>180000</v>
      </c>
      <c r="AY65" s="320">
        <f>SUM(AU65,AV65,AW65,AX65)</f>
        <v>1280547</v>
      </c>
      <c r="BA65" s="93" t="s">
        <v>317</v>
      </c>
      <c r="BB65" s="40">
        <f>AI65*nas_cost</f>
        <v>2340000</v>
      </c>
      <c r="BC65" s="40">
        <f>AJ65*rack_cost</f>
        <v>35000</v>
      </c>
      <c r="BD65" s="40">
        <f>ROUND(AK65*kwh_cost,0)</f>
        <v>9582</v>
      </c>
      <c r="BE65" s="40">
        <f>(AN65+AU65)*hw_supt</f>
        <v>396000</v>
      </c>
      <c r="BF65" s="320">
        <f>SUM(BB65,BC65,BD65,BE65)</f>
        <v>2780582</v>
      </c>
      <c r="BI65" s="189">
        <f>SUM(AH65)</f>
        <v>19</v>
      </c>
      <c r="BJ65" s="189">
        <f t="shared" si="7"/>
        <v>13</v>
      </c>
      <c r="BK65" s="189">
        <f t="shared" si="7"/>
        <v>343392</v>
      </c>
      <c r="BL65" s="246">
        <f>SUM(AR65,AY65,BF65)</f>
        <v>4978650</v>
      </c>
      <c r="BM65" t="s">
        <v>320</v>
      </c>
    </row>
    <row r="66" spans="1:76" x14ac:dyDescent="0.35">
      <c r="F66" s="15"/>
      <c r="AA66" s="15"/>
    </row>
    <row r="67" spans="1:76" ht="18.5" x14ac:dyDescent="0.45">
      <c r="A67" s="51" t="s">
        <v>312</v>
      </c>
      <c r="F67" s="15"/>
      <c r="AA67" s="15"/>
    </row>
    <row r="68" spans="1:76" ht="16" thickBot="1" x14ac:dyDescent="0.4">
      <c r="F68" s="15"/>
      <c r="AA68" s="15"/>
      <c r="AM68" t="s">
        <v>233</v>
      </c>
      <c r="AT68" t="s">
        <v>233</v>
      </c>
    </row>
    <row r="69" spans="1:76" ht="34" customHeight="1" thickBot="1" x14ac:dyDescent="0.4">
      <c r="A69" s="438" t="s">
        <v>339</v>
      </c>
      <c r="B69" s="438"/>
      <c r="C69" s="438"/>
      <c r="D69" s="438"/>
      <c r="E69" s="438"/>
      <c r="F69" s="15"/>
      <c r="G69" s="266" t="s">
        <v>50</v>
      </c>
      <c r="H69" s="99"/>
      <c r="I69" s="99"/>
      <c r="J69" s="99"/>
      <c r="K69" s="99"/>
      <c r="L69" s="99"/>
      <c r="M69" s="99"/>
      <c r="N69" s="99"/>
      <c r="O69" s="100"/>
      <c r="P69" s="105"/>
      <c r="Q69" s="266" t="s">
        <v>51</v>
      </c>
      <c r="R69" s="263"/>
      <c r="S69" s="263"/>
      <c r="T69" s="263"/>
      <c r="U69" s="263"/>
      <c r="V69" s="263"/>
      <c r="W69" s="263"/>
      <c r="X69" s="263"/>
      <c r="Y69" s="263"/>
      <c r="Z69" s="265"/>
      <c r="AA69" s="105"/>
      <c r="AB69" s="266" t="s">
        <v>52</v>
      </c>
      <c r="AC69" s="263"/>
      <c r="AD69" s="263"/>
      <c r="AE69" s="263"/>
      <c r="AF69" s="263"/>
      <c r="AG69" s="263"/>
      <c r="AH69" s="263"/>
      <c r="AI69" s="263"/>
      <c r="AJ69" s="263"/>
      <c r="AK69" s="265"/>
      <c r="AL69" s="105"/>
      <c r="AM69" s="254" t="s">
        <v>50</v>
      </c>
      <c r="AN69" s="99"/>
      <c r="AO69" s="99"/>
      <c r="AP69" s="99"/>
      <c r="AQ69" s="99"/>
      <c r="AR69" s="100"/>
      <c r="AT69" s="254" t="s">
        <v>51</v>
      </c>
      <c r="AU69" s="96"/>
      <c r="AV69" s="96"/>
      <c r="AW69" s="96"/>
      <c r="AX69" s="96"/>
      <c r="AY69" s="97"/>
      <c r="BA69" s="254" t="s">
        <v>52</v>
      </c>
      <c r="BB69" s="96"/>
      <c r="BC69" s="96"/>
      <c r="BD69" s="96"/>
      <c r="BE69" s="96"/>
      <c r="BF69" s="97"/>
      <c r="BI69" s="243" t="s">
        <v>217</v>
      </c>
      <c r="BJ69" s="243" t="s">
        <v>215</v>
      </c>
      <c r="BK69" s="195" t="s">
        <v>214</v>
      </c>
      <c r="BL69" s="170" t="s">
        <v>213</v>
      </c>
      <c r="BO69" s="298" t="s">
        <v>76</v>
      </c>
      <c r="BP69" s="299"/>
      <c r="BQ69" s="299"/>
      <c r="BR69" s="299"/>
      <c r="BS69" s="300"/>
    </row>
    <row r="70" spans="1:76" ht="51" customHeight="1" thickBot="1" x14ac:dyDescent="0.4">
      <c r="A70" s="46"/>
      <c r="B70" s="41"/>
      <c r="C70" s="42"/>
      <c r="D70" s="42"/>
      <c r="E70" s="43"/>
      <c r="F70" s="15"/>
      <c r="G70" s="418" t="s">
        <v>53</v>
      </c>
      <c r="H70" s="416" t="s">
        <v>55</v>
      </c>
      <c r="I70" s="417"/>
      <c r="J70" s="417"/>
      <c r="K70" s="417"/>
      <c r="L70" s="417"/>
      <c r="M70" s="423" t="s">
        <v>80</v>
      </c>
      <c r="N70" s="417" t="s">
        <v>57</v>
      </c>
      <c r="O70" s="420" t="s">
        <v>241</v>
      </c>
      <c r="P70" s="293"/>
      <c r="Q70" s="418" t="s">
        <v>53</v>
      </c>
      <c r="R70" s="417" t="s">
        <v>79</v>
      </c>
      <c r="S70" s="417"/>
      <c r="T70" s="417"/>
      <c r="U70" s="417"/>
      <c r="V70" s="417"/>
      <c r="W70" s="423" t="s">
        <v>104</v>
      </c>
      <c r="X70" s="423" t="s">
        <v>72</v>
      </c>
      <c r="Y70" s="423" t="s">
        <v>74</v>
      </c>
      <c r="Z70" s="420" t="s">
        <v>241</v>
      </c>
      <c r="AA70" s="293"/>
      <c r="AB70" s="439" t="s">
        <v>53</v>
      </c>
      <c r="AC70" s="416" t="s">
        <v>55</v>
      </c>
      <c r="AD70" s="417"/>
      <c r="AE70" s="417"/>
      <c r="AF70" s="417"/>
      <c r="AG70" s="417"/>
      <c r="AH70" s="423" t="s">
        <v>78</v>
      </c>
      <c r="AI70" s="423" t="s">
        <v>72</v>
      </c>
      <c r="AJ70" s="423" t="s">
        <v>74</v>
      </c>
      <c r="AK70" s="420" t="s">
        <v>241</v>
      </c>
      <c r="AL70" s="293"/>
      <c r="AM70" s="418" t="s">
        <v>53</v>
      </c>
      <c r="AN70" s="416" t="s">
        <v>56</v>
      </c>
      <c r="AO70" s="417" t="s">
        <v>58</v>
      </c>
      <c r="AP70" s="423" t="s">
        <v>242</v>
      </c>
      <c r="AQ70" s="423" t="s">
        <v>60</v>
      </c>
      <c r="AR70" s="420" t="s">
        <v>97</v>
      </c>
      <c r="AT70" s="418" t="s">
        <v>53</v>
      </c>
      <c r="AU70" s="423" t="s">
        <v>73</v>
      </c>
      <c r="AV70" s="423" t="s">
        <v>75</v>
      </c>
      <c r="AW70" s="423" t="s">
        <v>242</v>
      </c>
      <c r="AX70" s="423" t="s">
        <v>60</v>
      </c>
      <c r="AY70" s="420" t="s">
        <v>97</v>
      </c>
      <c r="BA70" s="418" t="s">
        <v>53</v>
      </c>
      <c r="BB70" s="423" t="s">
        <v>73</v>
      </c>
      <c r="BC70" s="423" t="s">
        <v>75</v>
      </c>
      <c r="BD70" s="423" t="s">
        <v>242</v>
      </c>
      <c r="BE70" s="423" t="s">
        <v>60</v>
      </c>
      <c r="BF70" s="420" t="s">
        <v>97</v>
      </c>
      <c r="BI70" s="433"/>
      <c r="BJ70" s="433"/>
      <c r="BK70" s="433"/>
      <c r="BL70" s="433"/>
      <c r="BO70" s="92"/>
      <c r="BP70" s="296" t="s">
        <v>50</v>
      </c>
      <c r="BQ70" s="296" t="s">
        <v>51</v>
      </c>
      <c r="BR70" s="296" t="s">
        <v>52</v>
      </c>
      <c r="BS70" s="292" t="s">
        <v>77</v>
      </c>
    </row>
    <row r="71" spans="1:76" ht="16" thickBot="1" x14ac:dyDescent="0.4">
      <c r="A71" s="35"/>
      <c r="B71" s="35" t="s">
        <v>164</v>
      </c>
      <c r="C71" s="15" t="s">
        <v>50</v>
      </c>
      <c r="D71" s="15" t="s">
        <v>51</v>
      </c>
      <c r="E71" s="38" t="s">
        <v>52</v>
      </c>
      <c r="F71" s="15"/>
      <c r="G71" s="415"/>
      <c r="H71" s="426" t="s">
        <v>163</v>
      </c>
      <c r="I71" s="427"/>
      <c r="J71" s="427"/>
      <c r="K71" s="427" t="s">
        <v>47</v>
      </c>
      <c r="L71" s="427" t="s">
        <v>31</v>
      </c>
      <c r="M71" s="424"/>
      <c r="N71" s="427"/>
      <c r="O71" s="421"/>
      <c r="P71" s="293"/>
      <c r="Q71" s="415"/>
      <c r="R71" s="427" t="s">
        <v>163</v>
      </c>
      <c r="S71" s="427"/>
      <c r="T71" s="427"/>
      <c r="U71" s="427" t="s">
        <v>47</v>
      </c>
      <c r="V71" s="427" t="s">
        <v>31</v>
      </c>
      <c r="W71" s="424"/>
      <c r="X71" s="424"/>
      <c r="Y71" s="424"/>
      <c r="Z71" s="421"/>
      <c r="AA71" s="293"/>
      <c r="AB71" s="440"/>
      <c r="AC71" s="426" t="s">
        <v>163</v>
      </c>
      <c r="AD71" s="427"/>
      <c r="AE71" s="427"/>
      <c r="AF71" s="427" t="s">
        <v>47</v>
      </c>
      <c r="AG71" s="427" t="s">
        <v>31</v>
      </c>
      <c r="AH71" s="424"/>
      <c r="AI71" s="424"/>
      <c r="AJ71" s="424"/>
      <c r="AK71" s="421"/>
      <c r="AL71" s="293"/>
      <c r="AM71" s="415"/>
      <c r="AN71" s="426"/>
      <c r="AO71" s="427"/>
      <c r="AP71" s="424"/>
      <c r="AQ71" s="424"/>
      <c r="AR71" s="421"/>
      <c r="AT71" s="415"/>
      <c r="AU71" s="424"/>
      <c r="AV71" s="424"/>
      <c r="AW71" s="424"/>
      <c r="AX71" s="424"/>
      <c r="AY71" s="421"/>
      <c r="BA71" s="415"/>
      <c r="BB71" s="424"/>
      <c r="BC71" s="424"/>
      <c r="BD71" s="424"/>
      <c r="BE71" s="424"/>
      <c r="BF71" s="421"/>
      <c r="BI71" s="431"/>
      <c r="BJ71" s="431"/>
      <c r="BK71" s="431"/>
      <c r="BL71" s="431"/>
      <c r="BO71" s="254" t="s">
        <v>91</v>
      </c>
      <c r="BP71" s="260">
        <f>AR74</f>
        <v>823971</v>
      </c>
      <c r="BQ71" s="260">
        <f>AY74</f>
        <v>1299545</v>
      </c>
      <c r="BR71" s="260">
        <f>BF74</f>
        <v>1930875.38</v>
      </c>
      <c r="BS71" s="269">
        <f>SUM(BP71:BR71)</f>
        <v>4054391.38</v>
      </c>
    </row>
    <row r="72" spans="1:76" ht="16" thickBot="1" x14ac:dyDescent="0.4">
      <c r="A72" s="35"/>
      <c r="B72" s="112" t="s">
        <v>48</v>
      </c>
      <c r="C72" s="138">
        <v>0</v>
      </c>
      <c r="D72" s="138">
        <v>0</v>
      </c>
      <c r="E72" s="141">
        <v>0</v>
      </c>
      <c r="F72" s="15"/>
      <c r="G72" s="419"/>
      <c r="H72" s="267">
        <v>0.4</v>
      </c>
      <c r="I72" s="264">
        <v>0.6</v>
      </c>
      <c r="J72" s="264">
        <v>0.8</v>
      </c>
      <c r="K72" s="428"/>
      <c r="L72" s="428"/>
      <c r="M72" s="425"/>
      <c r="N72" s="428"/>
      <c r="O72" s="422"/>
      <c r="P72" s="293"/>
      <c r="Q72" s="419"/>
      <c r="R72" s="264">
        <v>0.4</v>
      </c>
      <c r="S72" s="264">
        <v>0.6</v>
      </c>
      <c r="T72" s="264">
        <v>0.8</v>
      </c>
      <c r="U72" s="428"/>
      <c r="V72" s="428"/>
      <c r="W72" s="425"/>
      <c r="X72" s="425"/>
      <c r="Y72" s="425"/>
      <c r="Z72" s="422"/>
      <c r="AA72" s="293"/>
      <c r="AB72" s="441"/>
      <c r="AC72" s="267">
        <v>0.4</v>
      </c>
      <c r="AD72" s="264">
        <v>0.6</v>
      </c>
      <c r="AE72" s="264">
        <v>0.8</v>
      </c>
      <c r="AF72" s="428"/>
      <c r="AG72" s="428"/>
      <c r="AH72" s="425"/>
      <c r="AI72" s="425"/>
      <c r="AJ72" s="425"/>
      <c r="AK72" s="422"/>
      <c r="AL72" s="293"/>
      <c r="AM72" s="419"/>
      <c r="AN72" s="429"/>
      <c r="AO72" s="428"/>
      <c r="AP72" s="425"/>
      <c r="AQ72" s="425"/>
      <c r="AR72" s="422"/>
      <c r="AT72" s="419"/>
      <c r="AU72" s="425"/>
      <c r="AV72" s="425"/>
      <c r="AW72" s="425"/>
      <c r="AX72" s="425"/>
      <c r="AY72" s="422"/>
      <c r="BA72" s="419"/>
      <c r="BB72" s="425"/>
      <c r="BC72" s="425"/>
      <c r="BD72" s="425"/>
      <c r="BE72" s="425"/>
      <c r="BF72" s="422"/>
      <c r="BI72" s="432"/>
      <c r="BJ72" s="432"/>
      <c r="BK72" s="432"/>
      <c r="BL72" s="432"/>
      <c r="BO72" s="92" t="s">
        <v>235</v>
      </c>
      <c r="BP72" s="270">
        <f>M74</f>
        <v>259</v>
      </c>
      <c r="BQ72" s="270">
        <f>X74</f>
        <v>355</v>
      </c>
      <c r="BR72" s="270">
        <f>AI74</f>
        <v>477</v>
      </c>
      <c r="BS72" s="215">
        <f>SUM(BP72:BR72)</f>
        <v>1091</v>
      </c>
    </row>
    <row r="73" spans="1:76" ht="17" customHeight="1" x14ac:dyDescent="0.35">
      <c r="A73" s="35"/>
      <c r="B73" s="112" t="s">
        <v>146</v>
      </c>
      <c r="C73" s="138">
        <f>'CPU (Workload)'!$G$17</f>
        <v>15371.365624999999</v>
      </c>
      <c r="D73" s="138">
        <f>'CPU (Workload)'!$G$19</f>
        <v>36425.583333333328</v>
      </c>
      <c r="E73" s="141">
        <f>'CPU (Workload)'!$G$21</f>
        <v>64759.15416666666</v>
      </c>
      <c r="F73" s="15"/>
      <c r="G73" s="235" t="s">
        <v>32</v>
      </c>
      <c r="H73" s="163">
        <f>ROUNDUP($C73/(gen_l_tps40),0)</f>
        <v>21</v>
      </c>
      <c r="I73" s="12">
        <f>ROUNDUP($C73/(gen_l_tps60),0)</f>
        <v>14</v>
      </c>
      <c r="J73" s="12">
        <f>ROUNDUP($C73/(gen_l_tps80),0)</f>
        <v>11</v>
      </c>
      <c r="K73" s="9">
        <f>ROUNDUP($C72/gen_l_disk,0)</f>
        <v>0</v>
      </c>
      <c r="L73" s="9">
        <f>ROUNDUP($C74/gen_l_bw,0)</f>
        <v>518</v>
      </c>
      <c r="M73" s="9">
        <f>MAX(J73:L73)</f>
        <v>518</v>
      </c>
      <c r="N73" s="9">
        <f>ROUNDUP(M73/gen_l_spr80,0)</f>
        <v>48</v>
      </c>
      <c r="O73" s="76">
        <f>ROUND(M73*gen_l_pow80*24*365,0)</f>
        <v>1179797</v>
      </c>
      <c r="P73" s="67"/>
      <c r="Q73" s="235" t="s">
        <v>32</v>
      </c>
      <c r="R73" s="12">
        <f>ROUNDUP($D73/(gen_l_tps40),0)</f>
        <v>49</v>
      </c>
      <c r="S73" s="12">
        <f>ROUNDUP($D73/(gen_l_tps60),0)</f>
        <v>33</v>
      </c>
      <c r="T73" s="12">
        <f>ROUNDUP($D73/(gen_l_tps80),0)</f>
        <v>25</v>
      </c>
      <c r="U73" s="9">
        <f>ROUNDUP($D72/gen_l_disk,0)</f>
        <v>0</v>
      </c>
      <c r="V73" s="9">
        <f>ROUNDUP($D74/gen_l_bw,0)</f>
        <v>1227</v>
      </c>
      <c r="W73" s="9">
        <f>MAX(T73:V73)</f>
        <v>1227</v>
      </c>
      <c r="X73" s="9">
        <f>W73-M73</f>
        <v>709</v>
      </c>
      <c r="Y73" s="9">
        <f>ROUNDUP(X73/gen_l_spr80,0)</f>
        <v>65</v>
      </c>
      <c r="Z73" s="76">
        <f>ROUND((W73)*gen_l_pow80*24*365,0)</f>
        <v>2794615</v>
      </c>
      <c r="AA73" s="67"/>
      <c r="AB73" s="235" t="s">
        <v>32</v>
      </c>
      <c r="AC73" s="12">
        <f>ROUNDUP($E73/(gen_l_tps40),0)</f>
        <v>87</v>
      </c>
      <c r="AD73" s="12">
        <f>ROUNDUP($E73/(gen_l_tps60),0)</f>
        <v>58</v>
      </c>
      <c r="AE73" s="12">
        <f>ROUNDUP($E73/(gen_l_tps80),0)</f>
        <v>44</v>
      </c>
      <c r="AF73" s="9">
        <f>ROUNDUP($E72/gen_l_disk,0)</f>
        <v>0</v>
      </c>
      <c r="AG73" s="9">
        <f>ROUNDUP($E74/gen_l_bw,0)</f>
        <v>2181</v>
      </c>
      <c r="AH73" s="9">
        <f>MAX(AE73:AG73)</f>
        <v>2181</v>
      </c>
      <c r="AI73" s="9">
        <f>AH73-W73</f>
        <v>954</v>
      </c>
      <c r="AJ73" s="9">
        <f>ROUNDUP(AI73/gen_l_spr80,0)</f>
        <v>87</v>
      </c>
      <c r="AK73" s="76">
        <f>ROUND((AH73)*gen_l_pow80*24*365,0)</f>
        <v>4967446</v>
      </c>
      <c r="AL73" s="67"/>
      <c r="AM73" s="235" t="s">
        <v>32</v>
      </c>
      <c r="AN73" s="36">
        <f>M73*gen_l_cost</f>
        <v>440300</v>
      </c>
      <c r="AO73" s="36">
        <f>N73*rack_cost</f>
        <v>240000</v>
      </c>
      <c r="AP73" s="36">
        <f>ROUND(O73*kwh_cost,0)</f>
        <v>60642</v>
      </c>
      <c r="AQ73" s="36">
        <v>0</v>
      </c>
      <c r="AR73" s="72">
        <f>SUM(AN73,AO73,AP73)</f>
        <v>740942</v>
      </c>
      <c r="AT73" s="235" t="s">
        <v>32</v>
      </c>
      <c r="AU73" s="36">
        <f>X73*gen_l_cost*1.02</f>
        <v>614703</v>
      </c>
      <c r="AV73" s="36">
        <f>Y73*rack_cost</f>
        <v>325000</v>
      </c>
      <c r="AW73" s="36">
        <f>ROUND(Z73*kwh_cost,0)</f>
        <v>143643</v>
      </c>
      <c r="AX73" s="36">
        <f>AN73*hw_supt</f>
        <v>88060</v>
      </c>
      <c r="AY73" s="72">
        <f>SUM(AU73,AV73,AW73,AX73)</f>
        <v>1171406</v>
      </c>
      <c r="BA73" s="235" t="s">
        <v>32</v>
      </c>
      <c r="BB73" s="36">
        <f>AI73*gen_l_cost*1.0404</f>
        <v>843660.36</v>
      </c>
      <c r="BC73" s="36">
        <f>AJ73*rack_cost</f>
        <v>435000</v>
      </c>
      <c r="BD73" s="36">
        <f>ROUND(AK73*kwh_cost,0)</f>
        <v>255327</v>
      </c>
      <c r="BE73" s="36">
        <f>(AN73+AU73)*hw_supt</f>
        <v>211000.6</v>
      </c>
      <c r="BF73" s="37">
        <f>SUM(BB73,BC73,BD73,BE73)</f>
        <v>1744987.96</v>
      </c>
      <c r="BI73" s="188">
        <f>SUM(AH73)</f>
        <v>2181</v>
      </c>
      <c r="BJ73" s="188">
        <f>SUM(AJ73,Y73,N73)</f>
        <v>200</v>
      </c>
      <c r="BK73" s="188">
        <f>SUM(AK73,Z73,O73)</f>
        <v>8941858</v>
      </c>
      <c r="BL73" s="245">
        <f>SUM(AR73,AY73,BF73)</f>
        <v>3657335.96</v>
      </c>
      <c r="BO73" s="235" t="s">
        <v>236</v>
      </c>
      <c r="BP73" s="9">
        <f>N74</f>
        <v>37</v>
      </c>
      <c r="BQ73" s="9">
        <f>Y74</f>
        <v>51</v>
      </c>
      <c r="BR73" s="9">
        <f>AJ74</f>
        <v>69</v>
      </c>
      <c r="BS73" s="188">
        <f t="shared" ref="BS73:BS74" si="9">SUM(BP73:BR73)</f>
        <v>157</v>
      </c>
    </row>
    <row r="74" spans="1:76" ht="16" thickBot="1" x14ac:dyDescent="0.4">
      <c r="A74" s="39"/>
      <c r="B74" s="113" t="s">
        <v>49</v>
      </c>
      <c r="C74" s="142">
        <f>Bandwidth!$O$39</f>
        <v>388.21250271999992</v>
      </c>
      <c r="D74" s="142">
        <f>Bandwidth!$O$41</f>
        <v>919.94863786666656</v>
      </c>
      <c r="E74" s="143">
        <f>Bandwidth!$O$43</f>
        <v>1635.5289390933331</v>
      </c>
      <c r="F74" s="15"/>
      <c r="G74" s="93" t="s">
        <v>41</v>
      </c>
      <c r="H74" s="164">
        <f>ROUNDUP($C73/(gen_xl_tps40),0)</f>
        <v>9</v>
      </c>
      <c r="I74" s="74">
        <f>ROUNDUP($C73/(gen_xl_tps60),0)</f>
        <v>6</v>
      </c>
      <c r="J74" s="74">
        <f>ROUNDUP($C73/(gen_xl_tps80),0)</f>
        <v>5</v>
      </c>
      <c r="K74" s="69">
        <f>ROUNDUP($C72/gen_xl_disk,0)</f>
        <v>0</v>
      </c>
      <c r="L74" s="69">
        <f>ROUNDUP($C74/gen_xl_bw,0)</f>
        <v>259</v>
      </c>
      <c r="M74" s="69">
        <f>MAX(J74:L74)</f>
        <v>259</v>
      </c>
      <c r="N74" s="69">
        <f>ROUNDUP(M74/gen_xl_spr80,0)</f>
        <v>37</v>
      </c>
      <c r="O74" s="77">
        <f>ROUND(M74*gen_l_pow80*24*365,0)</f>
        <v>589898</v>
      </c>
      <c r="P74" s="67"/>
      <c r="Q74" s="93" t="s">
        <v>41</v>
      </c>
      <c r="R74" s="74">
        <f>ROUNDUP($D73/(gen_xl_tps40),0) - H74</f>
        <v>12</v>
      </c>
      <c r="S74" s="74">
        <f>ROUNDUP($D73/(gen_xl_tps60),0)</f>
        <v>14</v>
      </c>
      <c r="T74" s="74">
        <f>ROUNDUP($D73/(gen_xl_tps80),0)</f>
        <v>11</v>
      </c>
      <c r="U74" s="69">
        <f>ROUNDUP($D72/gen_xl_disk,0)</f>
        <v>0</v>
      </c>
      <c r="V74" s="69">
        <f>ROUNDUP($D74/gen_xl_bw,0)</f>
        <v>614</v>
      </c>
      <c r="W74" s="69">
        <f>MAX(T74:V74)</f>
        <v>614</v>
      </c>
      <c r="X74" s="69">
        <f>W74-M74</f>
        <v>355</v>
      </c>
      <c r="Y74" s="69">
        <f>ROUNDUP(X74/gen_xl_spr80,0)</f>
        <v>51</v>
      </c>
      <c r="Z74" s="77">
        <f>ROUND((W74)*gen_l_pow80*24*365,0)</f>
        <v>1398446</v>
      </c>
      <c r="AA74" s="67"/>
      <c r="AB74" s="93" t="s">
        <v>41</v>
      </c>
      <c r="AC74" s="74">
        <f>ROUNDUP($E73/(gen_xl_tps40),0)</f>
        <v>36</v>
      </c>
      <c r="AD74" s="74">
        <f>ROUNDUP($E73/(gen_xl_tps60),0)</f>
        <v>24</v>
      </c>
      <c r="AE74" s="74">
        <f>ROUNDUP($E73/(gen_xl_tps80),0)</f>
        <v>18</v>
      </c>
      <c r="AF74" s="69">
        <f>ROUNDUP($E72/gen_xl_disk,0)</f>
        <v>0</v>
      </c>
      <c r="AG74" s="69">
        <f>ROUNDUP($E74/gen_xl_bw,0)</f>
        <v>1091</v>
      </c>
      <c r="AH74" s="69">
        <f>MAX(AE74:AG74)</f>
        <v>1091</v>
      </c>
      <c r="AI74" s="69">
        <f>AH74-W74</f>
        <v>477</v>
      </c>
      <c r="AJ74" s="69">
        <f>ROUNDUP(AI74/gen_xl_spr80,0)</f>
        <v>69</v>
      </c>
      <c r="AK74" s="77">
        <f>ROUND((AH74)*gen_l_pow80*24*365,0)</f>
        <v>2484862</v>
      </c>
      <c r="AL74" s="67"/>
      <c r="AM74" s="93" t="s">
        <v>41</v>
      </c>
      <c r="AN74" s="75">
        <f>M74*gen_xl_cost</f>
        <v>608650</v>
      </c>
      <c r="AO74" s="75">
        <f>N74*rack_cost</f>
        <v>185000</v>
      </c>
      <c r="AP74" s="75">
        <f>ROUND(O74*kwh_cost,0)</f>
        <v>30321</v>
      </c>
      <c r="AQ74" s="75">
        <v>0</v>
      </c>
      <c r="AR74" s="320">
        <f>SUM(AN74,AO74,AP74)</f>
        <v>823971</v>
      </c>
      <c r="AT74" s="93" t="s">
        <v>41</v>
      </c>
      <c r="AU74" s="40">
        <f>X74*gen_xl_cost*1.02</f>
        <v>850935</v>
      </c>
      <c r="AV74" s="40">
        <f>Y74*rack_cost</f>
        <v>255000</v>
      </c>
      <c r="AW74" s="40">
        <f>ROUND(Z74*kwh_cost,0)</f>
        <v>71880</v>
      </c>
      <c r="AX74" s="40">
        <f>AN74*hw_supt</f>
        <v>121730</v>
      </c>
      <c r="AY74" s="320">
        <f>SUM(AU74,AV74,AW74,AX74)</f>
        <v>1299545</v>
      </c>
      <c r="BA74" s="93" t="s">
        <v>41</v>
      </c>
      <c r="BB74" s="40">
        <f>AI74*gen_xl_cost*1.0404</f>
        <v>1166236.3799999999</v>
      </c>
      <c r="BC74" s="40">
        <f>AJ74*rack_cost</f>
        <v>345000</v>
      </c>
      <c r="BD74" s="40">
        <f>ROUND(AK74*kwh_cost,0)</f>
        <v>127722</v>
      </c>
      <c r="BE74" s="40">
        <f>(AN74+AU74)*hw_supt</f>
        <v>291917</v>
      </c>
      <c r="BF74" s="320">
        <f>SUM(BB74,BC74,BD74,BE74)</f>
        <v>1930875.38</v>
      </c>
      <c r="BI74" s="189">
        <f>SUM(AH74)</f>
        <v>1091</v>
      </c>
      <c r="BJ74" s="189">
        <f>SUM(AJ74,Y74,N74)</f>
        <v>157</v>
      </c>
      <c r="BK74" s="189">
        <f>SUM(AK74,Z74,O74)</f>
        <v>4473206</v>
      </c>
      <c r="BL74" s="246">
        <f>SUM(AR74,AY74,BF74)</f>
        <v>4054391.38</v>
      </c>
      <c r="BM74" t="s">
        <v>218</v>
      </c>
      <c r="BO74" s="93" t="s">
        <v>234</v>
      </c>
      <c r="BP74" s="69">
        <f>O74</f>
        <v>589898</v>
      </c>
      <c r="BQ74" s="69">
        <f>Z74</f>
        <v>1398446</v>
      </c>
      <c r="BR74" s="69">
        <f>AK74</f>
        <v>2484862</v>
      </c>
      <c r="BS74" s="189">
        <f t="shared" si="9"/>
        <v>4473206</v>
      </c>
    </row>
    <row r="75" spans="1:76" x14ac:dyDescent="0.35">
      <c r="F75" s="15"/>
      <c r="AA75" s="15"/>
    </row>
    <row r="76" spans="1:76" ht="16" thickBot="1" x14ac:dyDescent="0.4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</row>
    <row r="77" spans="1:76" ht="16" thickTop="1" x14ac:dyDescent="0.35">
      <c r="F77" s="15"/>
      <c r="AA77" s="15"/>
    </row>
    <row r="78" spans="1:76" ht="21" customHeight="1" x14ac:dyDescent="0.5">
      <c r="A78" s="82" t="s">
        <v>84</v>
      </c>
      <c r="F78" s="15"/>
      <c r="AA78" s="15"/>
    </row>
    <row r="79" spans="1:76" ht="16" thickBot="1" x14ac:dyDescent="0.4">
      <c r="A79" t="s">
        <v>106</v>
      </c>
      <c r="F79" s="15"/>
      <c r="AA79" s="15"/>
      <c r="AM79" t="s">
        <v>233</v>
      </c>
      <c r="AT79" t="s">
        <v>233</v>
      </c>
      <c r="BH79" s="258"/>
      <c r="BI79" s="258"/>
      <c r="BJ79" s="258"/>
      <c r="BK79" s="258"/>
      <c r="BL79" s="258"/>
      <c r="BM79" s="258"/>
    </row>
    <row r="80" spans="1:76" ht="34" customHeight="1" thickBot="1" x14ac:dyDescent="0.4">
      <c r="F80" s="15"/>
      <c r="G80" s="266" t="s">
        <v>50</v>
      </c>
      <c r="H80" s="263"/>
      <c r="I80" s="263"/>
      <c r="J80" s="263"/>
      <c r="K80" s="263"/>
      <c r="L80" s="263"/>
      <c r="M80" s="263"/>
      <c r="N80" s="263"/>
      <c r="O80" s="265"/>
      <c r="P80" s="105"/>
      <c r="Q80" s="266" t="s">
        <v>51</v>
      </c>
      <c r="R80" s="263"/>
      <c r="S80" s="263"/>
      <c r="T80" s="263"/>
      <c r="U80" s="263"/>
      <c r="V80" s="263"/>
      <c r="W80" s="263"/>
      <c r="X80" s="263"/>
      <c r="Y80" s="263"/>
      <c r="Z80" s="265"/>
      <c r="AA80" s="105"/>
      <c r="AB80" s="266" t="s">
        <v>52</v>
      </c>
      <c r="AC80" s="263"/>
      <c r="AD80" s="263"/>
      <c r="AE80" s="263"/>
      <c r="AF80" s="263"/>
      <c r="AG80" s="263"/>
      <c r="AH80" s="263"/>
      <c r="AI80" s="263"/>
      <c r="AJ80" s="263"/>
      <c r="AK80" s="265"/>
      <c r="AL80" s="105"/>
      <c r="AM80" s="254" t="s">
        <v>50</v>
      </c>
      <c r="AN80" s="99"/>
      <c r="AO80" s="99"/>
      <c r="AP80" s="99"/>
      <c r="AQ80" s="99"/>
      <c r="AR80" s="100"/>
      <c r="AT80" s="107" t="s">
        <v>50</v>
      </c>
      <c r="AU80" s="96"/>
      <c r="AV80" s="96"/>
      <c r="AW80" s="96"/>
      <c r="AX80" s="96"/>
      <c r="AY80" s="97"/>
      <c r="BA80" s="254" t="s">
        <v>52</v>
      </c>
      <c r="BB80" s="96"/>
      <c r="BC80" s="96"/>
      <c r="BD80" s="96"/>
      <c r="BE80" s="96"/>
      <c r="BF80" s="97"/>
      <c r="BH80" s="258"/>
      <c r="BI80" s="273"/>
      <c r="BJ80" s="273"/>
      <c r="BK80" s="274"/>
      <c r="BL80" s="275"/>
      <c r="BM80" s="258"/>
      <c r="BO80" s="298" t="s">
        <v>76</v>
      </c>
      <c r="BP80" s="299"/>
      <c r="BQ80" s="299"/>
      <c r="BR80" s="299"/>
      <c r="BS80" s="300"/>
      <c r="BU80" s="271"/>
      <c r="BV80" s="271"/>
      <c r="BW80" s="271"/>
      <c r="BX80" s="271"/>
    </row>
    <row r="81" spans="1:93" ht="51" customHeight="1" thickBot="1" x14ac:dyDescent="0.4">
      <c r="A81" s="46" t="s">
        <v>81</v>
      </c>
      <c r="B81" s="41"/>
      <c r="C81" s="42"/>
      <c r="D81" s="42"/>
      <c r="E81" s="43"/>
      <c r="F81" s="15"/>
      <c r="G81" s="418" t="s">
        <v>53</v>
      </c>
      <c r="H81" s="416" t="s">
        <v>55</v>
      </c>
      <c r="I81" s="417"/>
      <c r="J81" s="417"/>
      <c r="K81" s="417"/>
      <c r="L81" s="417"/>
      <c r="M81" s="423" t="s">
        <v>80</v>
      </c>
      <c r="N81" s="417" t="s">
        <v>57</v>
      </c>
      <c r="O81" s="420" t="s">
        <v>241</v>
      </c>
      <c r="P81" s="293"/>
      <c r="Q81" s="418" t="s">
        <v>53</v>
      </c>
      <c r="R81" s="417" t="s">
        <v>79</v>
      </c>
      <c r="S81" s="417"/>
      <c r="T81" s="417"/>
      <c r="U81" s="417"/>
      <c r="V81" s="417"/>
      <c r="W81" s="423" t="s">
        <v>104</v>
      </c>
      <c r="X81" s="423" t="s">
        <v>72</v>
      </c>
      <c r="Y81" s="423" t="s">
        <v>74</v>
      </c>
      <c r="Z81" s="420" t="s">
        <v>241</v>
      </c>
      <c r="AA81" s="293"/>
      <c r="AB81" s="418" t="s">
        <v>53</v>
      </c>
      <c r="AC81" s="416" t="s">
        <v>55</v>
      </c>
      <c r="AD81" s="417"/>
      <c r="AE81" s="417"/>
      <c r="AF81" s="417"/>
      <c r="AG81" s="417"/>
      <c r="AH81" s="423" t="s">
        <v>78</v>
      </c>
      <c r="AI81" s="423" t="s">
        <v>72</v>
      </c>
      <c r="AJ81" s="423" t="s">
        <v>74</v>
      </c>
      <c r="AK81" s="420" t="s">
        <v>241</v>
      </c>
      <c r="AL81" s="293"/>
      <c r="AM81" s="418" t="s">
        <v>53</v>
      </c>
      <c r="AN81" s="416" t="s">
        <v>56</v>
      </c>
      <c r="AO81" s="417" t="s">
        <v>58</v>
      </c>
      <c r="AP81" s="423" t="s">
        <v>242</v>
      </c>
      <c r="AQ81" s="423" t="s">
        <v>60</v>
      </c>
      <c r="AR81" s="420" t="s">
        <v>97</v>
      </c>
      <c r="AT81" s="418" t="s">
        <v>53</v>
      </c>
      <c r="AU81" s="423" t="s">
        <v>73</v>
      </c>
      <c r="AV81" s="423" t="s">
        <v>75</v>
      </c>
      <c r="AW81" s="423" t="s">
        <v>242</v>
      </c>
      <c r="AX81" s="423" t="s">
        <v>60</v>
      </c>
      <c r="AY81" s="420" t="s">
        <v>97</v>
      </c>
      <c r="BA81" s="418" t="s">
        <v>53</v>
      </c>
      <c r="BB81" s="423" t="s">
        <v>73</v>
      </c>
      <c r="BC81" s="423" t="s">
        <v>75</v>
      </c>
      <c r="BD81" s="423" t="s">
        <v>242</v>
      </c>
      <c r="BE81" s="423" t="s">
        <v>60</v>
      </c>
      <c r="BF81" s="420" t="s">
        <v>97</v>
      </c>
      <c r="BH81" s="258"/>
      <c r="BI81" s="430"/>
      <c r="BJ81" s="430"/>
      <c r="BK81" s="430"/>
      <c r="BL81" s="430"/>
      <c r="BM81" s="258"/>
      <c r="BO81" s="92"/>
      <c r="BP81" s="296" t="s">
        <v>50</v>
      </c>
      <c r="BQ81" s="296" t="s">
        <v>51</v>
      </c>
      <c r="BR81" s="296" t="s">
        <v>52</v>
      </c>
      <c r="BS81" s="292" t="s">
        <v>77</v>
      </c>
      <c r="BU81" s="294"/>
      <c r="BV81" s="294"/>
      <c r="BW81" s="294"/>
      <c r="BX81" s="293"/>
    </row>
    <row r="82" spans="1:93" ht="16" thickBot="1" x14ac:dyDescent="0.4">
      <c r="A82" s="35"/>
      <c r="B82" s="35" t="s">
        <v>164</v>
      </c>
      <c r="C82" s="15" t="s">
        <v>50</v>
      </c>
      <c r="D82" s="15" t="s">
        <v>51</v>
      </c>
      <c r="E82" s="38" t="s">
        <v>52</v>
      </c>
      <c r="F82" s="15"/>
      <c r="G82" s="415"/>
      <c r="H82" s="426" t="s">
        <v>163</v>
      </c>
      <c r="I82" s="427"/>
      <c r="J82" s="427"/>
      <c r="K82" s="427" t="s">
        <v>47</v>
      </c>
      <c r="L82" s="427" t="s">
        <v>31</v>
      </c>
      <c r="M82" s="424"/>
      <c r="N82" s="427"/>
      <c r="O82" s="421"/>
      <c r="P82" s="293"/>
      <c r="Q82" s="415"/>
      <c r="R82" s="427" t="s">
        <v>163</v>
      </c>
      <c r="S82" s="427"/>
      <c r="T82" s="427"/>
      <c r="U82" s="427" t="s">
        <v>47</v>
      </c>
      <c r="V82" s="427" t="s">
        <v>31</v>
      </c>
      <c r="W82" s="424"/>
      <c r="X82" s="424"/>
      <c r="Y82" s="424"/>
      <c r="Z82" s="421"/>
      <c r="AA82" s="293"/>
      <c r="AB82" s="415"/>
      <c r="AC82" s="426" t="s">
        <v>163</v>
      </c>
      <c r="AD82" s="427"/>
      <c r="AE82" s="427"/>
      <c r="AF82" s="427" t="s">
        <v>47</v>
      </c>
      <c r="AG82" s="427" t="s">
        <v>31</v>
      </c>
      <c r="AH82" s="424"/>
      <c r="AI82" s="424"/>
      <c r="AJ82" s="424"/>
      <c r="AK82" s="421"/>
      <c r="AL82" s="293"/>
      <c r="AM82" s="415"/>
      <c r="AN82" s="426"/>
      <c r="AO82" s="427"/>
      <c r="AP82" s="424"/>
      <c r="AQ82" s="424"/>
      <c r="AR82" s="421"/>
      <c r="AT82" s="415"/>
      <c r="AU82" s="424"/>
      <c r="AV82" s="424"/>
      <c r="AW82" s="424"/>
      <c r="AX82" s="424"/>
      <c r="AY82" s="421"/>
      <c r="BA82" s="415"/>
      <c r="BB82" s="424"/>
      <c r="BC82" s="424"/>
      <c r="BD82" s="424"/>
      <c r="BE82" s="424"/>
      <c r="BF82" s="421"/>
      <c r="BH82" s="258"/>
      <c r="BI82" s="430"/>
      <c r="BJ82" s="430"/>
      <c r="BK82" s="430"/>
      <c r="BL82" s="430"/>
      <c r="BM82" s="258"/>
      <c r="BO82" s="254" t="s">
        <v>91</v>
      </c>
      <c r="BP82" s="260">
        <f>SUM(BP51,BP61,BP71)</f>
        <v>4855065</v>
      </c>
      <c r="BQ82" s="260">
        <f t="shared" ref="BQ82:BR82" si="10">SUM(BQ51,BQ61,BQ71)</f>
        <v>7412264</v>
      </c>
      <c r="BR82" s="260">
        <f t="shared" si="10"/>
        <v>14766758.379999999</v>
      </c>
      <c r="BS82" s="269">
        <f>SUM(BP82:BR82)</f>
        <v>27034087.379999999</v>
      </c>
      <c r="BU82" s="67"/>
      <c r="BV82" s="67"/>
      <c r="BW82" s="67"/>
      <c r="BX82" s="272"/>
    </row>
    <row r="83" spans="1:93" ht="16" thickBot="1" x14ac:dyDescent="0.4">
      <c r="A83" s="35"/>
      <c r="B83" s="112" t="s">
        <v>48</v>
      </c>
      <c r="C83" s="138">
        <f t="shared" ref="C83:E85" si="11">SUM(C52,C62,C72)</f>
        <v>810240</v>
      </c>
      <c r="D83" s="138">
        <f t="shared" si="11"/>
        <v>810240</v>
      </c>
      <c r="E83" s="141">
        <f t="shared" si="11"/>
        <v>810240</v>
      </c>
      <c r="F83" s="15"/>
      <c r="G83" s="419"/>
      <c r="H83" s="267">
        <v>0.4</v>
      </c>
      <c r="I83" s="264">
        <v>0.6</v>
      </c>
      <c r="J83" s="264">
        <v>0.8</v>
      </c>
      <c r="K83" s="428"/>
      <c r="L83" s="428"/>
      <c r="M83" s="425"/>
      <c r="N83" s="428"/>
      <c r="O83" s="422"/>
      <c r="P83" s="293"/>
      <c r="Q83" s="419"/>
      <c r="R83" s="264">
        <v>0.4</v>
      </c>
      <c r="S83" s="264">
        <v>0.6</v>
      </c>
      <c r="T83" s="264">
        <v>0.8</v>
      </c>
      <c r="U83" s="428"/>
      <c r="V83" s="428"/>
      <c r="W83" s="425"/>
      <c r="X83" s="425"/>
      <c r="Y83" s="425"/>
      <c r="Z83" s="422"/>
      <c r="AA83" s="293"/>
      <c r="AB83" s="419"/>
      <c r="AC83" s="267">
        <v>0.4</v>
      </c>
      <c r="AD83" s="264">
        <v>0.6</v>
      </c>
      <c r="AE83" s="264">
        <v>0.8</v>
      </c>
      <c r="AF83" s="428"/>
      <c r="AG83" s="428"/>
      <c r="AH83" s="425"/>
      <c r="AI83" s="425"/>
      <c r="AJ83" s="425"/>
      <c r="AK83" s="422"/>
      <c r="AL83" s="293"/>
      <c r="AM83" s="419"/>
      <c r="AN83" s="429"/>
      <c r="AO83" s="428"/>
      <c r="AP83" s="425"/>
      <c r="AQ83" s="425"/>
      <c r="AR83" s="422"/>
      <c r="AT83" s="419"/>
      <c r="AU83" s="425"/>
      <c r="AV83" s="425"/>
      <c r="AW83" s="425"/>
      <c r="AX83" s="425"/>
      <c r="AY83" s="422"/>
      <c r="BA83" s="419"/>
      <c r="BB83" s="425"/>
      <c r="BC83" s="425"/>
      <c r="BD83" s="425"/>
      <c r="BE83" s="425"/>
      <c r="BF83" s="422"/>
      <c r="BH83" s="258"/>
      <c r="BI83" s="430"/>
      <c r="BJ83" s="430"/>
      <c r="BK83" s="430"/>
      <c r="BL83" s="430"/>
      <c r="BM83" s="258"/>
      <c r="BO83" s="92" t="s">
        <v>235</v>
      </c>
      <c r="BP83" s="270">
        <f t="shared" ref="BP83:BR83" si="12">SUM(BP52,BP62,BP72)</f>
        <v>281</v>
      </c>
      <c r="BQ83" s="270">
        <f t="shared" si="12"/>
        <v>384</v>
      </c>
      <c r="BR83" s="270">
        <f t="shared" si="12"/>
        <v>537</v>
      </c>
      <c r="BS83" s="215">
        <f>SUM(BP83:BR83)</f>
        <v>1202</v>
      </c>
    </row>
    <row r="84" spans="1:93" x14ac:dyDescent="0.35">
      <c r="A84" s="35"/>
      <c r="B84" s="112" t="s">
        <v>146</v>
      </c>
      <c r="C84" s="138">
        <f t="shared" si="11"/>
        <v>25153.143749999996</v>
      </c>
      <c r="D84" s="138">
        <f t="shared" si="11"/>
        <v>59605.499999999993</v>
      </c>
      <c r="E84" s="141">
        <f t="shared" si="11"/>
        <v>105969.52499999999</v>
      </c>
      <c r="F84" s="15"/>
      <c r="G84" s="235" t="s">
        <v>32</v>
      </c>
      <c r="H84" s="101"/>
      <c r="I84" s="101"/>
      <c r="J84" s="101"/>
      <c r="K84" s="102"/>
      <c r="L84" s="102"/>
      <c r="M84" s="9">
        <f t="shared" ref="M84:O86" si="13">SUM(M53,M63,M73)</f>
        <v>1790</v>
      </c>
      <c r="N84" s="9">
        <f t="shared" si="13"/>
        <v>165</v>
      </c>
      <c r="O84" s="76">
        <f t="shared" si="13"/>
        <v>4076904</v>
      </c>
      <c r="P84" s="67"/>
      <c r="Q84" s="235" t="s">
        <v>32</v>
      </c>
      <c r="R84" s="101"/>
      <c r="S84" s="101"/>
      <c r="T84" s="101"/>
      <c r="U84" s="102"/>
      <c r="V84" s="102"/>
      <c r="W84" s="9">
        <f t="shared" ref="W84:Z86" si="14">SUM(W53,W63,W73)</f>
        <v>2624</v>
      </c>
      <c r="X84" s="9">
        <f t="shared" si="14"/>
        <v>834</v>
      </c>
      <c r="Y84" s="9">
        <f t="shared" si="14"/>
        <v>77</v>
      </c>
      <c r="Z84" s="76">
        <f t="shared" si="14"/>
        <v>5976422</v>
      </c>
      <c r="AA84" s="67"/>
      <c r="AB84" s="235" t="s">
        <v>32</v>
      </c>
      <c r="AC84" s="101"/>
      <c r="AD84" s="101"/>
      <c r="AE84" s="101"/>
      <c r="AF84" s="102"/>
      <c r="AG84" s="102"/>
      <c r="AH84" s="9">
        <f t="shared" ref="AH84:AK86" si="15">SUM(AH53,AH63,AH73)</f>
        <v>4313</v>
      </c>
      <c r="AI84" s="9">
        <f t="shared" si="15"/>
        <v>1689</v>
      </c>
      <c r="AJ84" s="9">
        <f t="shared" si="15"/>
        <v>155</v>
      </c>
      <c r="AK84" s="76">
        <f t="shared" si="15"/>
        <v>9823289</v>
      </c>
      <c r="AL84" s="67"/>
      <c r="AM84" s="235" t="s">
        <v>32</v>
      </c>
      <c r="AN84" s="36">
        <f t="shared" ref="AN84:AR86" si="16">SUM(AN53,AN63,AN73)</f>
        <v>1521500</v>
      </c>
      <c r="AO84" s="36">
        <f t="shared" si="16"/>
        <v>825000</v>
      </c>
      <c r="AP84" s="36">
        <f t="shared" si="16"/>
        <v>209553</v>
      </c>
      <c r="AQ84" s="36">
        <f t="shared" si="16"/>
        <v>0</v>
      </c>
      <c r="AR84" s="72">
        <f t="shared" si="16"/>
        <v>2556053</v>
      </c>
      <c r="AT84" s="235" t="s">
        <v>32</v>
      </c>
      <c r="AU84" s="36">
        <f t="shared" ref="AU84:AY86" si="17">SUM(AU53,AU63,AU73)</f>
        <v>720953</v>
      </c>
      <c r="AV84" s="36">
        <f t="shared" si="17"/>
        <v>385000</v>
      </c>
      <c r="AW84" s="36">
        <f t="shared" si="17"/>
        <v>307188</v>
      </c>
      <c r="AX84" s="36">
        <f t="shared" si="17"/>
        <v>304300</v>
      </c>
      <c r="AY84" s="72">
        <f t="shared" si="17"/>
        <v>1717441</v>
      </c>
      <c r="BA84" s="235" t="s">
        <v>32</v>
      </c>
      <c r="BB84" s="36">
        <f t="shared" ref="BB84:BF86" si="18">SUM(BB53,BB63,BB73)</f>
        <v>1493650.2599999998</v>
      </c>
      <c r="BC84" s="36">
        <f t="shared" si="18"/>
        <v>775000</v>
      </c>
      <c r="BD84" s="36">
        <f t="shared" si="18"/>
        <v>504917</v>
      </c>
      <c r="BE84" s="36">
        <f t="shared" si="18"/>
        <v>448490.6</v>
      </c>
      <c r="BF84" s="72">
        <f t="shared" si="18"/>
        <v>3222057.8600000003</v>
      </c>
      <c r="BH84" s="258"/>
      <c r="BI84" s="131"/>
      <c r="BJ84" s="131"/>
      <c r="BK84" s="131"/>
      <c r="BL84" s="276"/>
      <c r="BM84" s="258"/>
      <c r="BO84" s="235" t="s">
        <v>236</v>
      </c>
      <c r="BP84" s="9">
        <f t="shared" ref="BP84:BR84" si="19">SUM(BP53,BP63,BP73)</f>
        <v>49</v>
      </c>
      <c r="BQ84" s="9">
        <f t="shared" si="19"/>
        <v>66</v>
      </c>
      <c r="BR84" s="9">
        <f t="shared" si="19"/>
        <v>100</v>
      </c>
      <c r="BS84" s="188">
        <f t="shared" ref="BS84:BS85" si="20">SUM(BP84:BR84)</f>
        <v>215</v>
      </c>
    </row>
    <row r="85" spans="1:93" ht="16" thickBot="1" x14ac:dyDescent="0.4">
      <c r="A85" s="39"/>
      <c r="B85" s="113" t="s">
        <v>49</v>
      </c>
      <c r="C85" s="142">
        <f t="shared" si="11"/>
        <v>767.48166543999992</v>
      </c>
      <c r="D85" s="142">
        <f t="shared" si="11"/>
        <v>1818.7042090666664</v>
      </c>
      <c r="E85" s="143">
        <f t="shared" si="11"/>
        <v>3233.379824853333</v>
      </c>
      <c r="F85" s="15"/>
      <c r="G85" s="93" t="s">
        <v>41</v>
      </c>
      <c r="H85" s="103"/>
      <c r="I85" s="103"/>
      <c r="J85" s="103"/>
      <c r="K85" s="104"/>
      <c r="L85" s="104"/>
      <c r="M85" s="69">
        <f t="shared" si="13"/>
        <v>800</v>
      </c>
      <c r="N85" s="69">
        <f t="shared" si="13"/>
        <v>115</v>
      </c>
      <c r="O85" s="77">
        <f t="shared" si="13"/>
        <v>1822079</v>
      </c>
      <c r="P85" s="67"/>
      <c r="Q85" s="93" t="s">
        <v>41</v>
      </c>
      <c r="R85" s="103"/>
      <c r="S85" s="103"/>
      <c r="T85" s="103"/>
      <c r="U85" s="104"/>
      <c r="V85" s="104"/>
      <c r="W85" s="69">
        <f t="shared" si="14"/>
        <v>1279</v>
      </c>
      <c r="X85" s="69">
        <f t="shared" si="14"/>
        <v>479</v>
      </c>
      <c r="Y85" s="69">
        <f t="shared" si="14"/>
        <v>69</v>
      </c>
      <c r="Z85" s="77">
        <f t="shared" si="14"/>
        <v>2913050</v>
      </c>
      <c r="AA85" s="67"/>
      <c r="AB85" s="93" t="s">
        <v>41</v>
      </c>
      <c r="AC85" s="103"/>
      <c r="AD85" s="103"/>
      <c r="AE85" s="103"/>
      <c r="AF85" s="104"/>
      <c r="AG85" s="104"/>
      <c r="AH85" s="69">
        <f t="shared" si="15"/>
        <v>2158</v>
      </c>
      <c r="AI85" s="69">
        <f t="shared" si="15"/>
        <v>879</v>
      </c>
      <c r="AJ85" s="69">
        <f t="shared" si="15"/>
        <v>127</v>
      </c>
      <c r="AK85" s="77">
        <f t="shared" si="15"/>
        <v>4915061</v>
      </c>
      <c r="AL85" s="67"/>
      <c r="AM85" s="93" t="s">
        <v>41</v>
      </c>
      <c r="AN85" s="75">
        <f t="shared" si="16"/>
        <v>1880000</v>
      </c>
      <c r="AO85" s="75">
        <f t="shared" si="16"/>
        <v>575000</v>
      </c>
      <c r="AP85" s="75">
        <f t="shared" si="16"/>
        <v>93655</v>
      </c>
      <c r="AQ85" s="75">
        <f t="shared" si="16"/>
        <v>0</v>
      </c>
      <c r="AR85" s="320">
        <f t="shared" si="16"/>
        <v>2548655</v>
      </c>
      <c r="AT85" s="93" t="s">
        <v>41</v>
      </c>
      <c r="AU85" s="40">
        <f t="shared" si="17"/>
        <v>1142335</v>
      </c>
      <c r="AV85" s="40">
        <f t="shared" si="17"/>
        <v>345000</v>
      </c>
      <c r="AW85" s="40">
        <f t="shared" si="17"/>
        <v>149730</v>
      </c>
      <c r="AX85" s="40">
        <f t="shared" si="17"/>
        <v>376000</v>
      </c>
      <c r="AY85" s="320">
        <f t="shared" si="17"/>
        <v>2013065</v>
      </c>
      <c r="BA85" s="93" t="s">
        <v>41</v>
      </c>
      <c r="BB85" s="40">
        <f t="shared" si="18"/>
        <v>2149102.2599999998</v>
      </c>
      <c r="BC85" s="40">
        <f t="shared" si="18"/>
        <v>635000</v>
      </c>
      <c r="BD85" s="40">
        <f t="shared" si="18"/>
        <v>252635</v>
      </c>
      <c r="BE85" s="40">
        <f t="shared" si="18"/>
        <v>604467</v>
      </c>
      <c r="BF85" s="320">
        <f t="shared" si="18"/>
        <v>3641204.26</v>
      </c>
      <c r="BH85" s="258"/>
      <c r="BI85" s="131"/>
      <c r="BJ85" s="131"/>
      <c r="BK85" s="131"/>
      <c r="BL85" s="276"/>
      <c r="BM85" s="258"/>
      <c r="BO85" s="93" t="s">
        <v>234</v>
      </c>
      <c r="BP85" s="69">
        <f t="shared" ref="BP85:BR85" si="21">SUM(BP54,BP64,BP74)</f>
        <v>805744</v>
      </c>
      <c r="BQ85" s="69">
        <f t="shared" si="21"/>
        <v>1898817</v>
      </c>
      <c r="BR85" s="69">
        <f t="shared" si="21"/>
        <v>3358059</v>
      </c>
      <c r="BS85" s="189">
        <f t="shared" si="20"/>
        <v>6062620</v>
      </c>
    </row>
    <row r="86" spans="1:93" ht="16" thickBot="1" x14ac:dyDescent="0.4">
      <c r="G86" s="93" t="s">
        <v>317</v>
      </c>
      <c r="H86" s="103"/>
      <c r="I86" s="103"/>
      <c r="J86" s="103"/>
      <c r="K86" s="104"/>
      <c r="L86" s="104"/>
      <c r="M86" s="69">
        <f t="shared" si="13"/>
        <v>22</v>
      </c>
      <c r="N86" s="69">
        <f t="shared" si="13"/>
        <v>12</v>
      </c>
      <c r="O86" s="77">
        <f t="shared" si="13"/>
        <v>215846</v>
      </c>
      <c r="Q86" s="93" t="s">
        <v>317</v>
      </c>
      <c r="R86" s="103"/>
      <c r="S86" s="103"/>
      <c r="T86" s="103"/>
      <c r="U86" s="104"/>
      <c r="V86" s="104"/>
      <c r="W86" s="69">
        <f t="shared" si="14"/>
        <v>51</v>
      </c>
      <c r="X86" s="69">
        <f t="shared" si="14"/>
        <v>29</v>
      </c>
      <c r="Y86" s="69">
        <f t="shared" si="14"/>
        <v>15</v>
      </c>
      <c r="Z86" s="77">
        <f t="shared" si="14"/>
        <v>500371</v>
      </c>
      <c r="AB86" s="93" t="s">
        <v>41</v>
      </c>
      <c r="AC86" s="103"/>
      <c r="AD86" s="103"/>
      <c r="AE86" s="103"/>
      <c r="AF86" s="104"/>
      <c r="AG86" s="104"/>
      <c r="AH86" s="69">
        <f t="shared" si="15"/>
        <v>89</v>
      </c>
      <c r="AI86" s="69">
        <f t="shared" si="15"/>
        <v>60</v>
      </c>
      <c r="AJ86" s="69">
        <f t="shared" si="15"/>
        <v>31</v>
      </c>
      <c r="AK86" s="77">
        <f t="shared" si="15"/>
        <v>873197</v>
      </c>
      <c r="AM86" s="93" t="s">
        <v>317</v>
      </c>
      <c r="AN86" s="75">
        <f t="shared" si="16"/>
        <v>3960000</v>
      </c>
      <c r="AO86" s="75">
        <f t="shared" si="16"/>
        <v>60000</v>
      </c>
      <c r="AP86" s="75">
        <f t="shared" si="16"/>
        <v>11094</v>
      </c>
      <c r="AQ86" s="75">
        <f t="shared" si="16"/>
        <v>0</v>
      </c>
      <c r="AR86" s="320">
        <f t="shared" si="16"/>
        <v>4031094</v>
      </c>
      <c r="AT86" s="93" t="s">
        <v>41</v>
      </c>
      <c r="AU86" s="40">
        <f t="shared" si="17"/>
        <v>5220000</v>
      </c>
      <c r="AV86" s="40">
        <f t="shared" si="17"/>
        <v>75000</v>
      </c>
      <c r="AW86" s="40">
        <f t="shared" si="17"/>
        <v>25719</v>
      </c>
      <c r="AX86" s="40">
        <f t="shared" si="17"/>
        <v>792000</v>
      </c>
      <c r="AY86" s="320">
        <f t="shared" si="17"/>
        <v>6112719</v>
      </c>
      <c r="BA86" s="93" t="s">
        <v>317</v>
      </c>
      <c r="BB86" s="40">
        <f t="shared" si="18"/>
        <v>10800000</v>
      </c>
      <c r="BC86" s="40">
        <f t="shared" si="18"/>
        <v>155000</v>
      </c>
      <c r="BD86" s="40">
        <f t="shared" si="18"/>
        <v>44883</v>
      </c>
      <c r="BE86" s="40">
        <f t="shared" si="18"/>
        <v>1836000</v>
      </c>
      <c r="BF86" s="320">
        <f t="shared" si="18"/>
        <v>12835883</v>
      </c>
    </row>
    <row r="87" spans="1:93" x14ac:dyDescent="0.35">
      <c r="W87" s="15"/>
    </row>
    <row r="88" spans="1:93" x14ac:dyDescent="0.35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111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</row>
    <row r="89" spans="1:93" x14ac:dyDescent="0.35">
      <c r="W89" s="15"/>
    </row>
    <row r="90" spans="1:93" ht="21" x14ac:dyDescent="0.5">
      <c r="A90" s="82" t="s">
        <v>85</v>
      </c>
      <c r="W90" s="15"/>
    </row>
    <row r="91" spans="1:93" x14ac:dyDescent="0.35">
      <c r="A91" t="s">
        <v>167</v>
      </c>
      <c r="W91" s="15"/>
    </row>
    <row r="92" spans="1:93" x14ac:dyDescent="0.35">
      <c r="A92" t="s">
        <v>168</v>
      </c>
      <c r="W92" s="15"/>
    </row>
    <row r="93" spans="1:93" x14ac:dyDescent="0.35">
      <c r="A93" t="s">
        <v>169</v>
      </c>
      <c r="W93" s="15"/>
    </row>
    <row r="94" spans="1:93" x14ac:dyDescent="0.35">
      <c r="A94" t="s">
        <v>208</v>
      </c>
      <c r="W94" s="15"/>
    </row>
    <row r="95" spans="1:93" x14ac:dyDescent="0.35">
      <c r="A95" t="s">
        <v>327</v>
      </c>
      <c r="W95" s="15"/>
    </row>
    <row r="96" spans="1:93" x14ac:dyDescent="0.35">
      <c r="A96" t="s">
        <v>229</v>
      </c>
      <c r="W96" s="15"/>
    </row>
    <row r="97" spans="1:23" x14ac:dyDescent="0.35">
      <c r="W97" s="15"/>
    </row>
    <row r="98" spans="1:23" x14ac:dyDescent="0.35">
      <c r="A98" s="11" t="s">
        <v>221</v>
      </c>
      <c r="W98" s="15"/>
    </row>
    <row r="99" spans="1:23" ht="16" thickBot="1" x14ac:dyDescent="0.4">
      <c r="W99" s="15"/>
    </row>
    <row r="100" spans="1:23" ht="16" thickBot="1" x14ac:dyDescent="0.4">
      <c r="A100" s="46" t="s">
        <v>212</v>
      </c>
      <c r="B100" s="92"/>
      <c r="C100" s="296" t="s">
        <v>50</v>
      </c>
      <c r="D100" s="296" t="s">
        <v>51</v>
      </c>
      <c r="E100" s="80" t="s">
        <v>52</v>
      </c>
      <c r="G100" s="435" t="s">
        <v>94</v>
      </c>
      <c r="H100" s="247" t="s">
        <v>209</v>
      </c>
      <c r="I100" s="241"/>
      <c r="J100" s="242"/>
      <c r="V100" s="15"/>
    </row>
    <row r="101" spans="1:23" ht="34" customHeight="1" thickBot="1" x14ac:dyDescent="0.4">
      <c r="A101" s="39"/>
      <c r="B101" s="249" t="s">
        <v>49</v>
      </c>
      <c r="C101" s="233">
        <f>Bandwidth!$O$39</f>
        <v>388.21250271999992</v>
      </c>
      <c r="D101" s="233">
        <f>Bandwidth!$O$41</f>
        <v>919.94863786666656</v>
      </c>
      <c r="E101" s="234">
        <f>Bandwidth!$O$43</f>
        <v>1635.5289390933331</v>
      </c>
      <c r="G101" s="436"/>
      <c r="H101" s="236" t="s">
        <v>50</v>
      </c>
      <c r="I101" s="237" t="s">
        <v>51</v>
      </c>
      <c r="J101" s="238" t="s">
        <v>52</v>
      </c>
      <c r="V101" s="15"/>
    </row>
    <row r="102" spans="1:23" x14ac:dyDescent="0.35">
      <c r="G102" s="235" t="s">
        <v>90</v>
      </c>
      <c r="H102" s="188">
        <f>ROUNDUP(C101/gig_bw,0)*2</f>
        <v>1036</v>
      </c>
      <c r="I102" s="188">
        <f>ROUNDUP(D101/gig_bw,0)*2</f>
        <v>2454</v>
      </c>
      <c r="J102" s="188">
        <f>ROUNDUP(E101/gig_bw,0)*2</f>
        <v>4362</v>
      </c>
      <c r="V102" s="15"/>
    </row>
    <row r="103" spans="1:23" x14ac:dyDescent="0.35">
      <c r="G103" s="235" t="s">
        <v>92</v>
      </c>
      <c r="H103" s="188">
        <f>ROUNDUP(C101/oc48_bw,0)*2</f>
        <v>416</v>
      </c>
      <c r="I103" s="188">
        <f>ROUNDUP(D101/oc48_bw,0)*2</f>
        <v>982</v>
      </c>
      <c r="J103" s="188">
        <f>ROUNDUP(E101/oc48_bw,0)*2</f>
        <v>1746</v>
      </c>
      <c r="V103" s="15"/>
    </row>
    <row r="104" spans="1:23" ht="16" thickBot="1" x14ac:dyDescent="0.4">
      <c r="G104" s="93" t="s">
        <v>93</v>
      </c>
      <c r="H104" s="189">
        <f>ROUNDUP(C101/oc192_bw,0)*2</f>
        <v>104</v>
      </c>
      <c r="I104" s="189">
        <f>ROUNDUP(D101/oc192_bw,0)*2</f>
        <v>246</v>
      </c>
      <c r="J104" s="189">
        <f>ROUNDUP(E101/oc192_bw,0)*2</f>
        <v>438</v>
      </c>
      <c r="V104" s="15"/>
    </row>
    <row r="105" spans="1:23" x14ac:dyDescent="0.35">
      <c r="W105" s="15"/>
    </row>
    <row r="106" spans="1:23" x14ac:dyDescent="0.35">
      <c r="W106" s="15"/>
    </row>
    <row r="107" spans="1:23" x14ac:dyDescent="0.35">
      <c r="A107" s="11" t="s">
        <v>222</v>
      </c>
      <c r="W107" s="15"/>
    </row>
    <row r="108" spans="1:23" x14ac:dyDescent="0.35">
      <c r="A108" t="s">
        <v>219</v>
      </c>
      <c r="W108" s="15"/>
    </row>
    <row r="109" spans="1:23" x14ac:dyDescent="0.35">
      <c r="A109" t="s">
        <v>210</v>
      </c>
      <c r="F109" s="70"/>
      <c r="N109" s="70"/>
      <c r="W109" s="15"/>
    </row>
    <row r="110" spans="1:23" x14ac:dyDescent="0.35">
      <c r="A110" t="s">
        <v>211</v>
      </c>
      <c r="C110" s="5"/>
      <c r="E110" s="2"/>
      <c r="F110" s="88"/>
      <c r="G110" s="70"/>
      <c r="H110" s="8"/>
      <c r="I110" s="87"/>
      <c r="W110" s="15"/>
    </row>
    <row r="111" spans="1:23" ht="16" thickBot="1" x14ac:dyDescent="0.4">
      <c r="G111" s="5"/>
      <c r="H111" s="5"/>
      <c r="W111" s="15"/>
    </row>
    <row r="112" spans="1:23" ht="17" customHeight="1" thickBot="1" x14ac:dyDescent="0.4">
      <c r="A112" s="325" t="s">
        <v>212</v>
      </c>
      <c r="B112" s="92"/>
      <c r="C112" s="296" t="s">
        <v>50</v>
      </c>
      <c r="D112" s="296" t="s">
        <v>51</v>
      </c>
      <c r="E112" s="80" t="s">
        <v>52</v>
      </c>
      <c r="G112" s="435"/>
      <c r="H112" s="247" t="s">
        <v>209</v>
      </c>
      <c r="I112" s="241"/>
      <c r="J112" s="242"/>
      <c r="W112" s="15"/>
    </row>
    <row r="113" spans="1:93" ht="16" thickBot="1" x14ac:dyDescent="0.4">
      <c r="A113" s="93"/>
      <c r="B113" s="249" t="s">
        <v>323</v>
      </c>
      <c r="C113" s="239">
        <f>M74</f>
        <v>259</v>
      </c>
      <c r="D113" s="239">
        <f>W74</f>
        <v>614</v>
      </c>
      <c r="E113" s="240">
        <f>AH74</f>
        <v>1091</v>
      </c>
      <c r="G113" s="436"/>
      <c r="H113" s="236" t="s">
        <v>50</v>
      </c>
      <c r="I113" s="237" t="s">
        <v>51</v>
      </c>
      <c r="J113" s="238" t="s">
        <v>52</v>
      </c>
      <c r="W113" s="15"/>
    </row>
    <row r="114" spans="1:93" ht="16" thickBot="1" x14ac:dyDescent="0.4">
      <c r="A114" s="254"/>
      <c r="B114" s="324" t="s">
        <v>322</v>
      </c>
      <c r="C114" s="327">
        <f>M86</f>
        <v>22</v>
      </c>
      <c r="D114" s="327">
        <f>W86</f>
        <v>51</v>
      </c>
      <c r="E114" s="326">
        <f>AH86</f>
        <v>89</v>
      </c>
      <c r="G114" s="93" t="s">
        <v>90</v>
      </c>
      <c r="H114" s="189">
        <f>C113*gen_xl_ports</f>
        <v>1036</v>
      </c>
      <c r="I114" s="189">
        <f>D113*gen_xl_ports</f>
        <v>2456</v>
      </c>
      <c r="J114" s="189">
        <f>E113*gen_xl_ports</f>
        <v>4364</v>
      </c>
      <c r="K114" t="s">
        <v>220</v>
      </c>
      <c r="W114" s="15"/>
    </row>
    <row r="115" spans="1:93" ht="16" thickBot="1" x14ac:dyDescent="0.4">
      <c r="G115" s="93" t="s">
        <v>93</v>
      </c>
      <c r="H115" s="189">
        <f>C114*nas_ports</f>
        <v>176</v>
      </c>
      <c r="I115" s="189">
        <f>D114*nas_ports</f>
        <v>408</v>
      </c>
      <c r="J115" s="189">
        <f>E114*nas_ports</f>
        <v>712</v>
      </c>
      <c r="K115" t="s">
        <v>324</v>
      </c>
      <c r="W115" s="15"/>
    </row>
    <row r="116" spans="1:93" x14ac:dyDescent="0.35">
      <c r="W116" s="15"/>
    </row>
    <row r="117" spans="1:93" ht="19" thickBot="1" x14ac:dyDescent="0.5">
      <c r="A117" s="51" t="s">
        <v>226</v>
      </c>
      <c r="W117" s="15"/>
    </row>
    <row r="118" spans="1:93" ht="16" thickBot="1" x14ac:dyDescent="0.4">
      <c r="A118" t="s">
        <v>227</v>
      </c>
      <c r="G118" s="433"/>
      <c r="H118" s="250" t="s">
        <v>231</v>
      </c>
      <c r="I118" s="241"/>
      <c r="J118" s="242"/>
      <c r="L118" s="433"/>
      <c r="M118" s="107" t="s">
        <v>107</v>
      </c>
      <c r="N118" s="108"/>
      <c r="O118" s="109"/>
      <c r="P118" s="107" t="s">
        <v>98</v>
      </c>
      <c r="Q118" s="108"/>
      <c r="R118" s="109"/>
      <c r="S118" s="107" t="s">
        <v>230</v>
      </c>
      <c r="T118" s="108"/>
      <c r="U118" s="108"/>
      <c r="V118" s="107" t="s">
        <v>243</v>
      </c>
      <c r="W118" s="108"/>
      <c r="X118" s="109"/>
      <c r="Z118" s="107" t="s">
        <v>50</v>
      </c>
      <c r="AA118" s="108"/>
      <c r="AB118" s="108"/>
      <c r="AC118" s="108"/>
      <c r="AD118" s="108"/>
      <c r="AE118" s="109"/>
      <c r="AG118" s="107" t="s">
        <v>51</v>
      </c>
      <c r="AH118" s="108"/>
      <c r="AI118" s="108"/>
      <c r="AJ118" s="108"/>
      <c r="AK118" s="108"/>
      <c r="AL118" s="109"/>
      <c r="AN118" s="107" t="s">
        <v>52</v>
      </c>
      <c r="AO118" s="108"/>
      <c r="AP118" s="108"/>
      <c r="AQ118" s="108"/>
      <c r="AR118" s="108"/>
      <c r="AS118" s="109"/>
      <c r="AU118" s="298" t="s">
        <v>76</v>
      </c>
      <c r="AV118" s="299"/>
      <c r="AW118" s="299"/>
      <c r="AX118" s="299"/>
      <c r="AY118" s="300"/>
    </row>
    <row r="119" spans="1:93" ht="31.5" thickBot="1" x14ac:dyDescent="0.4">
      <c r="A119" t="s">
        <v>223</v>
      </c>
      <c r="G119" s="426"/>
      <c r="H119" s="236" t="s">
        <v>50</v>
      </c>
      <c r="I119" s="237" t="s">
        <v>51</v>
      </c>
      <c r="J119" s="238" t="s">
        <v>52</v>
      </c>
      <c r="L119" s="432"/>
      <c r="M119" s="297" t="s">
        <v>50</v>
      </c>
      <c r="N119" s="209" t="s">
        <v>51</v>
      </c>
      <c r="O119" s="210" t="s">
        <v>52</v>
      </c>
      <c r="P119" s="174" t="s">
        <v>50</v>
      </c>
      <c r="Q119" s="108" t="s">
        <v>51</v>
      </c>
      <c r="R119" s="109" t="s">
        <v>52</v>
      </c>
      <c r="S119" s="174" t="s">
        <v>50</v>
      </c>
      <c r="T119" s="108" t="s">
        <v>51</v>
      </c>
      <c r="U119" s="108" t="s">
        <v>52</v>
      </c>
      <c r="V119" s="174" t="s">
        <v>50</v>
      </c>
      <c r="W119" s="108" t="s">
        <v>51</v>
      </c>
      <c r="X119" s="109" t="s">
        <v>52</v>
      </c>
      <c r="Z119" s="174" t="s">
        <v>170</v>
      </c>
      <c r="AA119" s="175" t="s">
        <v>87</v>
      </c>
      <c r="AB119" s="175" t="s">
        <v>58</v>
      </c>
      <c r="AC119" s="181" t="s">
        <v>242</v>
      </c>
      <c r="AD119" s="181" t="s">
        <v>60</v>
      </c>
      <c r="AE119" s="190" t="s">
        <v>97</v>
      </c>
      <c r="AG119" s="174" t="s">
        <v>170</v>
      </c>
      <c r="AH119" s="175" t="s">
        <v>87</v>
      </c>
      <c r="AI119" s="175" t="s">
        <v>58</v>
      </c>
      <c r="AJ119" s="181" t="s">
        <v>242</v>
      </c>
      <c r="AK119" s="181" t="s">
        <v>60</v>
      </c>
      <c r="AL119" s="190" t="s">
        <v>97</v>
      </c>
      <c r="AN119" s="174" t="s">
        <v>170</v>
      </c>
      <c r="AO119" s="175" t="s">
        <v>87</v>
      </c>
      <c r="AP119" s="175" t="s">
        <v>58</v>
      </c>
      <c r="AQ119" s="181" t="s">
        <v>242</v>
      </c>
      <c r="AR119" s="181" t="s">
        <v>60</v>
      </c>
      <c r="AS119" s="190" t="s">
        <v>97</v>
      </c>
      <c r="AU119" s="92"/>
      <c r="AV119" s="295" t="s">
        <v>50</v>
      </c>
      <c r="AW119" s="296" t="s">
        <v>51</v>
      </c>
      <c r="AX119" s="80" t="s">
        <v>52</v>
      </c>
      <c r="AY119" s="292" t="s">
        <v>77</v>
      </c>
    </row>
    <row r="120" spans="1:93" ht="17" customHeight="1" thickBot="1" x14ac:dyDescent="0.4">
      <c r="A120" s="437" t="s">
        <v>224</v>
      </c>
      <c r="B120" s="437"/>
      <c r="C120" s="437"/>
      <c r="D120" s="437"/>
      <c r="E120" s="437"/>
      <c r="G120" s="71" t="s">
        <v>90</v>
      </c>
      <c r="H120" s="188">
        <f>H114</f>
        <v>1036</v>
      </c>
      <c r="I120" s="188">
        <f t="shared" ref="I120:J120" si="22">I114</f>
        <v>2456</v>
      </c>
      <c r="J120" s="188">
        <f t="shared" si="22"/>
        <v>4364</v>
      </c>
      <c r="L120" s="235" t="s">
        <v>90</v>
      </c>
      <c r="M120" s="255">
        <f>ROUNDUP(H120/gig_ports,0)</f>
        <v>130</v>
      </c>
      <c r="N120" s="9">
        <f>ROUNDUP(I120/gig_ports,0)</f>
        <v>307</v>
      </c>
      <c r="O120" s="76">
        <f>ROUNDUP(J120/gig_ports,0)</f>
        <v>546</v>
      </c>
      <c r="P120" s="328">
        <f>ROUNDUP(M120/14,0)</f>
        <v>10</v>
      </c>
      <c r="Q120" s="9">
        <f t="shared" ref="Q120:R121" si="23">ROUNDUP(N120/12,0)</f>
        <v>26</v>
      </c>
      <c r="R120" s="76">
        <f t="shared" si="23"/>
        <v>46</v>
      </c>
      <c r="S120" s="259"/>
      <c r="T120" s="259"/>
      <c r="U120" s="259"/>
      <c r="V120" s="261">
        <f>ROUNDUP(M120*gig_pwr*24*365,0)</f>
        <v>61496</v>
      </c>
      <c r="W120" s="131">
        <f>ROUNDUP(N120*gig_pwr*24*365,0)</f>
        <v>145224</v>
      </c>
      <c r="X120" s="262">
        <f>ROUNDUP(O120*gig_pwr*24*365,0)</f>
        <v>258280</v>
      </c>
      <c r="Z120" s="68">
        <f>M120*gig_cost+M121*oc48_cost+(M122+M123)*oc192_cost</f>
        <v>2494000</v>
      </c>
      <c r="AA120" s="75">
        <f>P124*shelf_cost</f>
        <v>220000</v>
      </c>
      <c r="AB120" s="75">
        <f>S124*rack_cost</f>
        <v>110000</v>
      </c>
      <c r="AC120" s="75">
        <f>ROUNDUP(V124*kwh_cost,0)</f>
        <v>22370</v>
      </c>
      <c r="AD120" s="75">
        <v>0</v>
      </c>
      <c r="AE120" s="244">
        <f>SUM(Z120:AD120)</f>
        <v>2846370</v>
      </c>
      <c r="AG120" s="68">
        <f>N120*gig_cost+N121*oc48_cost+(N122+N123)*oc192_cost-Z120</f>
        <v>2128000</v>
      </c>
      <c r="AH120" s="75">
        <f>Q124*shelf_cost-AA120</f>
        <v>40000</v>
      </c>
      <c r="AI120" s="75">
        <f>T124*rack_cost-AB120</f>
        <v>20000</v>
      </c>
      <c r="AJ120" s="75">
        <f>ROUNDUP(W124*kwh_cost,0)</f>
        <v>39985</v>
      </c>
      <c r="AK120" s="75">
        <f>ROUND(hw_supt*SUM(Z120,AA120),0)</f>
        <v>542800</v>
      </c>
      <c r="AL120" s="244">
        <f>SUM(AG120:AK120)</f>
        <v>2770785</v>
      </c>
      <c r="AN120" s="68">
        <f>O120*gig_cost+O121*oc48_cost+(O122+O123)*oc192_cost-AG120-Z120</f>
        <v>3547000</v>
      </c>
      <c r="AO120" s="75">
        <f>R124*shelf_cost-AH120-AA120</f>
        <v>200000</v>
      </c>
      <c r="AP120" s="75">
        <f>U124*rack_cost-AI120-AB120</f>
        <v>100000</v>
      </c>
      <c r="AQ120" s="75">
        <f>ROUNDUP(X124*kwh_cost,0)</f>
        <v>70597</v>
      </c>
      <c r="AR120" s="75">
        <f>ROUND(hw_supt*SUM(Z120,AG120,AA120,AH120),0)</f>
        <v>976400</v>
      </c>
      <c r="AS120" s="244">
        <f>SUM(AN120:AR120)</f>
        <v>4893997</v>
      </c>
      <c r="AU120" s="254" t="s">
        <v>91</v>
      </c>
      <c r="AV120" s="280">
        <f>AE120</f>
        <v>2846370</v>
      </c>
      <c r="AW120" s="281">
        <f>AL120</f>
        <v>2770785</v>
      </c>
      <c r="AX120" s="282">
        <f>AS120</f>
        <v>4893997</v>
      </c>
      <c r="AY120" s="283">
        <f>SUM(AV120:AX120)</f>
        <v>10511152</v>
      </c>
    </row>
    <row r="121" spans="1:93" x14ac:dyDescent="0.35">
      <c r="A121" s="437"/>
      <c r="B121" s="437"/>
      <c r="C121" s="437"/>
      <c r="D121" s="437"/>
      <c r="E121" s="437"/>
      <c r="G121" s="71" t="s">
        <v>92</v>
      </c>
      <c r="H121" s="188">
        <f>H103</f>
        <v>416</v>
      </c>
      <c r="I121" s="188">
        <f t="shared" ref="I121:J121" si="24">I103</f>
        <v>982</v>
      </c>
      <c r="J121" s="188">
        <f t="shared" si="24"/>
        <v>1746</v>
      </c>
      <c r="L121" s="235" t="s">
        <v>92</v>
      </c>
      <c r="M121" s="255">
        <f>ROUNDUP(H121/oc48_ports,0)</f>
        <v>52</v>
      </c>
      <c r="N121" s="9">
        <f>ROUNDUP(I121/oc48_ports,0)</f>
        <v>123</v>
      </c>
      <c r="O121" s="76">
        <f>ROUNDUP(J121/oc48_ports,0)</f>
        <v>219</v>
      </c>
      <c r="P121" s="255">
        <f>ROUNDUP(M121/12,0)</f>
        <v>5</v>
      </c>
      <c r="Q121" s="9">
        <f t="shared" si="23"/>
        <v>11</v>
      </c>
      <c r="R121" s="76">
        <f t="shared" si="23"/>
        <v>19</v>
      </c>
      <c r="S121" s="259"/>
      <c r="T121" s="259"/>
      <c r="U121" s="259"/>
      <c r="V121" s="261">
        <f>ROUNDUP(M121*oc48_pwr*24*365,0)</f>
        <v>61496</v>
      </c>
      <c r="W121" s="131">
        <f>ROUNDUP(N121*oc48_pwr*24*365,0)</f>
        <v>145460</v>
      </c>
      <c r="X121" s="262">
        <f>ROUNDUP(O121*oc48_pwr*24*365,0)</f>
        <v>258990</v>
      </c>
      <c r="AU121" s="235" t="s">
        <v>237</v>
      </c>
      <c r="AV121" s="255">
        <f>M124</f>
        <v>314</v>
      </c>
      <c r="AW121" s="9">
        <f>N124-M124</f>
        <v>322</v>
      </c>
      <c r="AX121" s="76">
        <f>O124-N124</f>
        <v>491</v>
      </c>
      <c r="AY121" s="188">
        <f>SUM(AV121:AX121)</f>
        <v>1127</v>
      </c>
    </row>
    <row r="122" spans="1:93" ht="16" thickBot="1" x14ac:dyDescent="0.4">
      <c r="A122" s="437"/>
      <c r="B122" s="437"/>
      <c r="C122" s="437"/>
      <c r="D122" s="437"/>
      <c r="E122" s="437"/>
      <c r="G122" s="71" t="s">
        <v>93</v>
      </c>
      <c r="H122" s="188">
        <f>H115</f>
        <v>176</v>
      </c>
      <c r="I122" s="188">
        <f t="shared" ref="I122:J122" si="25">I115</f>
        <v>408</v>
      </c>
      <c r="J122" s="188">
        <f t="shared" si="25"/>
        <v>712</v>
      </c>
      <c r="L122" s="235" t="s">
        <v>325</v>
      </c>
      <c r="M122" s="255">
        <f>ROUNDUP(H122/oc192_ports,0)</f>
        <v>44</v>
      </c>
      <c r="N122" s="9">
        <f>ROUNDUP(I122/oc192_ports,0)</f>
        <v>102</v>
      </c>
      <c r="O122" s="76">
        <f>ROUNDUP(J122/oc192_ports,0)</f>
        <v>178</v>
      </c>
      <c r="P122" s="255">
        <f>ROUNDUP(M122/2,0)</f>
        <v>22</v>
      </c>
      <c r="Q122" s="9">
        <f t="shared" ref="Q122:R122" si="26">ROUNDUP(N122/4,0)</f>
        <v>26</v>
      </c>
      <c r="R122" s="76">
        <f t="shared" si="26"/>
        <v>45</v>
      </c>
      <c r="S122" s="259"/>
      <c r="T122" s="259"/>
      <c r="U122" s="259"/>
      <c r="V122" s="261">
        <f t="shared" ref="V122:X123" si="27">ROUNDUP(M122*oc192_pwr*24*365,0)</f>
        <v>104069</v>
      </c>
      <c r="W122" s="131">
        <f t="shared" si="27"/>
        <v>241251</v>
      </c>
      <c r="X122" s="262">
        <f t="shared" si="27"/>
        <v>421006</v>
      </c>
      <c r="AU122" s="235" t="s">
        <v>238</v>
      </c>
      <c r="AV122" s="255">
        <f>P124</f>
        <v>22</v>
      </c>
      <c r="AW122" s="9">
        <f>Q124-P124</f>
        <v>4</v>
      </c>
      <c r="AX122" s="76">
        <f>R124-Q124</f>
        <v>20</v>
      </c>
      <c r="AY122" s="188">
        <f t="shared" ref="AY122:AY124" si="28">SUM(AV122:AX122)</f>
        <v>46</v>
      </c>
    </row>
    <row r="123" spans="1:93" ht="16" thickBot="1" x14ac:dyDescent="0.4">
      <c r="G123" s="107" t="s">
        <v>84</v>
      </c>
      <c r="H123" s="253">
        <f>SUM(H120:H121)</f>
        <v>1452</v>
      </c>
      <c r="I123" s="253">
        <f t="shared" ref="I123:J123" si="29">SUM(I120:I121)</f>
        <v>3438</v>
      </c>
      <c r="J123" s="253">
        <f t="shared" si="29"/>
        <v>6110</v>
      </c>
      <c r="L123" s="235" t="s">
        <v>326</v>
      </c>
      <c r="M123" s="255">
        <f>P124*4</f>
        <v>88</v>
      </c>
      <c r="N123" s="9">
        <f>Q124*4</f>
        <v>104</v>
      </c>
      <c r="O123" s="76">
        <f>R124*4</f>
        <v>184</v>
      </c>
      <c r="P123" s="329" t="s">
        <v>196</v>
      </c>
      <c r="Q123" s="278" t="s">
        <v>196</v>
      </c>
      <c r="R123" s="279" t="s">
        <v>196</v>
      </c>
      <c r="S123" s="259"/>
      <c r="T123" s="259"/>
      <c r="U123" s="259"/>
      <c r="V123" s="261">
        <f t="shared" si="27"/>
        <v>208138</v>
      </c>
      <c r="W123" s="131">
        <f t="shared" si="27"/>
        <v>245981</v>
      </c>
      <c r="X123" s="262">
        <f t="shared" si="27"/>
        <v>435197</v>
      </c>
      <c r="AU123" s="235" t="s">
        <v>236</v>
      </c>
      <c r="AV123" s="255">
        <f>S124</f>
        <v>22</v>
      </c>
      <c r="AW123" s="9">
        <f>T124-S124</f>
        <v>4</v>
      </c>
      <c r="AX123" s="76">
        <f>U124-T124</f>
        <v>20</v>
      </c>
      <c r="AY123" s="188">
        <f t="shared" si="28"/>
        <v>46</v>
      </c>
    </row>
    <row r="124" spans="1:93" ht="16" thickBot="1" x14ac:dyDescent="0.4">
      <c r="L124" s="254" t="s">
        <v>84</v>
      </c>
      <c r="M124" s="257">
        <f>SUM(M120:M123)</f>
        <v>314</v>
      </c>
      <c r="N124" s="251">
        <f>SUM(N120:N123)</f>
        <v>636</v>
      </c>
      <c r="O124" s="252">
        <f>SUM(O120:O123)</f>
        <v>1127</v>
      </c>
      <c r="P124" s="257">
        <f>MAX(P120:P123)</f>
        <v>22</v>
      </c>
      <c r="Q124" s="251">
        <f>MAX(Q120:Q123)</f>
        <v>26</v>
      </c>
      <c r="R124" s="252">
        <f>MAX(R120:R123)</f>
        <v>46</v>
      </c>
      <c r="S124" s="257">
        <f>P124</f>
        <v>22</v>
      </c>
      <c r="T124" s="251">
        <f t="shared" ref="T124:U124" si="30">Q124</f>
        <v>26</v>
      </c>
      <c r="U124" s="251">
        <f t="shared" si="30"/>
        <v>46</v>
      </c>
      <c r="V124" s="257">
        <f>SUM(V120:V123)</f>
        <v>435199</v>
      </c>
      <c r="W124" s="251">
        <f>SUM(W120:W123)</f>
        <v>777916</v>
      </c>
      <c r="X124" s="252">
        <f>SUM(X120:X123)</f>
        <v>1373473</v>
      </c>
      <c r="AU124" s="93" t="s">
        <v>234</v>
      </c>
      <c r="AV124" s="110">
        <f>V124</f>
        <v>435199</v>
      </c>
      <c r="AW124" s="69">
        <f>W124</f>
        <v>777916</v>
      </c>
      <c r="AX124" s="77">
        <f>X124</f>
        <v>1373473</v>
      </c>
      <c r="AY124" s="189">
        <f t="shared" si="28"/>
        <v>2586588</v>
      </c>
    </row>
    <row r="125" spans="1:93" x14ac:dyDescent="0.35">
      <c r="W125" s="15"/>
    </row>
    <row r="126" spans="1:93" x14ac:dyDescent="0.35">
      <c r="W126" s="15"/>
    </row>
    <row r="127" spans="1:93" x14ac:dyDescent="0.35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111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86"/>
      <c r="BW127" s="86"/>
      <c r="BX127" s="86"/>
      <c r="BY127" s="86"/>
      <c r="BZ127" s="86"/>
      <c r="CA127" s="86"/>
      <c r="CB127" s="86"/>
      <c r="CC127" s="86"/>
      <c r="CD127" s="86"/>
      <c r="CE127" s="86"/>
      <c r="CF127" s="86"/>
      <c r="CG127" s="86"/>
      <c r="CH127" s="86"/>
      <c r="CI127" s="86"/>
      <c r="CJ127" s="86"/>
      <c r="CK127" s="86"/>
      <c r="CL127" s="86"/>
      <c r="CM127" s="86"/>
      <c r="CN127" s="86"/>
      <c r="CO127" s="86"/>
    </row>
    <row r="128" spans="1:93" x14ac:dyDescent="0.35">
      <c r="U128" s="15"/>
    </row>
    <row r="129" spans="1:21" ht="18.5" x14ac:dyDescent="0.45">
      <c r="A129" s="83" t="s">
        <v>101</v>
      </c>
      <c r="U129" s="15"/>
    </row>
    <row r="130" spans="1:21" x14ac:dyDescent="0.35">
      <c r="A130" t="s">
        <v>302</v>
      </c>
      <c r="U130" s="15"/>
    </row>
    <row r="131" spans="1:21" x14ac:dyDescent="0.35">
      <c r="A131" t="s">
        <v>244</v>
      </c>
      <c r="U131" s="15"/>
    </row>
    <row r="132" spans="1:21" x14ac:dyDescent="0.35">
      <c r="A132" t="s">
        <v>294</v>
      </c>
      <c r="U132" s="15"/>
    </row>
    <row r="133" spans="1:21" x14ac:dyDescent="0.35">
      <c r="U133" s="15"/>
    </row>
    <row r="134" spans="1:21" x14ac:dyDescent="0.35">
      <c r="C134" s="11" t="s">
        <v>50</v>
      </c>
      <c r="D134" s="11" t="s">
        <v>51</v>
      </c>
      <c r="E134" s="11" t="s">
        <v>52</v>
      </c>
      <c r="U134" s="15"/>
    </row>
    <row r="135" spans="1:21" x14ac:dyDescent="0.35">
      <c r="A135" s="11" t="s">
        <v>287</v>
      </c>
      <c r="B135" s="289"/>
      <c r="C135" s="290"/>
      <c r="D135" s="290"/>
      <c r="E135" s="290"/>
      <c r="T135" s="15"/>
    </row>
    <row r="136" spans="1:21" x14ac:dyDescent="0.35">
      <c r="A136" s="11"/>
      <c r="B136" s="311" t="s">
        <v>288</v>
      </c>
      <c r="C136" s="290"/>
      <c r="D136" s="290"/>
      <c r="E136" s="290"/>
      <c r="T136" s="15"/>
    </row>
    <row r="137" spans="1:21" x14ac:dyDescent="0.35">
      <c r="B137" s="14" t="s">
        <v>240</v>
      </c>
      <c r="C137" s="1">
        <f>C15*rack_sf*2</f>
        <v>4544</v>
      </c>
      <c r="D137" s="1">
        <f>D15*rack_sf*2</f>
        <v>9024</v>
      </c>
      <c r="E137" s="1">
        <f>E15*rack_sf*2</f>
        <v>16704</v>
      </c>
      <c r="T137" s="15"/>
    </row>
    <row r="138" spans="1:21" x14ac:dyDescent="0.35">
      <c r="B138" s="308" t="s">
        <v>279</v>
      </c>
      <c r="C138" s="309">
        <f>acres*acre_cost</f>
        <v>500000</v>
      </c>
      <c r="D138" s="310">
        <v>0</v>
      </c>
      <c r="E138" s="310">
        <v>0</v>
      </c>
      <c r="T138" s="15"/>
    </row>
    <row r="139" spans="1:21" x14ac:dyDescent="0.35">
      <c r="B139" s="308" t="s">
        <v>280</v>
      </c>
      <c r="C139" s="309">
        <f>E155*23801/2</f>
        <v>12855615.654337898</v>
      </c>
      <c r="D139" s="310">
        <v>0</v>
      </c>
      <c r="E139" s="310">
        <v>0</v>
      </c>
      <c r="T139" s="15"/>
    </row>
    <row r="140" spans="1:21" x14ac:dyDescent="0.35">
      <c r="B140" s="308" t="s">
        <v>281</v>
      </c>
      <c r="C140" s="309">
        <f>C137/2*262</f>
        <v>595264</v>
      </c>
      <c r="D140" s="310">
        <v>0</v>
      </c>
      <c r="E140" s="310">
        <v>0</v>
      </c>
      <c r="T140" s="15"/>
    </row>
    <row r="141" spans="1:21" x14ac:dyDescent="0.35">
      <c r="B141" s="308" t="s">
        <v>290</v>
      </c>
      <c r="C141" s="309">
        <f>2%*SUM(C138:C140)</f>
        <v>279017.59308675799</v>
      </c>
      <c r="D141" s="307">
        <v>0</v>
      </c>
      <c r="E141" s="307">
        <v>0</v>
      </c>
      <c r="T141" s="15"/>
    </row>
    <row r="142" spans="1:21" x14ac:dyDescent="0.35">
      <c r="B142" s="308" t="s">
        <v>291</v>
      </c>
      <c r="C142" s="309">
        <f>5%*SUM(C139:C140)</f>
        <v>672543.98271689494</v>
      </c>
      <c r="D142" s="307"/>
      <c r="E142" s="307"/>
      <c r="T142" s="15"/>
    </row>
    <row r="143" spans="1:21" x14ac:dyDescent="0.35">
      <c r="B143" s="308" t="s">
        <v>292</v>
      </c>
      <c r="C143" s="2"/>
      <c r="U143" s="15"/>
    </row>
    <row r="144" spans="1:21" x14ac:dyDescent="0.35">
      <c r="B144" s="48" t="s">
        <v>251</v>
      </c>
      <c r="C144" s="5">
        <f>J103</f>
        <v>1746</v>
      </c>
      <c r="D144" s="47"/>
      <c r="E144" s="47"/>
      <c r="U144" s="15"/>
    </row>
    <row r="145" spans="1:21" x14ac:dyDescent="0.35">
      <c r="B145" s="48" t="s">
        <v>246</v>
      </c>
      <c r="C145" s="5">
        <f>ROUNDUP(C144/144,0)</f>
        <v>13</v>
      </c>
      <c r="D145" s="47"/>
      <c r="E145" s="47"/>
      <c r="U145" s="15"/>
    </row>
    <row r="146" spans="1:21" x14ac:dyDescent="0.35">
      <c r="B146" s="48" t="s">
        <v>248</v>
      </c>
      <c r="C146" s="1">
        <f>C145*fiber_run*110%</f>
        <v>75504</v>
      </c>
      <c r="D146" s="47"/>
      <c r="E146" s="47"/>
      <c r="U146" s="15"/>
    </row>
    <row r="147" spans="1:21" x14ac:dyDescent="0.35">
      <c r="B147" s="48" t="s">
        <v>249</v>
      </c>
      <c r="C147" s="87">
        <f>C146*fiber_cost</f>
        <v>148742.88</v>
      </c>
      <c r="D147" s="47"/>
      <c r="E147" s="47"/>
      <c r="U147" s="15"/>
    </row>
    <row r="148" spans="1:21" x14ac:dyDescent="0.35">
      <c r="B148" s="48" t="s">
        <v>252</v>
      </c>
      <c r="C148" s="87">
        <v>250000</v>
      </c>
      <c r="D148" s="47"/>
      <c r="E148" s="47"/>
      <c r="U148" s="15"/>
    </row>
    <row r="149" spans="1:21" x14ac:dyDescent="0.35">
      <c r="B149" s="64" t="s">
        <v>253</v>
      </c>
      <c r="C149" s="66">
        <f>SUM(C147:C148)</f>
        <v>398742.88</v>
      </c>
      <c r="D149" s="28">
        <v>0</v>
      </c>
      <c r="E149" s="28">
        <v>0</v>
      </c>
      <c r="U149" s="15"/>
    </row>
    <row r="150" spans="1:21" x14ac:dyDescent="0.35">
      <c r="B150" s="315" t="s">
        <v>300</v>
      </c>
      <c r="C150" s="316">
        <f>C137/2*65</f>
        <v>147680</v>
      </c>
      <c r="D150" s="28">
        <v>0</v>
      </c>
      <c r="E150" s="28">
        <v>0</v>
      </c>
      <c r="U150" s="15"/>
    </row>
    <row r="151" spans="1:21" x14ac:dyDescent="0.35">
      <c r="B151" s="308" t="s">
        <v>293</v>
      </c>
      <c r="C151" s="66">
        <f>50*E155/2</f>
        <v>27006.461187214609</v>
      </c>
      <c r="D151" s="28">
        <v>0</v>
      </c>
      <c r="E151" s="28">
        <v>0</v>
      </c>
      <c r="U151" s="15"/>
    </row>
    <row r="152" spans="1:21" x14ac:dyDescent="0.35">
      <c r="B152" s="26" t="s">
        <v>297</v>
      </c>
      <c r="C152" s="290">
        <f>SUM(C138:C142,C149,C150,C151)</f>
        <v>15475870.571328769</v>
      </c>
      <c r="D152" s="307">
        <v>0</v>
      </c>
      <c r="E152" s="307">
        <v>0</v>
      </c>
      <c r="T152" s="15"/>
    </row>
    <row r="153" spans="1:21" x14ac:dyDescent="0.35">
      <c r="A153" s="11" t="s">
        <v>299</v>
      </c>
      <c r="B153" s="29"/>
      <c r="C153" s="290"/>
      <c r="D153" s="307"/>
      <c r="E153" s="307"/>
      <c r="T153" s="15"/>
    </row>
    <row r="154" spans="1:21" x14ac:dyDescent="0.35">
      <c r="B154" s="17" t="s">
        <v>282</v>
      </c>
      <c r="C154" s="28"/>
      <c r="D154" s="28"/>
      <c r="E154" s="28"/>
      <c r="U154" s="15"/>
    </row>
    <row r="155" spans="1:21" x14ac:dyDescent="0.35">
      <c r="A155" s="11"/>
      <c r="B155" s="285" t="s">
        <v>289</v>
      </c>
      <c r="C155" s="30">
        <f>C158/24/365</f>
        <v>283.3203196347032</v>
      </c>
      <c r="D155" s="30">
        <f t="shared" ref="D155:E155" si="31">D158/24/365</f>
        <v>611.12625570776254</v>
      </c>
      <c r="E155" s="30">
        <f t="shared" si="31"/>
        <v>1080.2584474885844</v>
      </c>
      <c r="U155" s="15"/>
    </row>
    <row r="156" spans="1:21" x14ac:dyDescent="0.35">
      <c r="B156" s="285" t="s">
        <v>285</v>
      </c>
      <c r="C156" s="1">
        <f>(BP85+AV124)</f>
        <v>1240943</v>
      </c>
      <c r="D156" s="1">
        <f>(BQ85+AW124)</f>
        <v>2676733</v>
      </c>
      <c r="E156" s="1">
        <f>(BR85+AX124)</f>
        <v>4731532</v>
      </c>
      <c r="T156" s="15"/>
    </row>
    <row r="157" spans="1:21" x14ac:dyDescent="0.35">
      <c r="B157" s="285" t="s">
        <v>286</v>
      </c>
      <c r="C157" s="1">
        <f>C156</f>
        <v>1240943</v>
      </c>
      <c r="D157" s="1">
        <f t="shared" ref="D157:E157" si="32">D156</f>
        <v>2676733</v>
      </c>
      <c r="E157" s="1">
        <f t="shared" si="32"/>
        <v>4731532</v>
      </c>
      <c r="T157" s="15"/>
    </row>
    <row r="158" spans="1:21" x14ac:dyDescent="0.35">
      <c r="B158" s="285" t="s">
        <v>284</v>
      </c>
      <c r="C158" s="1">
        <f>SUM(C156:C157)</f>
        <v>2481886</v>
      </c>
      <c r="D158" s="1">
        <f t="shared" ref="D158:E158" si="33">SUM(D156:D157)</f>
        <v>5353466</v>
      </c>
      <c r="E158" s="1">
        <f t="shared" si="33"/>
        <v>9463064</v>
      </c>
      <c r="T158" s="15"/>
    </row>
    <row r="159" spans="1:21" x14ac:dyDescent="0.35">
      <c r="B159" s="306" t="s">
        <v>295</v>
      </c>
      <c r="C159" s="309">
        <f>C158*kwh_cost</f>
        <v>127568.94040000001</v>
      </c>
      <c r="D159" s="309">
        <f>D158*kwh_cost</f>
        <v>275168.15240000002</v>
      </c>
      <c r="E159" s="309">
        <f>E158*kwh_cost</f>
        <v>486401.48960000003</v>
      </c>
      <c r="T159" s="15"/>
    </row>
    <row r="160" spans="1:21" x14ac:dyDescent="0.35">
      <c r="B160" s="311" t="s">
        <v>296</v>
      </c>
      <c r="C160" s="309">
        <f>(((Bandwidth!$O$39-Bandwidth!$O$37)/2)*1000)*ip_tx_cost*12</f>
        <v>655157.7253439998</v>
      </c>
      <c r="D160" s="309">
        <f>(((Bandwidth!$O$41-Bandwidth!$O$39)/2)*1000)*ip_tx_cost*12</f>
        <v>1435687.5648959999</v>
      </c>
      <c r="E160" s="309">
        <f>(((Bandwidth!$O$43-Bandwidth!$O$41)/2)*1000)*ip_tx_cost*12</f>
        <v>1932066.8133119997</v>
      </c>
      <c r="U160" s="15"/>
    </row>
    <row r="161" spans="1:21" x14ac:dyDescent="0.35">
      <c r="B161" s="311" t="s">
        <v>304</v>
      </c>
      <c r="C161" s="309">
        <v>0</v>
      </c>
      <c r="D161" s="309">
        <f>AX85+AK120</f>
        <v>918800</v>
      </c>
      <c r="E161" s="309">
        <f>SUM(BE85,AR120)</f>
        <v>1580867</v>
      </c>
      <c r="U161" s="15"/>
    </row>
    <row r="162" spans="1:21" x14ac:dyDescent="0.35">
      <c r="B162" s="311" t="s">
        <v>272</v>
      </c>
      <c r="C162" s="87">
        <f>prop_tax*$C152</f>
        <v>154758.70571328769</v>
      </c>
      <c r="D162" s="87">
        <f>prop_tax*$C152</f>
        <v>154758.70571328769</v>
      </c>
      <c r="E162" s="87">
        <f>prop_tax*$C152</f>
        <v>154758.70571328769</v>
      </c>
      <c r="T162" s="15"/>
    </row>
    <row r="163" spans="1:21" x14ac:dyDescent="0.35">
      <c r="B163" s="26" t="s">
        <v>298</v>
      </c>
      <c r="C163" s="312">
        <f>SUM(C159,C160,C161,C162)</f>
        <v>937485.37145728746</v>
      </c>
      <c r="D163" s="312">
        <f t="shared" ref="D163:E163" si="34">SUM(D159,D160,D161,D162)</f>
        <v>2784414.4230092876</v>
      </c>
      <c r="E163" s="312">
        <f t="shared" si="34"/>
        <v>4154094.0086252876</v>
      </c>
      <c r="U163" s="15"/>
    </row>
    <row r="164" spans="1:21" x14ac:dyDescent="0.35">
      <c r="A164" s="26" t="s">
        <v>273</v>
      </c>
      <c r="U164" s="15"/>
    </row>
    <row r="165" spans="1:21" x14ac:dyDescent="0.35">
      <c r="B165" s="302" t="s">
        <v>274</v>
      </c>
      <c r="C165" s="87">
        <f>D180*1000</f>
        <v>390000</v>
      </c>
      <c r="D165" s="66">
        <f>C165*1.03</f>
        <v>401700</v>
      </c>
      <c r="E165" s="66">
        <f>D165*1.03</f>
        <v>413751</v>
      </c>
      <c r="U165" s="15"/>
    </row>
    <row r="166" spans="1:21" x14ac:dyDescent="0.35">
      <c r="B166" s="302" t="s">
        <v>275</v>
      </c>
      <c r="C166" s="87">
        <f>E180*1000</f>
        <v>520000</v>
      </c>
      <c r="D166" s="66">
        <f t="shared" ref="D166:E170" si="35">C166*1.03</f>
        <v>535600</v>
      </c>
      <c r="E166" s="66">
        <f t="shared" si="35"/>
        <v>551668</v>
      </c>
      <c r="U166" s="15"/>
    </row>
    <row r="167" spans="1:21" x14ac:dyDescent="0.35">
      <c r="B167" s="302" t="s">
        <v>258</v>
      </c>
      <c r="C167" s="87">
        <f>F180*1000</f>
        <v>416000</v>
      </c>
      <c r="D167" s="66">
        <f t="shared" si="35"/>
        <v>428480</v>
      </c>
      <c r="E167" s="66">
        <f>D167*1.03*1.333</f>
        <v>588298.75520000001</v>
      </c>
      <c r="U167" s="15"/>
    </row>
    <row r="168" spans="1:21" x14ac:dyDescent="0.35">
      <c r="B168" s="302" t="s">
        <v>277</v>
      </c>
      <c r="C168" s="87">
        <f>G180*1000</f>
        <v>702000</v>
      </c>
      <c r="D168" s="66">
        <f t="shared" si="35"/>
        <v>723060</v>
      </c>
      <c r="E168" s="66">
        <f t="shared" si="35"/>
        <v>744751.8</v>
      </c>
      <c r="U168" s="15"/>
    </row>
    <row r="169" spans="1:21" x14ac:dyDescent="0.35">
      <c r="B169" s="302" t="s">
        <v>276</v>
      </c>
      <c r="C169" s="87">
        <f>E181*C137</f>
        <v>18176</v>
      </c>
      <c r="D169" s="66">
        <f>C169*1.03</f>
        <v>18721.28</v>
      </c>
      <c r="E169" s="66">
        <f>D169*1.03</f>
        <v>19282.918399999999</v>
      </c>
      <c r="U169" s="15"/>
    </row>
    <row r="170" spans="1:21" x14ac:dyDescent="0.35">
      <c r="B170" s="26" t="s">
        <v>278</v>
      </c>
      <c r="C170" s="312">
        <f>SUM(C165:C168)</f>
        <v>2028000</v>
      </c>
      <c r="D170" s="312">
        <f t="shared" si="35"/>
        <v>2088840</v>
      </c>
      <c r="E170" s="312">
        <f t="shared" si="35"/>
        <v>2151505.2000000002</v>
      </c>
      <c r="U170" s="15"/>
    </row>
    <row r="171" spans="1:21" x14ac:dyDescent="0.35">
      <c r="A171" s="11" t="s">
        <v>301</v>
      </c>
      <c r="B171" s="289"/>
      <c r="C171" s="312">
        <f>SUM(C152,C163,C170)</f>
        <v>18441355.942786057</v>
      </c>
      <c r="D171" s="312">
        <f>SUM(D152,D163,D170)</f>
        <v>4873254.4230092876</v>
      </c>
      <c r="E171" s="312">
        <f>SUM(E152,E163,E170)</f>
        <v>6305599.2086252877</v>
      </c>
      <c r="U171" s="15"/>
    </row>
    <row r="172" spans="1:21" x14ac:dyDescent="0.35">
      <c r="B172" s="289"/>
      <c r="C172" s="305"/>
      <c r="D172" s="305"/>
      <c r="E172" s="305"/>
      <c r="U172" s="15"/>
    </row>
    <row r="173" spans="1:21" x14ac:dyDescent="0.35">
      <c r="B173" t="s">
        <v>283</v>
      </c>
      <c r="U173" s="15"/>
    </row>
    <row r="174" spans="1:21" x14ac:dyDescent="0.35">
      <c r="D174" t="s">
        <v>255</v>
      </c>
      <c r="E174" t="s">
        <v>256</v>
      </c>
      <c r="U174" s="15"/>
    </row>
    <row r="175" spans="1:21" x14ac:dyDescent="0.35">
      <c r="D175" t="s">
        <v>257</v>
      </c>
      <c r="E175" t="s">
        <v>257</v>
      </c>
      <c r="F175" t="s">
        <v>258</v>
      </c>
      <c r="G175" t="s">
        <v>259</v>
      </c>
      <c r="U175" s="15"/>
    </row>
    <row r="176" spans="1:21" x14ac:dyDescent="0.35">
      <c r="B176" t="s">
        <v>260</v>
      </c>
      <c r="C176" t="s">
        <v>261</v>
      </c>
      <c r="D176" s="303">
        <v>100</v>
      </c>
      <c r="E176" s="303">
        <v>100</v>
      </c>
      <c r="F176" s="303">
        <v>80</v>
      </c>
      <c r="G176" s="303">
        <v>60</v>
      </c>
      <c r="U176" s="15"/>
    </row>
    <row r="177" spans="2:21" x14ac:dyDescent="0.35">
      <c r="B177" t="s">
        <v>262</v>
      </c>
      <c r="C177" t="s">
        <v>263</v>
      </c>
      <c r="D177" s="303">
        <v>3</v>
      </c>
      <c r="E177" s="303">
        <v>4</v>
      </c>
      <c r="F177" s="303">
        <v>4</v>
      </c>
      <c r="G177" s="303">
        <v>3</v>
      </c>
      <c r="U177" s="15"/>
    </row>
    <row r="178" spans="2:21" x14ac:dyDescent="0.35">
      <c r="B178" t="s">
        <v>264</v>
      </c>
      <c r="C178" t="s">
        <v>263</v>
      </c>
      <c r="D178" s="303">
        <v>1</v>
      </c>
      <c r="E178" s="303">
        <v>1</v>
      </c>
      <c r="F178" s="303">
        <v>1</v>
      </c>
      <c r="G178" s="303">
        <v>3</v>
      </c>
      <c r="U178" s="15"/>
    </row>
    <row r="179" spans="2:21" x14ac:dyDescent="0.35">
      <c r="B179" t="s">
        <v>265</v>
      </c>
      <c r="C179" t="s">
        <v>266</v>
      </c>
      <c r="D179" s="304">
        <v>0.3</v>
      </c>
      <c r="E179" s="304">
        <v>0.3</v>
      </c>
      <c r="F179" s="304">
        <v>0.3</v>
      </c>
      <c r="G179" s="304">
        <v>0.3</v>
      </c>
      <c r="U179" s="15"/>
    </row>
    <row r="180" spans="2:21" x14ac:dyDescent="0.35">
      <c r="B180" t="s">
        <v>267</v>
      </c>
      <c r="C180" t="s">
        <v>261</v>
      </c>
      <c r="D180">
        <f>D177*D178*D176*(1+D179)</f>
        <v>390</v>
      </c>
      <c r="E180">
        <f>E177*E178*E176*(1+E179)</f>
        <v>520</v>
      </c>
      <c r="F180">
        <f>F177*F178*F176*(1+F179)</f>
        <v>416</v>
      </c>
      <c r="G180">
        <f>G177*G178*G176*(1+G179)</f>
        <v>702</v>
      </c>
      <c r="U180" s="15"/>
    </row>
    <row r="181" spans="2:21" x14ac:dyDescent="0.35">
      <c r="B181" t="s">
        <v>268</v>
      </c>
      <c r="E181" s="28">
        <v>4</v>
      </c>
      <c r="F181" t="s">
        <v>269</v>
      </c>
      <c r="U181" s="15"/>
    </row>
  </sheetData>
  <mergeCells count="200">
    <mergeCell ref="G100:G101"/>
    <mergeCell ref="G112:G113"/>
    <mergeCell ref="G118:G119"/>
    <mergeCell ref="L118:L119"/>
    <mergeCell ref="A120:E122"/>
    <mergeCell ref="A49:E49"/>
    <mergeCell ref="A59:E59"/>
    <mergeCell ref="A69:E69"/>
    <mergeCell ref="BJ81:BJ83"/>
    <mergeCell ref="AR81:AR83"/>
    <mergeCell ref="AT81:AT83"/>
    <mergeCell ref="AU81:AU83"/>
    <mergeCell ref="AV81:AV83"/>
    <mergeCell ref="AW81:AW83"/>
    <mergeCell ref="Y81:Y83"/>
    <mergeCell ref="Z81:Z83"/>
    <mergeCell ref="AB81:AB83"/>
    <mergeCell ref="AC81:AG81"/>
    <mergeCell ref="AH81:AH83"/>
    <mergeCell ref="AI81:AI83"/>
    <mergeCell ref="AJ81:AJ83"/>
    <mergeCell ref="AK81:AK83"/>
    <mergeCell ref="AM81:AM83"/>
    <mergeCell ref="G81:G83"/>
    <mergeCell ref="BK81:BK83"/>
    <mergeCell ref="BL81:BL83"/>
    <mergeCell ref="H82:J82"/>
    <mergeCell ref="K82:K83"/>
    <mergeCell ref="L82:L83"/>
    <mergeCell ref="R82:T82"/>
    <mergeCell ref="U82:U83"/>
    <mergeCell ref="V82:V83"/>
    <mergeCell ref="AC82:AE82"/>
    <mergeCell ref="AF82:AF83"/>
    <mergeCell ref="AG82:AG83"/>
    <mergeCell ref="AX81:AX83"/>
    <mergeCell ref="AY81:AY83"/>
    <mergeCell ref="BA81:BA83"/>
    <mergeCell ref="BB81:BB83"/>
    <mergeCell ref="BC81:BC83"/>
    <mergeCell ref="BD81:BD83"/>
    <mergeCell ref="BE81:BE83"/>
    <mergeCell ref="BF81:BF83"/>
    <mergeCell ref="BI81:BI83"/>
    <mergeCell ref="AN81:AN83"/>
    <mergeCell ref="AO81:AO83"/>
    <mergeCell ref="AP81:AP83"/>
    <mergeCell ref="AQ81:AQ83"/>
    <mergeCell ref="H81:L81"/>
    <mergeCell ref="M81:M83"/>
    <mergeCell ref="N81:N83"/>
    <mergeCell ref="O81:O83"/>
    <mergeCell ref="Q81:Q83"/>
    <mergeCell ref="R81:V81"/>
    <mergeCell ref="W81:W83"/>
    <mergeCell ref="X81:X83"/>
    <mergeCell ref="BI70:BI72"/>
    <mergeCell ref="AP70:AP72"/>
    <mergeCell ref="AQ70:AQ72"/>
    <mergeCell ref="AR70:AR72"/>
    <mergeCell ref="AT70:AT72"/>
    <mergeCell ref="AU70:AU72"/>
    <mergeCell ref="AV70:AV72"/>
    <mergeCell ref="X70:X72"/>
    <mergeCell ref="Y70:Y72"/>
    <mergeCell ref="Z70:Z72"/>
    <mergeCell ref="AB70:AB72"/>
    <mergeCell ref="AC70:AG70"/>
    <mergeCell ref="AH70:AH72"/>
    <mergeCell ref="AI70:AI72"/>
    <mergeCell ref="AJ70:AJ72"/>
    <mergeCell ref="AK70:AK72"/>
    <mergeCell ref="BJ70:BJ72"/>
    <mergeCell ref="BK70:BK72"/>
    <mergeCell ref="BL70:BL72"/>
    <mergeCell ref="H71:J71"/>
    <mergeCell ref="K71:K72"/>
    <mergeCell ref="L71:L72"/>
    <mergeCell ref="R71:T71"/>
    <mergeCell ref="U71:U72"/>
    <mergeCell ref="V71:V72"/>
    <mergeCell ref="AC71:AE71"/>
    <mergeCell ref="AF71:AF72"/>
    <mergeCell ref="AG71:AG72"/>
    <mergeCell ref="AW70:AW72"/>
    <mergeCell ref="AX70:AX72"/>
    <mergeCell ref="AY70:AY72"/>
    <mergeCell ref="BA70:BA72"/>
    <mergeCell ref="BB70:BB72"/>
    <mergeCell ref="BC70:BC72"/>
    <mergeCell ref="BD70:BD72"/>
    <mergeCell ref="BE70:BE72"/>
    <mergeCell ref="BF70:BF72"/>
    <mergeCell ref="AM70:AM72"/>
    <mergeCell ref="AN70:AN72"/>
    <mergeCell ref="AO70:AO72"/>
    <mergeCell ref="G70:G72"/>
    <mergeCell ref="H70:L70"/>
    <mergeCell ref="M70:M72"/>
    <mergeCell ref="N70:N72"/>
    <mergeCell ref="O70:O72"/>
    <mergeCell ref="Q70:Q72"/>
    <mergeCell ref="R70:V70"/>
    <mergeCell ref="W70:W72"/>
    <mergeCell ref="BJ60:BJ62"/>
    <mergeCell ref="AR60:AR62"/>
    <mergeCell ref="AT60:AT62"/>
    <mergeCell ref="AU60:AU62"/>
    <mergeCell ref="AV60:AV62"/>
    <mergeCell ref="AW60:AW62"/>
    <mergeCell ref="Y60:Y62"/>
    <mergeCell ref="Z60:Z62"/>
    <mergeCell ref="AB60:AB62"/>
    <mergeCell ref="AC60:AG60"/>
    <mergeCell ref="AH60:AH62"/>
    <mergeCell ref="AI60:AI62"/>
    <mergeCell ref="AJ60:AJ62"/>
    <mergeCell ref="AK60:AK62"/>
    <mergeCell ref="AM60:AM62"/>
    <mergeCell ref="G60:G62"/>
    <mergeCell ref="BK60:BK62"/>
    <mergeCell ref="BL60:BL62"/>
    <mergeCell ref="H61:J61"/>
    <mergeCell ref="K61:K62"/>
    <mergeCell ref="L61:L62"/>
    <mergeCell ref="R61:T61"/>
    <mergeCell ref="U61:U62"/>
    <mergeCell ref="V61:V62"/>
    <mergeCell ref="AC61:AE61"/>
    <mergeCell ref="AF61:AF62"/>
    <mergeCell ref="AG61:AG62"/>
    <mergeCell ref="AX60:AX62"/>
    <mergeCell ref="AY60:AY62"/>
    <mergeCell ref="BA60:BA62"/>
    <mergeCell ref="BB60:BB62"/>
    <mergeCell ref="BC60:BC62"/>
    <mergeCell ref="BD60:BD62"/>
    <mergeCell ref="BE60:BE62"/>
    <mergeCell ref="BF60:BF62"/>
    <mergeCell ref="BI60:BI62"/>
    <mergeCell ref="AN60:AN62"/>
    <mergeCell ref="AO60:AO62"/>
    <mergeCell ref="AP60:AP62"/>
    <mergeCell ref="AQ60:AQ62"/>
    <mergeCell ref="H60:L60"/>
    <mergeCell ref="M60:M62"/>
    <mergeCell ref="N60:N62"/>
    <mergeCell ref="O60:O62"/>
    <mergeCell ref="Q60:Q62"/>
    <mergeCell ref="R60:V60"/>
    <mergeCell ref="W60:W62"/>
    <mergeCell ref="X60:X62"/>
    <mergeCell ref="BJ50:BJ52"/>
    <mergeCell ref="AR50:AR52"/>
    <mergeCell ref="AT50:AT52"/>
    <mergeCell ref="AU50:AU52"/>
    <mergeCell ref="AV50:AV52"/>
    <mergeCell ref="AW50:AW52"/>
    <mergeCell ref="Y50:Y52"/>
    <mergeCell ref="Z50:Z52"/>
    <mergeCell ref="AB50:AB52"/>
    <mergeCell ref="AC50:AG50"/>
    <mergeCell ref="AH50:AH52"/>
    <mergeCell ref="AI50:AI52"/>
    <mergeCell ref="AJ50:AJ52"/>
    <mergeCell ref="AK50:AK52"/>
    <mergeCell ref="AM50:AM52"/>
    <mergeCell ref="BK50:BK52"/>
    <mergeCell ref="BL50:BL52"/>
    <mergeCell ref="H51:J51"/>
    <mergeCell ref="K51:K52"/>
    <mergeCell ref="L51:L52"/>
    <mergeCell ref="R51:T51"/>
    <mergeCell ref="U51:U52"/>
    <mergeCell ref="V51:V52"/>
    <mergeCell ref="AC51:AE51"/>
    <mergeCell ref="AF51:AF52"/>
    <mergeCell ref="AG51:AG52"/>
    <mergeCell ref="AX50:AX52"/>
    <mergeCell ref="AY50:AY52"/>
    <mergeCell ref="BA50:BA52"/>
    <mergeCell ref="BB50:BB52"/>
    <mergeCell ref="BC50:BC52"/>
    <mergeCell ref="BD50:BD52"/>
    <mergeCell ref="BE50:BE52"/>
    <mergeCell ref="BF50:BF52"/>
    <mergeCell ref="BI50:BI52"/>
    <mergeCell ref="AN50:AN52"/>
    <mergeCell ref="AO50:AO52"/>
    <mergeCell ref="AP50:AP52"/>
    <mergeCell ref="AQ50:AQ52"/>
    <mergeCell ref="G50:G52"/>
    <mergeCell ref="H50:L50"/>
    <mergeCell ref="M50:M52"/>
    <mergeCell ref="N50:N52"/>
    <mergeCell ref="O50:O52"/>
    <mergeCell ref="Q50:Q52"/>
    <mergeCell ref="R50:V50"/>
    <mergeCell ref="W50:W52"/>
    <mergeCell ref="X50:X52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186"/>
  <sheetViews>
    <sheetView zoomScaleNormal="100" workbookViewId="0">
      <selection activeCell="E27" sqref="E27"/>
    </sheetView>
  </sheetViews>
  <sheetFormatPr defaultColWidth="10.6640625" defaultRowHeight="15.5" x14ac:dyDescent="0.35"/>
  <cols>
    <col min="1" max="1" width="17.6640625" customWidth="1"/>
    <col min="2" max="2" width="45.83203125" bestFit="1" customWidth="1"/>
    <col min="3" max="3" width="15.33203125" bestFit="1" customWidth="1"/>
    <col min="4" max="5" width="14.33203125" bestFit="1" customWidth="1"/>
    <col min="7" max="7" width="12.5" customWidth="1"/>
    <col min="8" max="8" width="11.5" bestFit="1" customWidth="1"/>
    <col min="9" max="9" width="12.5" bestFit="1" customWidth="1"/>
    <col min="10" max="10" width="10.5" bestFit="1" customWidth="1"/>
    <col min="11" max="11" width="11.83203125" bestFit="1" customWidth="1"/>
    <col min="12" max="12" width="11.5" customWidth="1"/>
    <col min="13" max="14" width="11.6640625" bestFit="1" customWidth="1"/>
    <col min="15" max="15" width="15.6640625" bestFit="1" customWidth="1"/>
    <col min="16" max="16" width="11.6640625" bestFit="1" customWidth="1"/>
    <col min="17" max="17" width="12.5" customWidth="1"/>
    <col min="18" max="18" width="11.6640625" bestFit="1" customWidth="1"/>
    <col min="19" max="19" width="14.1640625" bestFit="1" customWidth="1"/>
    <col min="20" max="20" width="11.6640625" bestFit="1" customWidth="1"/>
    <col min="21" max="21" width="11.5" customWidth="1"/>
    <col min="22" max="22" width="12.5" bestFit="1" customWidth="1"/>
    <col min="23" max="23" width="11.6640625" bestFit="1" customWidth="1"/>
    <col min="24" max="24" width="11.5" bestFit="1" customWidth="1"/>
    <col min="25" max="25" width="12.5" bestFit="1" customWidth="1"/>
    <col min="26" max="26" width="15.6640625" bestFit="1" customWidth="1"/>
    <col min="27" max="27" width="11.5" bestFit="1" customWidth="1"/>
    <col min="28" max="28" width="12.33203125" customWidth="1"/>
    <col min="29" max="30" width="11.5" bestFit="1" customWidth="1"/>
    <col min="31" max="31" width="11.5" customWidth="1"/>
    <col min="32" max="32" width="11.5" bestFit="1" customWidth="1"/>
    <col min="33" max="33" width="12.5" customWidth="1"/>
    <col min="34" max="34" width="12.5" bestFit="1" customWidth="1"/>
    <col min="35" max="35" width="12.5" customWidth="1"/>
    <col min="36" max="36" width="12.5" bestFit="1" customWidth="1"/>
    <col min="37" max="37" width="13.33203125" customWidth="1"/>
    <col min="38" max="38" width="11.5" bestFit="1" customWidth="1"/>
    <col min="39" max="39" width="12.6640625" customWidth="1"/>
    <col min="40" max="42" width="11.5" bestFit="1" customWidth="1"/>
    <col min="44" max="46" width="11.5" bestFit="1" customWidth="1"/>
    <col min="47" max="47" width="11.5" customWidth="1"/>
    <col min="48" max="48" width="11.5" bestFit="1" customWidth="1"/>
    <col min="49" max="49" width="12.33203125" customWidth="1"/>
    <col min="50" max="50" width="11.6640625" customWidth="1"/>
    <col min="51" max="51" width="13.83203125" bestFit="1" customWidth="1"/>
    <col min="52" max="52" width="13.5" bestFit="1" customWidth="1"/>
    <col min="53" max="67" width="11.6640625" customWidth="1"/>
    <col min="68" max="68" width="11.5" bestFit="1" customWidth="1"/>
    <col min="69" max="78" width="11.6640625" customWidth="1"/>
    <col min="79" max="79" width="11.5" customWidth="1"/>
    <col min="80" max="82" width="11.5" bestFit="1" customWidth="1"/>
    <col min="83" max="83" width="23.6640625" bestFit="1" customWidth="1"/>
    <col min="84" max="84" width="10.5" bestFit="1" customWidth="1"/>
    <col min="85" max="86" width="11.5" bestFit="1" customWidth="1"/>
    <col min="87" max="87" width="12.5" bestFit="1" customWidth="1"/>
    <col min="88" max="88" width="11.5" bestFit="1" customWidth="1"/>
    <col min="89" max="89" width="11.6640625" customWidth="1"/>
    <col min="90" max="91" width="12.5" bestFit="1" customWidth="1"/>
  </cols>
  <sheetData>
    <row r="1" spans="1:22" ht="23.5" x14ac:dyDescent="0.55000000000000004">
      <c r="A1" s="89" t="s">
        <v>114</v>
      </c>
      <c r="V1" s="15"/>
    </row>
    <row r="2" spans="1:22" x14ac:dyDescent="0.35">
      <c r="V2" s="15"/>
    </row>
    <row r="3" spans="1:22" x14ac:dyDescent="0.35">
      <c r="C3" s="7"/>
      <c r="D3" s="1"/>
      <c r="V3" s="15"/>
    </row>
    <row r="4" spans="1:22" ht="21" x14ac:dyDescent="0.5">
      <c r="A4" s="82" t="s">
        <v>44</v>
      </c>
      <c r="C4" s="7"/>
      <c r="D4" s="1"/>
      <c r="V4" s="15"/>
    </row>
    <row r="5" spans="1:22" x14ac:dyDescent="0.35">
      <c r="A5" t="s">
        <v>166</v>
      </c>
      <c r="V5" s="15"/>
    </row>
    <row r="6" spans="1:22" x14ac:dyDescent="0.35">
      <c r="A6" t="s">
        <v>340</v>
      </c>
      <c r="C6" s="7"/>
      <c r="D6" s="1"/>
      <c r="V6" s="15"/>
    </row>
    <row r="7" spans="1:22" x14ac:dyDescent="0.35">
      <c r="A7" t="s">
        <v>341</v>
      </c>
      <c r="C7" s="7"/>
      <c r="D7" s="1"/>
      <c r="V7" s="15"/>
    </row>
    <row r="8" spans="1:22" x14ac:dyDescent="0.35">
      <c r="A8" t="s">
        <v>45</v>
      </c>
      <c r="C8" s="7"/>
      <c r="D8" s="1"/>
      <c r="V8" s="15"/>
    </row>
    <row r="9" spans="1:22" x14ac:dyDescent="0.35">
      <c r="A9" t="s">
        <v>112</v>
      </c>
      <c r="C9" s="7"/>
      <c r="D9" s="1"/>
      <c r="V9" s="15"/>
    </row>
    <row r="10" spans="1:22" x14ac:dyDescent="0.35">
      <c r="C10" s="7"/>
      <c r="D10" s="1"/>
      <c r="V10" s="15"/>
    </row>
    <row r="11" spans="1:22" ht="21" x14ac:dyDescent="0.5">
      <c r="A11" s="284" t="s">
        <v>305</v>
      </c>
      <c r="U11" s="15"/>
    </row>
    <row r="12" spans="1:22" x14ac:dyDescent="0.35">
      <c r="U12" s="15"/>
    </row>
    <row r="13" spans="1:22" x14ac:dyDescent="0.35">
      <c r="A13" s="11" t="s">
        <v>239</v>
      </c>
      <c r="B13" s="319" t="s">
        <v>303</v>
      </c>
      <c r="C13" s="301" t="s">
        <v>50</v>
      </c>
      <c r="D13" s="301" t="s">
        <v>51</v>
      </c>
      <c r="E13" s="301" t="s">
        <v>52</v>
      </c>
      <c r="G13" s="301"/>
      <c r="H13" s="301"/>
      <c r="I13" s="301"/>
      <c r="J13" s="301"/>
      <c r="U13" s="15"/>
    </row>
    <row r="14" spans="1:22" x14ac:dyDescent="0.35">
      <c r="B14" s="302" t="s">
        <v>82</v>
      </c>
      <c r="C14" s="286">
        <f>M86</f>
        <v>657</v>
      </c>
      <c r="D14" s="286">
        <f>W86</f>
        <v>1083</v>
      </c>
      <c r="E14" s="287">
        <f>AH86</f>
        <v>1754</v>
      </c>
      <c r="G14" s="48"/>
      <c r="H14" s="66"/>
      <c r="U14" s="15"/>
    </row>
    <row r="15" spans="1:22" x14ac:dyDescent="0.35">
      <c r="B15" s="302" t="s">
        <v>367</v>
      </c>
      <c r="C15" s="287">
        <f>M123</f>
        <v>441</v>
      </c>
      <c r="D15" s="287">
        <f t="shared" ref="D15:E15" si="0">N123</f>
        <v>765</v>
      </c>
      <c r="E15" s="287">
        <f t="shared" si="0"/>
        <v>1256</v>
      </c>
      <c r="U15" s="15"/>
    </row>
    <row r="16" spans="1:22" x14ac:dyDescent="0.35">
      <c r="B16" s="302" t="s">
        <v>368</v>
      </c>
      <c r="C16" s="287">
        <f>P123</f>
        <v>15</v>
      </c>
      <c r="D16" s="287">
        <f t="shared" ref="D16:E16" si="1">Q123</f>
        <v>25</v>
      </c>
      <c r="E16" s="287">
        <f t="shared" si="1"/>
        <v>40</v>
      </c>
      <c r="U16" s="15"/>
    </row>
    <row r="17" spans="1:21" x14ac:dyDescent="0.35">
      <c r="B17" s="302" t="s">
        <v>109</v>
      </c>
      <c r="C17" s="287">
        <f>SUM(N86,P123)</f>
        <v>110</v>
      </c>
      <c r="D17" s="287">
        <f>SUM(Y86,N86,T123)</f>
        <v>182</v>
      </c>
      <c r="E17" s="287">
        <f>SUM(N86,Y86,AJ86,U123)</f>
        <v>294</v>
      </c>
      <c r="U17" s="15"/>
    </row>
    <row r="18" spans="1:21" x14ac:dyDescent="0.35">
      <c r="B18" s="14"/>
      <c r="C18" s="1"/>
      <c r="D18" s="1"/>
      <c r="E18" s="1"/>
      <c r="U18" s="15"/>
    </row>
    <row r="19" spans="1:21" ht="21" x14ac:dyDescent="0.5">
      <c r="A19" s="284" t="s">
        <v>76</v>
      </c>
      <c r="B19" s="14"/>
      <c r="C19" s="1"/>
      <c r="D19" s="1"/>
      <c r="E19" s="1"/>
      <c r="U19" s="15"/>
    </row>
    <row r="20" spans="1:21" x14ac:dyDescent="0.35">
      <c r="B20" s="14"/>
      <c r="C20" s="1"/>
      <c r="D20" s="1"/>
      <c r="E20" s="1"/>
      <c r="U20" s="15"/>
    </row>
    <row r="21" spans="1:21" x14ac:dyDescent="0.35">
      <c r="A21" s="11" t="s">
        <v>306</v>
      </c>
      <c r="B21" s="14"/>
      <c r="C21" s="301" t="s">
        <v>50</v>
      </c>
      <c r="D21" s="301" t="s">
        <v>51</v>
      </c>
      <c r="E21" s="301" t="s">
        <v>52</v>
      </c>
      <c r="U21" s="15"/>
    </row>
    <row r="22" spans="1:21" x14ac:dyDescent="0.35">
      <c r="B22" s="302" t="s">
        <v>82</v>
      </c>
      <c r="C22" s="87">
        <f>AN86</f>
        <v>1543950</v>
      </c>
      <c r="D22" s="87">
        <f>AU86</f>
        <v>1021122</v>
      </c>
      <c r="E22" s="87">
        <f>BB86</f>
        <v>1640554.7400000002</v>
      </c>
      <c r="U22" s="15"/>
    </row>
    <row r="23" spans="1:21" x14ac:dyDescent="0.35">
      <c r="B23" s="302" t="s">
        <v>85</v>
      </c>
      <c r="C23" s="87">
        <f>SUM(Z120:AA120)</f>
        <v>2775000</v>
      </c>
      <c r="D23" s="87">
        <f>SUM(AG120:AH120)</f>
        <v>2000000</v>
      </c>
      <c r="E23" s="87">
        <f>SUM(AN120:AO120)</f>
        <v>3025000</v>
      </c>
      <c r="U23" s="15"/>
    </row>
    <row r="24" spans="1:21" x14ac:dyDescent="0.35">
      <c r="B24" s="302" t="s">
        <v>109</v>
      </c>
      <c r="C24" s="87">
        <f>AO86+AB120</f>
        <v>550000</v>
      </c>
      <c r="D24" s="87">
        <f>AV86+AI120</f>
        <v>360000</v>
      </c>
      <c r="E24" s="87">
        <f>BC86+AP120</f>
        <v>560000</v>
      </c>
      <c r="U24" s="15"/>
    </row>
    <row r="25" spans="1:21" x14ac:dyDescent="0.35">
      <c r="B25" s="26" t="s">
        <v>310</v>
      </c>
      <c r="C25" s="290">
        <f>SUM(C22:C24)</f>
        <v>4868950</v>
      </c>
      <c r="D25" s="290">
        <f t="shared" ref="D25:E25" si="2">SUM(D22:D24)</f>
        <v>3381122</v>
      </c>
      <c r="E25" s="290">
        <f t="shared" si="2"/>
        <v>5225554.74</v>
      </c>
      <c r="U25" s="15"/>
    </row>
    <row r="26" spans="1:21" x14ac:dyDescent="0.35">
      <c r="A26" s="11" t="s">
        <v>307</v>
      </c>
      <c r="B26" s="14"/>
      <c r="C26" s="1"/>
      <c r="D26" s="1"/>
      <c r="E26" s="1"/>
      <c r="U26" s="15"/>
    </row>
    <row r="27" spans="1:21" x14ac:dyDescent="0.35">
      <c r="A27" s="11"/>
      <c r="B27" s="302" t="s">
        <v>234</v>
      </c>
      <c r="C27" s="87">
        <f>C158</f>
        <v>190737.38159999999</v>
      </c>
      <c r="D27" s="87">
        <f t="shared" ref="D27:E27" si="3">D158</f>
        <v>319194.8224</v>
      </c>
      <c r="E27" s="87">
        <f t="shared" si="3"/>
        <v>518851.02919999999</v>
      </c>
      <c r="U27" s="15"/>
    </row>
    <row r="28" spans="1:21" x14ac:dyDescent="0.35">
      <c r="B28" s="302" t="s">
        <v>110</v>
      </c>
      <c r="C28" s="87">
        <f>C169</f>
        <v>2028000</v>
      </c>
      <c r="D28" s="87">
        <f>D169</f>
        <v>2088840</v>
      </c>
      <c r="E28" s="87">
        <f>E169</f>
        <v>2151505.2000000002</v>
      </c>
      <c r="U28" s="15"/>
    </row>
    <row r="29" spans="1:21" x14ac:dyDescent="0.35">
      <c r="B29" t="s">
        <v>363</v>
      </c>
      <c r="C29" s="87">
        <f>SUM(C159:C161)</f>
        <v>823421.07079266419</v>
      </c>
      <c r="D29" s="87">
        <f t="shared" ref="D29:E29" si="4">SUM(D159:D161)</f>
        <v>2467740.910344664</v>
      </c>
      <c r="E29" s="87">
        <f t="shared" si="4"/>
        <v>3568344.558760664</v>
      </c>
      <c r="U29" s="15"/>
    </row>
    <row r="30" spans="1:21" x14ac:dyDescent="0.35">
      <c r="B30" t="s">
        <v>311</v>
      </c>
      <c r="C30" s="87">
        <f>C151</f>
        <v>16826334.544866439</v>
      </c>
      <c r="D30" s="87">
        <f>D151</f>
        <v>0</v>
      </c>
      <c r="E30" s="87">
        <f>E151</f>
        <v>0</v>
      </c>
      <c r="U30" s="15"/>
    </row>
    <row r="31" spans="1:21" x14ac:dyDescent="0.35">
      <c r="B31" s="11" t="s">
        <v>309</v>
      </c>
      <c r="C31" s="290">
        <f>SUM(C27:C30)</f>
        <v>19868492.997259103</v>
      </c>
      <c r="D31" s="290">
        <f t="shared" ref="D31:E31" si="5">SUM(D27:D30)</f>
        <v>4875775.732744664</v>
      </c>
      <c r="E31" s="290">
        <f t="shared" si="5"/>
        <v>6238700.7879606634</v>
      </c>
      <c r="U31" s="15"/>
    </row>
    <row r="32" spans="1:21" x14ac:dyDescent="0.35">
      <c r="A32" s="314" t="s">
        <v>308</v>
      </c>
      <c r="B32" s="321">
        <f>SUM(C32:E32)</f>
        <v>44458596.257964432</v>
      </c>
      <c r="C32" s="313">
        <f>SUM(C25,C31)</f>
        <v>24737442.997259103</v>
      </c>
      <c r="D32" s="313">
        <f>SUM(D25,D31)</f>
        <v>8256897.732744664</v>
      </c>
      <c r="E32" s="313">
        <f>SUM(E25,E31)</f>
        <v>11464255.527960664</v>
      </c>
      <c r="U32" s="15"/>
    </row>
    <row r="33" spans="1:93" x14ac:dyDescent="0.35">
      <c r="C33" s="1"/>
      <c r="U33" s="15"/>
    </row>
    <row r="34" spans="1:93" x14ac:dyDescent="0.3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111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</row>
    <row r="35" spans="1:93" x14ac:dyDescent="0.35">
      <c r="C35" s="1"/>
      <c r="U35" s="15"/>
    </row>
    <row r="36" spans="1:93" ht="21" x14ac:dyDescent="0.5">
      <c r="A36" s="82" t="s">
        <v>82</v>
      </c>
      <c r="C36" s="1"/>
      <c r="U36" s="15"/>
    </row>
    <row r="37" spans="1:93" x14ac:dyDescent="0.35">
      <c r="C37" s="1"/>
      <c r="U37" s="15"/>
    </row>
    <row r="38" spans="1:93" ht="18.5" x14ac:dyDescent="0.45">
      <c r="A38" s="51" t="s">
        <v>342</v>
      </c>
      <c r="U38" s="15"/>
    </row>
    <row r="39" spans="1:93" ht="16" thickBot="1" x14ac:dyDescent="0.4">
      <c r="G39" s="27" t="s">
        <v>232</v>
      </c>
      <c r="H39" s="27"/>
      <c r="I39" s="27"/>
      <c r="J39" s="27"/>
      <c r="K39" s="27"/>
      <c r="L39" s="27"/>
      <c r="U39" s="15"/>
      <c r="AM39" t="s">
        <v>233</v>
      </c>
    </row>
    <row r="40" spans="1:93" ht="34" customHeight="1" thickBot="1" x14ac:dyDescent="0.4">
      <c r="A40" s="442" t="s">
        <v>357</v>
      </c>
      <c r="B40" s="442"/>
      <c r="C40" s="442"/>
      <c r="D40" s="442"/>
      <c r="E40" s="442"/>
      <c r="F40" s="15"/>
      <c r="G40" s="266" t="s">
        <v>50</v>
      </c>
      <c r="H40" s="263"/>
      <c r="I40" s="263"/>
      <c r="J40" s="263"/>
      <c r="K40" s="263"/>
      <c r="L40" s="263"/>
      <c r="M40" s="263"/>
      <c r="N40" s="263"/>
      <c r="O40" s="95"/>
      <c r="P40" s="105"/>
      <c r="Q40" s="266" t="s">
        <v>51</v>
      </c>
      <c r="R40" s="263"/>
      <c r="S40" s="263"/>
      <c r="T40" s="263"/>
      <c r="U40" s="263"/>
      <c r="V40" s="263"/>
      <c r="W40" s="263"/>
      <c r="X40" s="263"/>
      <c r="Y40" s="263"/>
      <c r="Z40" s="265"/>
      <c r="AA40" s="105"/>
      <c r="AB40" s="266" t="s">
        <v>52</v>
      </c>
      <c r="AC40" s="94"/>
      <c r="AD40" s="94"/>
      <c r="AE40" s="94"/>
      <c r="AF40" s="94"/>
      <c r="AG40" s="94"/>
      <c r="AH40" s="94"/>
      <c r="AI40" s="94"/>
      <c r="AJ40" s="94"/>
      <c r="AK40" s="95"/>
      <c r="AL40" s="105"/>
      <c r="AM40" s="254" t="s">
        <v>50</v>
      </c>
      <c r="AN40" s="99"/>
      <c r="AO40" s="99"/>
      <c r="AP40" s="99"/>
      <c r="AQ40" s="99"/>
      <c r="AR40" s="100"/>
      <c r="AT40" s="254" t="s">
        <v>51</v>
      </c>
      <c r="AU40" s="263"/>
      <c r="AV40" s="263"/>
      <c r="AW40" s="263"/>
      <c r="AX40" s="263"/>
      <c r="AY40" s="265"/>
      <c r="BA40" s="254" t="s">
        <v>52</v>
      </c>
      <c r="BB40" s="94"/>
      <c r="BC40" s="94"/>
      <c r="BD40" s="94"/>
      <c r="BE40" s="94"/>
      <c r="BF40" s="95"/>
      <c r="BI40" s="243" t="s">
        <v>217</v>
      </c>
      <c r="BJ40" s="243" t="s">
        <v>215</v>
      </c>
      <c r="BK40" s="195" t="s">
        <v>214</v>
      </c>
      <c r="BL40" s="170" t="s">
        <v>213</v>
      </c>
      <c r="BO40" s="298" t="s">
        <v>76</v>
      </c>
      <c r="BP40" s="299"/>
      <c r="BQ40" s="299"/>
      <c r="BR40" s="299"/>
      <c r="BS40" s="300"/>
    </row>
    <row r="41" spans="1:93" ht="51" customHeight="1" thickBot="1" x14ac:dyDescent="0.4">
      <c r="A41" s="46" t="s">
        <v>69</v>
      </c>
      <c r="B41" s="230"/>
      <c r="C41" s="231"/>
      <c r="D41" s="231"/>
      <c r="E41" s="232"/>
      <c r="F41" s="15"/>
      <c r="G41" s="418" t="s">
        <v>53</v>
      </c>
      <c r="H41" s="416" t="s">
        <v>55</v>
      </c>
      <c r="I41" s="417"/>
      <c r="J41" s="417"/>
      <c r="K41" s="417"/>
      <c r="L41" s="417"/>
      <c r="M41" s="423" t="s">
        <v>80</v>
      </c>
      <c r="N41" s="417" t="s">
        <v>57</v>
      </c>
      <c r="O41" s="420" t="s">
        <v>241</v>
      </c>
      <c r="P41" s="293"/>
      <c r="Q41" s="418" t="s">
        <v>53</v>
      </c>
      <c r="R41" s="417" t="s">
        <v>79</v>
      </c>
      <c r="S41" s="417"/>
      <c r="T41" s="417"/>
      <c r="U41" s="417"/>
      <c r="V41" s="417"/>
      <c r="W41" s="423" t="s">
        <v>104</v>
      </c>
      <c r="X41" s="423" t="s">
        <v>72</v>
      </c>
      <c r="Y41" s="423" t="s">
        <v>74</v>
      </c>
      <c r="Z41" s="420" t="s">
        <v>241</v>
      </c>
      <c r="AA41" s="293"/>
      <c r="AB41" s="418" t="s">
        <v>53</v>
      </c>
      <c r="AC41" s="416" t="s">
        <v>55</v>
      </c>
      <c r="AD41" s="417"/>
      <c r="AE41" s="417"/>
      <c r="AF41" s="417"/>
      <c r="AG41" s="417"/>
      <c r="AH41" s="423" t="s">
        <v>78</v>
      </c>
      <c r="AI41" s="423" t="s">
        <v>72</v>
      </c>
      <c r="AJ41" s="423" t="s">
        <v>74</v>
      </c>
      <c r="AK41" s="420" t="s">
        <v>241</v>
      </c>
      <c r="AL41" s="293"/>
      <c r="AM41" s="415" t="s">
        <v>53</v>
      </c>
      <c r="AN41" s="416" t="s">
        <v>56</v>
      </c>
      <c r="AO41" s="417" t="s">
        <v>58</v>
      </c>
      <c r="AP41" s="423" t="s">
        <v>242</v>
      </c>
      <c r="AQ41" s="423" t="s">
        <v>60</v>
      </c>
      <c r="AR41" s="420" t="s">
        <v>97</v>
      </c>
      <c r="AT41" s="418" t="s">
        <v>53</v>
      </c>
      <c r="AU41" s="423" t="s">
        <v>73</v>
      </c>
      <c r="AV41" s="423" t="s">
        <v>75</v>
      </c>
      <c r="AW41" s="423" t="s">
        <v>242</v>
      </c>
      <c r="AX41" s="423" t="s">
        <v>60</v>
      </c>
      <c r="AY41" s="420" t="s">
        <v>97</v>
      </c>
      <c r="BA41" s="418" t="s">
        <v>53</v>
      </c>
      <c r="BB41" s="423" t="s">
        <v>73</v>
      </c>
      <c r="BC41" s="423" t="s">
        <v>75</v>
      </c>
      <c r="BD41" s="423" t="s">
        <v>242</v>
      </c>
      <c r="BE41" s="423" t="s">
        <v>60</v>
      </c>
      <c r="BF41" s="420" t="s">
        <v>97</v>
      </c>
      <c r="BI41" s="433"/>
      <c r="BJ41" s="433"/>
      <c r="BK41" s="433"/>
      <c r="BL41" s="431"/>
      <c r="BO41" s="92"/>
      <c r="BP41" s="296" t="s">
        <v>50</v>
      </c>
      <c r="BQ41" s="296" t="s">
        <v>51</v>
      </c>
      <c r="BR41" s="296" t="s">
        <v>52</v>
      </c>
      <c r="BS41" s="292" t="s">
        <v>77</v>
      </c>
    </row>
    <row r="42" spans="1:93" ht="16" thickBot="1" x14ac:dyDescent="0.4">
      <c r="A42" s="35"/>
      <c r="B42" s="73" t="s">
        <v>164</v>
      </c>
      <c r="C42" s="209" t="s">
        <v>50</v>
      </c>
      <c r="D42" s="209" t="s">
        <v>51</v>
      </c>
      <c r="E42" s="210" t="s">
        <v>52</v>
      </c>
      <c r="F42" s="15"/>
      <c r="G42" s="415"/>
      <c r="H42" s="426" t="s">
        <v>163</v>
      </c>
      <c r="I42" s="427"/>
      <c r="J42" s="427"/>
      <c r="K42" s="427" t="s">
        <v>47</v>
      </c>
      <c r="L42" s="427" t="s">
        <v>31</v>
      </c>
      <c r="M42" s="424"/>
      <c r="N42" s="427"/>
      <c r="O42" s="421"/>
      <c r="P42" s="293"/>
      <c r="Q42" s="415"/>
      <c r="R42" s="427" t="s">
        <v>163</v>
      </c>
      <c r="S42" s="427"/>
      <c r="T42" s="427"/>
      <c r="U42" s="427" t="s">
        <v>47</v>
      </c>
      <c r="V42" s="427" t="s">
        <v>31</v>
      </c>
      <c r="W42" s="424"/>
      <c r="X42" s="424"/>
      <c r="Y42" s="424"/>
      <c r="Z42" s="421"/>
      <c r="AA42" s="293"/>
      <c r="AB42" s="415"/>
      <c r="AC42" s="426" t="s">
        <v>163</v>
      </c>
      <c r="AD42" s="427"/>
      <c r="AE42" s="427"/>
      <c r="AF42" s="427" t="s">
        <v>47</v>
      </c>
      <c r="AG42" s="427" t="s">
        <v>31</v>
      </c>
      <c r="AH42" s="424"/>
      <c r="AI42" s="424"/>
      <c r="AJ42" s="424"/>
      <c r="AK42" s="421"/>
      <c r="AL42" s="293"/>
      <c r="AM42" s="415"/>
      <c r="AN42" s="426"/>
      <c r="AO42" s="427"/>
      <c r="AP42" s="424"/>
      <c r="AQ42" s="424"/>
      <c r="AR42" s="421"/>
      <c r="AT42" s="415"/>
      <c r="AU42" s="424"/>
      <c r="AV42" s="424"/>
      <c r="AW42" s="424"/>
      <c r="AX42" s="424"/>
      <c r="AY42" s="421"/>
      <c r="BA42" s="415"/>
      <c r="BB42" s="424"/>
      <c r="BC42" s="424"/>
      <c r="BD42" s="424"/>
      <c r="BE42" s="424"/>
      <c r="BF42" s="421"/>
      <c r="BI42" s="431"/>
      <c r="BJ42" s="431"/>
      <c r="BK42" s="431"/>
      <c r="BL42" s="431"/>
      <c r="BO42" s="254" t="s">
        <v>91</v>
      </c>
      <c r="BP42" s="260">
        <f>AR45</f>
        <v>489929</v>
      </c>
      <c r="BQ42" s="260">
        <f>AY45</f>
        <v>90409</v>
      </c>
      <c r="BR42" s="260">
        <f>BF45</f>
        <v>304377.16000000003</v>
      </c>
      <c r="BS42" s="269">
        <f>SUM(BP42:BR42)</f>
        <v>884715.16</v>
      </c>
    </row>
    <row r="43" spans="1:93" ht="16" thickBot="1" x14ac:dyDescent="0.4">
      <c r="A43" s="35"/>
      <c r="B43" s="112" t="s">
        <v>48</v>
      </c>
      <c r="C43" s="138">
        <f>Storage!$E$11</f>
        <v>230400</v>
      </c>
      <c r="D43" s="138">
        <f>Storage!$E$11</f>
        <v>230400</v>
      </c>
      <c r="E43" s="141">
        <f>Storage!$E$11</f>
        <v>230400</v>
      </c>
      <c r="F43" s="15"/>
      <c r="G43" s="419"/>
      <c r="H43" s="267">
        <v>0.4</v>
      </c>
      <c r="I43" s="264">
        <v>0.6</v>
      </c>
      <c r="J43" s="264">
        <v>0.8</v>
      </c>
      <c r="K43" s="428"/>
      <c r="L43" s="428"/>
      <c r="M43" s="425"/>
      <c r="N43" s="428"/>
      <c r="O43" s="422"/>
      <c r="P43" s="293"/>
      <c r="Q43" s="419"/>
      <c r="R43" s="264">
        <v>0.4</v>
      </c>
      <c r="S43" s="264">
        <v>0.6</v>
      </c>
      <c r="T43" s="264">
        <v>0.8</v>
      </c>
      <c r="U43" s="428"/>
      <c r="V43" s="428"/>
      <c r="W43" s="425"/>
      <c r="X43" s="425"/>
      <c r="Y43" s="425"/>
      <c r="Z43" s="422"/>
      <c r="AA43" s="293"/>
      <c r="AB43" s="419"/>
      <c r="AC43" s="267">
        <v>0.4</v>
      </c>
      <c r="AD43" s="264">
        <v>0.6</v>
      </c>
      <c r="AE43" s="264">
        <v>0.8</v>
      </c>
      <c r="AF43" s="428"/>
      <c r="AG43" s="428"/>
      <c r="AH43" s="425"/>
      <c r="AI43" s="425"/>
      <c r="AJ43" s="425"/>
      <c r="AK43" s="422"/>
      <c r="AL43" s="293"/>
      <c r="AM43" s="415"/>
      <c r="AN43" s="429"/>
      <c r="AO43" s="428"/>
      <c r="AP43" s="425"/>
      <c r="AQ43" s="425"/>
      <c r="AR43" s="422"/>
      <c r="AT43" s="419"/>
      <c r="AU43" s="425"/>
      <c r="AV43" s="425"/>
      <c r="AW43" s="425"/>
      <c r="AX43" s="425"/>
      <c r="AY43" s="422"/>
      <c r="BA43" s="419"/>
      <c r="BB43" s="425"/>
      <c r="BC43" s="425"/>
      <c r="BD43" s="425"/>
      <c r="BE43" s="425"/>
      <c r="BF43" s="422"/>
      <c r="BI43" s="432"/>
      <c r="BJ43" s="432"/>
      <c r="BK43" s="432"/>
      <c r="BL43" s="432"/>
      <c r="BO43" s="92" t="s">
        <v>235</v>
      </c>
      <c r="BP43" s="270">
        <f>M45</f>
        <v>154</v>
      </c>
      <c r="BQ43" s="270">
        <f>X45</f>
        <v>0</v>
      </c>
      <c r="BR43" s="270">
        <f>AI45</f>
        <v>64</v>
      </c>
      <c r="BS43" s="215">
        <f>SUM(BP43:BR43)</f>
        <v>218</v>
      </c>
    </row>
    <row r="44" spans="1:93" x14ac:dyDescent="0.35">
      <c r="A44" s="35"/>
      <c r="B44" s="112" t="s">
        <v>146</v>
      </c>
      <c r="C44" s="138">
        <f>'CPU (Workload)'!$D$17</f>
        <v>8384.3812499999985</v>
      </c>
      <c r="D44" s="138">
        <f>'CPU (Workload)'!$D$19</f>
        <v>19868.499999999996</v>
      </c>
      <c r="E44" s="141">
        <f>'CPU (Workload)'!$D$21</f>
        <v>35323.174999999996</v>
      </c>
      <c r="F44" s="15"/>
      <c r="G44" s="235" t="s">
        <v>32</v>
      </c>
      <c r="H44" s="12">
        <f>ROUNDUP($C44/(gen_l_tps40/2),0)</f>
        <v>23</v>
      </c>
      <c r="I44" s="12">
        <f>ROUNDUP($C44/(gen_l_tps60/2),0)</f>
        <v>15</v>
      </c>
      <c r="J44" s="12">
        <f>ROUNDUP($C44/(gen_l_tps80/2),0)</f>
        <v>12</v>
      </c>
      <c r="K44" s="9">
        <f>ROUNDUP($C43/gen_l_disk,0)</f>
        <v>362</v>
      </c>
      <c r="L44" s="9">
        <f>ROUNDUP($C45/gen_l_bw,0)</f>
        <v>104</v>
      </c>
      <c r="M44" s="9">
        <f>MAX(J44:L44)</f>
        <v>362</v>
      </c>
      <c r="N44" s="9">
        <f>ROUNDUP(M44/gen_l_spr80,0)</f>
        <v>33</v>
      </c>
      <c r="O44" s="76">
        <f>ROUND(M44*gen_l_pow80*24*365,0)</f>
        <v>824491</v>
      </c>
      <c r="P44" s="67"/>
      <c r="Q44" s="235" t="s">
        <v>32</v>
      </c>
      <c r="R44" s="12">
        <f>ROUNDUP($D44/(gen_l_tps40/2),0)</f>
        <v>53</v>
      </c>
      <c r="S44" s="12">
        <f>ROUNDUP($D44/(gen_l_tps60/2),0)</f>
        <v>36</v>
      </c>
      <c r="T44" s="12">
        <f>ROUNDUP($D44/(gen_l_tps80/2),0)</f>
        <v>27</v>
      </c>
      <c r="U44" s="9">
        <f>ROUNDUP($D43/gen_l_disk,0)</f>
        <v>362</v>
      </c>
      <c r="V44" s="9">
        <f>ROUNDUP($D45/gen_l_bw,0)</f>
        <v>245</v>
      </c>
      <c r="W44" s="9">
        <f>MAX(T44:V44)</f>
        <v>362</v>
      </c>
      <c r="X44" s="9">
        <f>W44-M44</f>
        <v>0</v>
      </c>
      <c r="Y44" s="9">
        <f>ROUNDUP(X44/gen_l_spr80,0)</f>
        <v>0</v>
      </c>
      <c r="Z44" s="76">
        <f>ROUND((W44)*gen_l_pow80*24*365,0)</f>
        <v>824491</v>
      </c>
      <c r="AA44" s="67"/>
      <c r="AB44" s="235" t="s">
        <v>32</v>
      </c>
      <c r="AC44" s="12">
        <f>ROUNDUP($E44/(gen_l_tps40/2),0)</f>
        <v>95</v>
      </c>
      <c r="AD44" s="12">
        <f>ROUNDUP($E44/(gen_l_tps60/2),0)</f>
        <v>63</v>
      </c>
      <c r="AE44" s="12">
        <f>ROUNDUP($E44/(gen_l_tps80/2),0)</f>
        <v>48</v>
      </c>
      <c r="AF44" s="9">
        <f>ROUNDUP($E43/gen_l_disk,0)</f>
        <v>362</v>
      </c>
      <c r="AG44" s="9">
        <f>ROUNDUP($E45/gen_l_bw,0)</f>
        <v>435</v>
      </c>
      <c r="AH44" s="9">
        <f>MAX(AE44:AG44)</f>
        <v>435</v>
      </c>
      <c r="AI44" s="9">
        <f>AH44-W44</f>
        <v>73</v>
      </c>
      <c r="AJ44" s="9">
        <f>ROUNDUP(AI44/gen_l_spr80,0)</f>
        <v>7</v>
      </c>
      <c r="AK44" s="76">
        <f>ROUND((AH44)*gen_l_pow80*24*365,0)</f>
        <v>990756</v>
      </c>
      <c r="AL44" s="67"/>
      <c r="AM44" s="235" t="s">
        <v>32</v>
      </c>
      <c r="AN44" s="36">
        <f>M44*gen_l_cost</f>
        <v>307700</v>
      </c>
      <c r="AO44" s="36">
        <f>N44*rack_cost</f>
        <v>165000</v>
      </c>
      <c r="AP44" s="36">
        <f>ROUND(O44*kwh_cost,0)</f>
        <v>42379</v>
      </c>
      <c r="AQ44" s="36">
        <v>0</v>
      </c>
      <c r="AR44" s="72">
        <f>SUM(AN44,AO44,AP44)</f>
        <v>515079</v>
      </c>
      <c r="AT44" s="235" t="s">
        <v>32</v>
      </c>
      <c r="AU44" s="36">
        <f>X44*gen_l_cost*1.02</f>
        <v>0</v>
      </c>
      <c r="AV44" s="36">
        <f>Y44*rack_cost</f>
        <v>0</v>
      </c>
      <c r="AW44" s="36">
        <f>ROUND(Z44*kwh_cost,0)</f>
        <v>42379</v>
      </c>
      <c r="AX44" s="36">
        <f>AN44*hw_supt</f>
        <v>61540</v>
      </c>
      <c r="AY44" s="72">
        <f>SUM(AU44,AV44,AW44,AX44)</f>
        <v>103919</v>
      </c>
      <c r="BA44" s="235" t="s">
        <v>32</v>
      </c>
      <c r="BB44" s="36">
        <f>AI44*gen_l_cost*1.0404</f>
        <v>64556.82</v>
      </c>
      <c r="BC44" s="36">
        <f>AJ44*rack_cost</f>
        <v>35000</v>
      </c>
      <c r="BD44" s="36">
        <f>ROUND(AK44*kwh_cost,0)</f>
        <v>50925</v>
      </c>
      <c r="BE44" s="36">
        <f>(AN44+AU44)*hw_supt</f>
        <v>61540</v>
      </c>
      <c r="BF44" s="72">
        <f>SUM(BB44,BC44,BD44,BE44)</f>
        <v>212021.82</v>
      </c>
      <c r="BI44" s="188">
        <f>SUM(AH44)</f>
        <v>435</v>
      </c>
      <c r="BJ44" s="188">
        <f>SUM(AJ44,Y44,N44)</f>
        <v>40</v>
      </c>
      <c r="BK44" s="188">
        <f>SUM(AK44,Z44,O44)</f>
        <v>2639738</v>
      </c>
      <c r="BL44" s="245">
        <f>SUM(AR44,AY44,BF44)</f>
        <v>831019.82000000007</v>
      </c>
      <c r="BO44" s="235" t="s">
        <v>236</v>
      </c>
      <c r="BP44" s="9">
        <f>N45</f>
        <v>22</v>
      </c>
      <c r="BQ44" s="9">
        <f>Y45</f>
        <v>0</v>
      </c>
      <c r="BR44" s="9">
        <f>AJ45</f>
        <v>10</v>
      </c>
      <c r="BS44" s="188">
        <f t="shared" ref="BS44:BS45" si="6">SUM(BP44:BR44)</f>
        <v>32</v>
      </c>
    </row>
    <row r="45" spans="1:93" ht="16" thickBot="1" x14ac:dyDescent="0.4">
      <c r="A45" s="39"/>
      <c r="B45" s="113" t="s">
        <v>49</v>
      </c>
      <c r="C45" s="44">
        <f>Bandwidth!$N$7</f>
        <v>77.2704576</v>
      </c>
      <c r="D45" s="44">
        <f>Bandwidth!$N$9</f>
        <v>183.10809599999996</v>
      </c>
      <c r="E45" s="45">
        <f>Bandwidth!$N$11</f>
        <v>325.53838079999991</v>
      </c>
      <c r="F45" s="15"/>
      <c r="G45" s="93" t="s">
        <v>41</v>
      </c>
      <c r="H45" s="74">
        <f>ROUNDUP($C44/(gen_xl_tps40/2),0)</f>
        <v>10</v>
      </c>
      <c r="I45" s="74">
        <f>ROUNDUP($C44/(gen_xl_tps60),0)</f>
        <v>4</v>
      </c>
      <c r="J45" s="74">
        <f>ROUNDUP($C44/(gen_xl_tps80/2),0)</f>
        <v>5</v>
      </c>
      <c r="K45" s="69">
        <f>ROUNDUP($C43/gen_xl_disk,0)</f>
        <v>154</v>
      </c>
      <c r="L45" s="69">
        <f>ROUNDUP($C45/gen_xl_bw,0)</f>
        <v>52</v>
      </c>
      <c r="M45" s="69">
        <f>MAX(J45:L45)</f>
        <v>154</v>
      </c>
      <c r="N45" s="69">
        <f>ROUNDUP(M45/gen_xl_spr80,0)</f>
        <v>22</v>
      </c>
      <c r="O45" s="77">
        <f>ROUND(M45*gen_l_pow80*24*365,0)</f>
        <v>350750</v>
      </c>
      <c r="P45" s="67"/>
      <c r="Q45" s="93" t="s">
        <v>41</v>
      </c>
      <c r="R45" s="74">
        <f>ROUNDUP($D44/(gen_xl_tps40/2),0) - H45</f>
        <v>13</v>
      </c>
      <c r="S45" s="74">
        <f>ROUNDUP($D44/(gen_xl_tps60/2),0)</f>
        <v>15</v>
      </c>
      <c r="T45" s="74">
        <f>ROUNDUP($D44/(gen_xl_tps80/2),0)</f>
        <v>12</v>
      </c>
      <c r="U45" s="69">
        <f>ROUNDUP($D43/gen_xl_disk,0)</f>
        <v>154</v>
      </c>
      <c r="V45" s="69">
        <f>ROUNDUP($D45/gen_xl_bw,0)</f>
        <v>123</v>
      </c>
      <c r="W45" s="69">
        <f>MAX(T45:V45)</f>
        <v>154</v>
      </c>
      <c r="X45" s="69">
        <f>W45-M45</f>
        <v>0</v>
      </c>
      <c r="Y45" s="69">
        <f>ROUNDUP(X45/gen_xl_spr80,0)</f>
        <v>0</v>
      </c>
      <c r="Z45" s="77">
        <f>ROUND((W45)*gen_l_pow80*24*365,0)</f>
        <v>350750</v>
      </c>
      <c r="AA45" s="67"/>
      <c r="AB45" s="93" t="s">
        <v>41</v>
      </c>
      <c r="AC45" s="74">
        <f>ROUNDUP($E44/(gen_xl_tps40/2),0)</f>
        <v>40</v>
      </c>
      <c r="AD45" s="74">
        <f>ROUNDUP($E44/(gen_xl_tps60/2),0)</f>
        <v>27</v>
      </c>
      <c r="AE45" s="74">
        <f>ROUNDUP($E44/(gen_xl_tps80/2),0)</f>
        <v>20</v>
      </c>
      <c r="AF45" s="69">
        <f>ROUNDUP($E43/gen_xl_disk,0)</f>
        <v>154</v>
      </c>
      <c r="AG45" s="69">
        <f>ROUNDUP($E45/gen_xl_bw,0)</f>
        <v>218</v>
      </c>
      <c r="AH45" s="69">
        <f>MAX(AE45:AG45)</f>
        <v>218</v>
      </c>
      <c r="AI45" s="69">
        <f>AH45-W45</f>
        <v>64</v>
      </c>
      <c r="AJ45" s="69">
        <f>ROUNDUP(AI45/gen_xl_spr80,0)</f>
        <v>10</v>
      </c>
      <c r="AK45" s="77">
        <f>ROUND((AH45)*gen_l_pow80*24*365,0)</f>
        <v>496517</v>
      </c>
      <c r="AL45" s="67"/>
      <c r="AM45" s="93" t="s">
        <v>41</v>
      </c>
      <c r="AN45" s="75">
        <f>M45*gen_xl_cost</f>
        <v>361900</v>
      </c>
      <c r="AO45" s="75">
        <f>N45*rack_cost</f>
        <v>110000</v>
      </c>
      <c r="AP45" s="75">
        <f>ROUND(O45*kwh_cost,0)</f>
        <v>18029</v>
      </c>
      <c r="AQ45" s="75">
        <v>0</v>
      </c>
      <c r="AR45" s="320">
        <f>SUM(AN45,AO45,AP45)</f>
        <v>489929</v>
      </c>
      <c r="AT45" s="93" t="s">
        <v>41</v>
      </c>
      <c r="AU45" s="75">
        <f>X45*gen_xl_cost*1.02</f>
        <v>0</v>
      </c>
      <c r="AV45" s="75">
        <f>Y45*rack_cost</f>
        <v>0</v>
      </c>
      <c r="AW45" s="75">
        <f>ROUND(Z45*kwh_cost,0)</f>
        <v>18029</v>
      </c>
      <c r="AX45" s="75">
        <f>AN45*hw_supt</f>
        <v>72380</v>
      </c>
      <c r="AY45" s="320">
        <f>SUM(AU45,AV45,AW45,AX45)</f>
        <v>90409</v>
      </c>
      <c r="BA45" s="93" t="s">
        <v>41</v>
      </c>
      <c r="BB45" s="75">
        <f>AI45*gen_xl_cost*1.0404</f>
        <v>156476.16</v>
      </c>
      <c r="BC45" s="75">
        <f>AJ45*rack_cost</f>
        <v>50000</v>
      </c>
      <c r="BD45" s="75">
        <f>ROUND(AK45*kwh_cost,0)</f>
        <v>25521</v>
      </c>
      <c r="BE45" s="75">
        <f>(AN45+AU45)*hw_supt</f>
        <v>72380</v>
      </c>
      <c r="BF45" s="320">
        <f>SUM(BB45,BC45,BD45,BE45)</f>
        <v>304377.16000000003</v>
      </c>
      <c r="BI45" s="189">
        <f>SUM(AH45)</f>
        <v>218</v>
      </c>
      <c r="BJ45" s="189">
        <f>SUM(AJ45,Y45,N45)</f>
        <v>32</v>
      </c>
      <c r="BK45" s="189">
        <f>SUM(AK45,Z45,O45)</f>
        <v>1198017</v>
      </c>
      <c r="BL45" s="246">
        <f>SUM(AR45,AY45,BF45)</f>
        <v>884715.16</v>
      </c>
      <c r="BM45" t="s">
        <v>216</v>
      </c>
      <c r="BO45" s="93" t="s">
        <v>234</v>
      </c>
      <c r="BP45" s="69">
        <f>O45</f>
        <v>350750</v>
      </c>
      <c r="BQ45" s="69">
        <f>Z45</f>
        <v>350750</v>
      </c>
      <c r="BR45" s="69">
        <f>AK45</f>
        <v>496517</v>
      </c>
      <c r="BS45" s="189">
        <f t="shared" si="6"/>
        <v>1198017</v>
      </c>
    </row>
    <row r="46" spans="1:93" x14ac:dyDescent="0.35">
      <c r="F46" s="15"/>
      <c r="AA46" s="15"/>
      <c r="BP46" s="28"/>
    </row>
    <row r="47" spans="1:93" x14ac:dyDescent="0.35">
      <c r="F47" s="15"/>
      <c r="AA47" s="15"/>
    </row>
    <row r="48" spans="1:93" ht="18.5" x14ac:dyDescent="0.45">
      <c r="A48" s="51" t="s">
        <v>313</v>
      </c>
      <c r="F48" s="15"/>
      <c r="AA48" s="15"/>
    </row>
    <row r="49" spans="1:71" ht="16" thickBot="1" x14ac:dyDescent="0.4">
      <c r="F49" s="15"/>
      <c r="AA49" s="15"/>
    </row>
    <row r="50" spans="1:71" ht="34" customHeight="1" thickBot="1" x14ac:dyDescent="0.4">
      <c r="A50" s="437" t="s">
        <v>343</v>
      </c>
      <c r="B50" s="437"/>
      <c r="C50" s="437"/>
      <c r="D50" s="437"/>
      <c r="E50" s="437"/>
      <c r="F50" s="15"/>
      <c r="G50" s="266" t="s">
        <v>50</v>
      </c>
      <c r="H50" s="263"/>
      <c r="I50" s="263"/>
      <c r="J50" s="263"/>
      <c r="K50" s="263"/>
      <c r="L50" s="263"/>
      <c r="M50" s="263"/>
      <c r="N50" s="263"/>
      <c r="O50" s="265"/>
      <c r="P50" s="105"/>
      <c r="Q50" s="266" t="s">
        <v>51</v>
      </c>
      <c r="R50" s="263"/>
      <c r="S50" s="263"/>
      <c r="T50" s="263"/>
      <c r="U50" s="263"/>
      <c r="V50" s="263"/>
      <c r="W50" s="263"/>
      <c r="X50" s="263"/>
      <c r="Y50" s="263"/>
      <c r="Z50" s="265"/>
      <c r="AA50" s="105"/>
      <c r="AB50" s="266" t="s">
        <v>52</v>
      </c>
      <c r="AC50" s="263"/>
      <c r="AD50" s="263"/>
      <c r="AE50" s="263"/>
      <c r="AF50" s="263"/>
      <c r="AG50" s="263"/>
      <c r="AH50" s="263"/>
      <c r="AI50" s="263"/>
      <c r="AJ50" s="263"/>
      <c r="AK50" s="265"/>
      <c r="AL50" s="105"/>
      <c r="AM50" s="254" t="s">
        <v>50</v>
      </c>
      <c r="AN50" s="99"/>
      <c r="AO50" s="99"/>
      <c r="AP50" s="99"/>
      <c r="AQ50" s="99"/>
      <c r="AR50" s="100"/>
      <c r="AT50" s="254" t="s">
        <v>51</v>
      </c>
      <c r="AU50" s="96"/>
      <c r="AV50" s="96"/>
      <c r="AW50" s="96"/>
      <c r="AX50" s="96"/>
      <c r="AY50" s="97"/>
      <c r="BA50" s="254" t="s">
        <v>52</v>
      </c>
      <c r="BB50" s="96"/>
      <c r="BC50" s="96"/>
      <c r="BD50" s="96"/>
      <c r="BE50" s="96"/>
      <c r="BF50" s="97"/>
      <c r="BI50" s="243" t="s">
        <v>217</v>
      </c>
      <c r="BJ50" s="243" t="s">
        <v>215</v>
      </c>
      <c r="BK50" s="195" t="s">
        <v>214</v>
      </c>
      <c r="BL50" s="170" t="s">
        <v>213</v>
      </c>
      <c r="BO50" s="298" t="s">
        <v>76</v>
      </c>
      <c r="BP50" s="299"/>
      <c r="BQ50" s="299"/>
      <c r="BR50" s="299"/>
      <c r="BS50" s="300"/>
    </row>
    <row r="51" spans="1:71" ht="51" customHeight="1" thickBot="1" x14ac:dyDescent="0.4">
      <c r="A51" s="46" t="s">
        <v>62</v>
      </c>
      <c r="B51" s="41"/>
      <c r="C51" s="42"/>
      <c r="D51" s="42"/>
      <c r="E51" s="43"/>
      <c r="F51" s="15"/>
      <c r="G51" s="418" t="s">
        <v>53</v>
      </c>
      <c r="H51" s="416" t="s">
        <v>55</v>
      </c>
      <c r="I51" s="417"/>
      <c r="J51" s="417"/>
      <c r="K51" s="417"/>
      <c r="L51" s="417"/>
      <c r="M51" s="423" t="s">
        <v>80</v>
      </c>
      <c r="N51" s="417" t="s">
        <v>57</v>
      </c>
      <c r="O51" s="420" t="s">
        <v>241</v>
      </c>
      <c r="P51" s="293"/>
      <c r="Q51" s="418" t="s">
        <v>53</v>
      </c>
      <c r="R51" s="417" t="s">
        <v>79</v>
      </c>
      <c r="S51" s="417"/>
      <c r="T51" s="417"/>
      <c r="U51" s="417"/>
      <c r="V51" s="417"/>
      <c r="W51" s="423" t="s">
        <v>104</v>
      </c>
      <c r="X51" s="423" t="s">
        <v>72</v>
      </c>
      <c r="Y51" s="423" t="s">
        <v>74</v>
      </c>
      <c r="Z51" s="420" t="s">
        <v>241</v>
      </c>
      <c r="AA51" s="293"/>
      <c r="AB51" s="418" t="s">
        <v>53</v>
      </c>
      <c r="AC51" s="416" t="s">
        <v>55</v>
      </c>
      <c r="AD51" s="417"/>
      <c r="AE51" s="417"/>
      <c r="AF51" s="417"/>
      <c r="AG51" s="417"/>
      <c r="AH51" s="423" t="s">
        <v>78</v>
      </c>
      <c r="AI51" s="423" t="s">
        <v>72</v>
      </c>
      <c r="AJ51" s="423" t="s">
        <v>74</v>
      </c>
      <c r="AK51" s="420" t="s">
        <v>241</v>
      </c>
      <c r="AL51" s="293"/>
      <c r="AM51" s="418" t="s">
        <v>53</v>
      </c>
      <c r="AN51" s="416" t="s">
        <v>56</v>
      </c>
      <c r="AO51" s="417" t="s">
        <v>58</v>
      </c>
      <c r="AP51" s="423" t="s">
        <v>242</v>
      </c>
      <c r="AQ51" s="423" t="s">
        <v>60</v>
      </c>
      <c r="AR51" s="420" t="s">
        <v>97</v>
      </c>
      <c r="AT51" s="418" t="s">
        <v>53</v>
      </c>
      <c r="AU51" s="423" t="s">
        <v>73</v>
      </c>
      <c r="AV51" s="423" t="s">
        <v>75</v>
      </c>
      <c r="AW51" s="423" t="s">
        <v>242</v>
      </c>
      <c r="AX51" s="423" t="s">
        <v>60</v>
      </c>
      <c r="AY51" s="420" t="s">
        <v>97</v>
      </c>
      <c r="BA51" s="418" t="s">
        <v>53</v>
      </c>
      <c r="BB51" s="423" t="s">
        <v>73</v>
      </c>
      <c r="BC51" s="423" t="s">
        <v>75</v>
      </c>
      <c r="BD51" s="423" t="s">
        <v>242</v>
      </c>
      <c r="BE51" s="423" t="s">
        <v>60</v>
      </c>
      <c r="BF51" s="420" t="s">
        <v>97</v>
      </c>
      <c r="BI51" s="433"/>
      <c r="BJ51" s="433"/>
      <c r="BK51" s="433"/>
      <c r="BL51" s="433"/>
      <c r="BO51" s="92"/>
      <c r="BP51" s="296" t="s">
        <v>50</v>
      </c>
      <c r="BQ51" s="296" t="s">
        <v>51</v>
      </c>
      <c r="BR51" s="296" t="s">
        <v>52</v>
      </c>
      <c r="BS51" s="292" t="s">
        <v>77</v>
      </c>
    </row>
    <row r="52" spans="1:71" ht="16" thickBot="1" x14ac:dyDescent="0.4">
      <c r="A52" s="35"/>
      <c r="B52" s="35" t="s">
        <v>164</v>
      </c>
      <c r="C52" s="15" t="s">
        <v>50</v>
      </c>
      <c r="D52" s="15" t="s">
        <v>51</v>
      </c>
      <c r="E52" s="38" t="s">
        <v>52</v>
      </c>
      <c r="F52" s="15"/>
      <c r="G52" s="415"/>
      <c r="H52" s="426" t="s">
        <v>163</v>
      </c>
      <c r="I52" s="427"/>
      <c r="J52" s="427"/>
      <c r="K52" s="427" t="s">
        <v>47</v>
      </c>
      <c r="L52" s="427" t="s">
        <v>31</v>
      </c>
      <c r="M52" s="424"/>
      <c r="N52" s="427"/>
      <c r="O52" s="421"/>
      <c r="P52" s="293"/>
      <c r="Q52" s="415"/>
      <c r="R52" s="427" t="s">
        <v>163</v>
      </c>
      <c r="S52" s="427"/>
      <c r="T52" s="427"/>
      <c r="U52" s="427" t="s">
        <v>47</v>
      </c>
      <c r="V52" s="427" t="s">
        <v>31</v>
      </c>
      <c r="W52" s="424"/>
      <c r="X52" s="424"/>
      <c r="Y52" s="424"/>
      <c r="Z52" s="421"/>
      <c r="AA52" s="293"/>
      <c r="AB52" s="415"/>
      <c r="AC52" s="426" t="s">
        <v>163</v>
      </c>
      <c r="AD52" s="427"/>
      <c r="AE52" s="427"/>
      <c r="AF52" s="427" t="s">
        <v>47</v>
      </c>
      <c r="AG52" s="427" t="s">
        <v>31</v>
      </c>
      <c r="AH52" s="424"/>
      <c r="AI52" s="424"/>
      <c r="AJ52" s="424"/>
      <c r="AK52" s="421"/>
      <c r="AL52" s="293"/>
      <c r="AM52" s="415"/>
      <c r="AN52" s="426"/>
      <c r="AO52" s="427"/>
      <c r="AP52" s="424"/>
      <c r="AQ52" s="424"/>
      <c r="AR52" s="421"/>
      <c r="AT52" s="415"/>
      <c r="AU52" s="424"/>
      <c r="AV52" s="424"/>
      <c r="AW52" s="424"/>
      <c r="AX52" s="424"/>
      <c r="AY52" s="421"/>
      <c r="BA52" s="415"/>
      <c r="BB52" s="424"/>
      <c r="BC52" s="424"/>
      <c r="BD52" s="424"/>
      <c r="BE52" s="424"/>
      <c r="BF52" s="421"/>
      <c r="BI52" s="431"/>
      <c r="BJ52" s="431"/>
      <c r="BK52" s="431"/>
      <c r="BL52" s="431"/>
      <c r="BO52" s="254" t="s">
        <v>91</v>
      </c>
      <c r="BP52" s="260">
        <f>AR55</f>
        <v>613677</v>
      </c>
      <c r="BQ52" s="260">
        <f>AY55</f>
        <v>112717</v>
      </c>
      <c r="BR52" s="260">
        <f>BF55</f>
        <v>227387.9</v>
      </c>
      <c r="BS52" s="269">
        <f>SUM(BP52:BR52)</f>
        <v>953781.9</v>
      </c>
    </row>
    <row r="53" spans="1:71" ht="16" thickBot="1" x14ac:dyDescent="0.4">
      <c r="A53" s="35"/>
      <c r="B53" s="112" t="s">
        <v>48</v>
      </c>
      <c r="C53" s="138">
        <f>Storage!$E$15</f>
        <v>288000</v>
      </c>
      <c r="D53" s="138">
        <f>Storage!$E$15</f>
        <v>288000</v>
      </c>
      <c r="E53" s="141">
        <f>Storage!$E$15</f>
        <v>288000</v>
      </c>
      <c r="F53" s="15"/>
      <c r="G53" s="419"/>
      <c r="H53" s="267">
        <v>0.4</v>
      </c>
      <c r="I53" s="264">
        <v>0.6</v>
      </c>
      <c r="J53" s="264">
        <v>0.8</v>
      </c>
      <c r="K53" s="428"/>
      <c r="L53" s="428"/>
      <c r="M53" s="425"/>
      <c r="N53" s="428"/>
      <c r="O53" s="422"/>
      <c r="P53" s="293"/>
      <c r="Q53" s="419"/>
      <c r="R53" s="264">
        <v>0.4</v>
      </c>
      <c r="S53" s="264">
        <v>0.6</v>
      </c>
      <c r="T53" s="264">
        <v>0.8</v>
      </c>
      <c r="U53" s="428"/>
      <c r="V53" s="428"/>
      <c r="W53" s="425"/>
      <c r="X53" s="425"/>
      <c r="Y53" s="425"/>
      <c r="Z53" s="422"/>
      <c r="AA53" s="293"/>
      <c r="AB53" s="419"/>
      <c r="AC53" s="267">
        <v>0.4</v>
      </c>
      <c r="AD53" s="264">
        <v>0.6</v>
      </c>
      <c r="AE53" s="264">
        <v>0.8</v>
      </c>
      <c r="AF53" s="428"/>
      <c r="AG53" s="428"/>
      <c r="AH53" s="425"/>
      <c r="AI53" s="425"/>
      <c r="AJ53" s="425"/>
      <c r="AK53" s="422"/>
      <c r="AL53" s="293"/>
      <c r="AM53" s="415"/>
      <c r="AN53" s="429"/>
      <c r="AO53" s="428"/>
      <c r="AP53" s="425"/>
      <c r="AQ53" s="425"/>
      <c r="AR53" s="422"/>
      <c r="AT53" s="419"/>
      <c r="AU53" s="425"/>
      <c r="AV53" s="425"/>
      <c r="AW53" s="425"/>
      <c r="AX53" s="425"/>
      <c r="AY53" s="422"/>
      <c r="BA53" s="419"/>
      <c r="BB53" s="425"/>
      <c r="BC53" s="425"/>
      <c r="BD53" s="425"/>
      <c r="BE53" s="425"/>
      <c r="BF53" s="422"/>
      <c r="BI53" s="432"/>
      <c r="BJ53" s="432"/>
      <c r="BK53" s="432"/>
      <c r="BL53" s="432"/>
      <c r="BO53" s="92" t="s">
        <v>235</v>
      </c>
      <c r="BP53" s="270">
        <f>M55</f>
        <v>192</v>
      </c>
      <c r="BQ53" s="270">
        <f>X55</f>
        <v>0</v>
      </c>
      <c r="BR53" s="270">
        <f>AI55</f>
        <v>35</v>
      </c>
      <c r="BS53" s="215">
        <f>SUM(BP53:BR53)</f>
        <v>227</v>
      </c>
    </row>
    <row r="54" spans="1:71" ht="17" customHeight="1" x14ac:dyDescent="0.35">
      <c r="A54" s="35"/>
      <c r="B54" s="112" t="s">
        <v>146</v>
      </c>
      <c r="C54" s="138">
        <f>'CPU (Workload)'!$E$17</f>
        <v>1397.3968749999999</v>
      </c>
      <c r="D54" s="138">
        <f>'CPU (Workload)'!$E$19</f>
        <v>3311.4166666666665</v>
      </c>
      <c r="E54" s="141">
        <f>'CPU (Workload)'!$E$21</f>
        <v>5887.1958333333332</v>
      </c>
      <c r="F54" s="15"/>
      <c r="G54" s="235" t="s">
        <v>32</v>
      </c>
      <c r="H54" s="12">
        <f>ROUNDUP($C54/(gen_l_tps40/2),0)</f>
        <v>4</v>
      </c>
      <c r="I54" s="12">
        <f>ROUNDUP($C54/(gen_l_tps60/2),0)</f>
        <v>3</v>
      </c>
      <c r="J54" s="12">
        <f>ROUNDUP($C54/(gen_l_tps80/2),0)</f>
        <v>2</v>
      </c>
      <c r="K54" s="9">
        <f>ROUNDUP($C53/gen_l_disk,0)</f>
        <v>452</v>
      </c>
      <c r="L54" s="9">
        <f>ROUNDUP($C55/gen_l_bw,0)</f>
        <v>108</v>
      </c>
      <c r="M54" s="9">
        <f>MAX(J54:L54)</f>
        <v>452</v>
      </c>
      <c r="N54" s="9">
        <f>ROUNDUP(M54/gen_l_spr80,0)</f>
        <v>42</v>
      </c>
      <c r="O54" s="76">
        <f>ROUND(M54*gen_l_pow80*24*365,0)</f>
        <v>1029475</v>
      </c>
      <c r="P54" s="67"/>
      <c r="Q54" s="235" t="s">
        <v>32</v>
      </c>
      <c r="R54" s="12">
        <f>ROUNDUP($D54/(gen_l_tps40),0)</f>
        <v>5</v>
      </c>
      <c r="S54" s="12">
        <f>ROUNDUP($D54/(gen_l_tps60),0)</f>
        <v>3</v>
      </c>
      <c r="T54" s="12">
        <f>ROUNDUP($D54/(gen_l_tps80),0)</f>
        <v>3</v>
      </c>
      <c r="U54" s="9">
        <f>ROUNDUP($D53/gen_l_disk,0)</f>
        <v>452</v>
      </c>
      <c r="V54" s="9">
        <f>ROUNDUP($D55/gen_l_bw,0)</f>
        <v>255</v>
      </c>
      <c r="W54" s="9">
        <f>MAX(T54:V54)</f>
        <v>452</v>
      </c>
      <c r="X54" s="9">
        <f>W54-M54</f>
        <v>0</v>
      </c>
      <c r="Y54" s="9">
        <f>ROUNDUP(X54/gen_l_spr80,0)</f>
        <v>0</v>
      </c>
      <c r="Z54" s="76">
        <f>ROUND((W54)*gen_l_pow80*24*365,0)</f>
        <v>1029475</v>
      </c>
      <c r="AA54" s="67"/>
      <c r="AB54" s="235" t="s">
        <v>32</v>
      </c>
      <c r="AC54" s="12">
        <f>ROUNDUP($E54/(gen_l_tps40),0)</f>
        <v>8</v>
      </c>
      <c r="AD54" s="12">
        <f>ROUNDUP($E54/(gen_l_tps60),0)</f>
        <v>6</v>
      </c>
      <c r="AE54" s="12">
        <f>ROUNDUP($E54/(gen_l_tps80),0)</f>
        <v>4</v>
      </c>
      <c r="AF54" s="9">
        <f>ROUNDUP($E53/gen_l_disk,0)</f>
        <v>452</v>
      </c>
      <c r="AG54" s="9">
        <f>ROUNDUP($E55/gen_l_bw,0)</f>
        <v>453</v>
      </c>
      <c r="AH54" s="9">
        <f>MAX(AE54:AG54)</f>
        <v>453</v>
      </c>
      <c r="AI54" s="9">
        <f>AH54-W54</f>
        <v>1</v>
      </c>
      <c r="AJ54" s="9">
        <f>ROUNDUP(AI54/gen_l_spr80,0)</f>
        <v>1</v>
      </c>
      <c r="AK54" s="76">
        <f>ROUND((AH54)*gen_l_pow80*24*365,0)</f>
        <v>1031753</v>
      </c>
      <c r="AL54" s="67"/>
      <c r="AM54" s="235" t="s">
        <v>32</v>
      </c>
      <c r="AN54" s="36">
        <f>M54*gen_l_cost</f>
        <v>384200</v>
      </c>
      <c r="AO54" s="36">
        <f>N54*rack_cost</f>
        <v>210000</v>
      </c>
      <c r="AP54" s="36">
        <f>ROUND(O54*kwh_cost,0)</f>
        <v>52915</v>
      </c>
      <c r="AQ54" s="36">
        <v>0</v>
      </c>
      <c r="AR54" s="72">
        <f>SUM(AN54,AO54,AP54)</f>
        <v>647115</v>
      </c>
      <c r="AT54" s="235" t="s">
        <v>32</v>
      </c>
      <c r="AU54" s="36">
        <f>X54*gen_l_cost*1.02</f>
        <v>0</v>
      </c>
      <c r="AV54" s="36">
        <f>Y54*rack_cost</f>
        <v>0</v>
      </c>
      <c r="AW54" s="36">
        <f>ROUND(Z54*kwh_cost,0)</f>
        <v>52915</v>
      </c>
      <c r="AX54" s="36">
        <f>AN54*hw_supt</f>
        <v>76840</v>
      </c>
      <c r="AY54" s="72">
        <f>SUM(AU54,AV54,AW54,AX54)</f>
        <v>129755</v>
      </c>
      <c r="BA54" s="235" t="s">
        <v>32</v>
      </c>
      <c r="BB54" s="36">
        <f>AI54*gen_l_cost*1.0404</f>
        <v>884.34</v>
      </c>
      <c r="BC54" s="36">
        <f>AJ54*rack_cost</f>
        <v>5000</v>
      </c>
      <c r="BD54" s="36">
        <f>ROUND(AK54*kwh_cost,0)</f>
        <v>53032</v>
      </c>
      <c r="BE54" s="36">
        <f>(AN54+AU54)*hw_supt</f>
        <v>76840</v>
      </c>
      <c r="BF54" s="37">
        <f>SUM(BB54,BC54,BD54,BE54)</f>
        <v>135756.34</v>
      </c>
      <c r="BI54" s="188">
        <f>SUM(AH54)</f>
        <v>453</v>
      </c>
      <c r="BJ54" s="188">
        <f>SUM(AJ54,Y54,N54)</f>
        <v>43</v>
      </c>
      <c r="BK54" s="188">
        <f>SUM(AK54,Z54,O54)</f>
        <v>3090703</v>
      </c>
      <c r="BL54" s="245">
        <f>SUM(AR54,AY54,BF54)</f>
        <v>912626.34</v>
      </c>
      <c r="BO54" s="235" t="s">
        <v>236</v>
      </c>
      <c r="BP54" s="9">
        <f>N55</f>
        <v>28</v>
      </c>
      <c r="BQ54" s="9">
        <f>Y55</f>
        <v>0</v>
      </c>
      <c r="BR54" s="9">
        <f>AJ55</f>
        <v>5</v>
      </c>
      <c r="BS54" s="188">
        <f t="shared" ref="BS54:BS55" si="7">SUM(BP54:BR54)</f>
        <v>33</v>
      </c>
    </row>
    <row r="55" spans="1:71" ht="16" thickBot="1" x14ac:dyDescent="0.4">
      <c r="A55" s="39"/>
      <c r="B55" s="113" t="s">
        <v>49</v>
      </c>
      <c r="C55" s="142">
        <f>Bandwidth!$O$17</f>
        <v>80.490059999999986</v>
      </c>
      <c r="D55" s="142">
        <f>Bandwidth!$O$19</f>
        <v>190.73759999999999</v>
      </c>
      <c r="E55" s="143">
        <f>Bandwidth!$O$21</f>
        <v>339.10247999999996</v>
      </c>
      <c r="F55" s="15"/>
      <c r="G55" s="93" t="s">
        <v>41</v>
      </c>
      <c r="H55" s="74">
        <f>ROUNDUP($C54/(gen_xl_tps40/2),0)</f>
        <v>2</v>
      </c>
      <c r="I55" s="74">
        <f>ROUNDUP($C54/(gen_xl_tps60/2),0)</f>
        <v>2</v>
      </c>
      <c r="J55" s="74">
        <f>ROUNDUP($C54/(gen_xl_tps80/2),0)</f>
        <v>1</v>
      </c>
      <c r="K55" s="69">
        <f>ROUNDUP($C53/gen_xl_disk,0)</f>
        <v>192</v>
      </c>
      <c r="L55" s="69">
        <f>ROUNDUP($C55/gen_xl_bw,0)</f>
        <v>54</v>
      </c>
      <c r="M55" s="69">
        <f>MAX(J55:L55)</f>
        <v>192</v>
      </c>
      <c r="N55" s="69">
        <f>ROUNDUP(M55/gen_xl_spr80,0)</f>
        <v>28</v>
      </c>
      <c r="O55" s="77">
        <f>ROUND(M55*gen_l_pow80*24*365,0)</f>
        <v>437299</v>
      </c>
      <c r="P55" s="67"/>
      <c r="Q55" s="93" t="s">
        <v>41</v>
      </c>
      <c r="R55" s="74">
        <f>ROUNDUP($D54/(gen_xl_tps40),0) - H55</f>
        <v>0</v>
      </c>
      <c r="S55" s="74">
        <f>ROUNDUP($D54/(gen_xl_tps60),0)</f>
        <v>2</v>
      </c>
      <c r="T55" s="74">
        <f>ROUNDUP($D54/(gen_xl_tps80),0)</f>
        <v>1</v>
      </c>
      <c r="U55" s="69">
        <f>ROUNDUP($D53/gen_xl_disk,0)</f>
        <v>192</v>
      </c>
      <c r="V55" s="69">
        <f>ROUNDUP($D55/gen_xl_bw,0)</f>
        <v>128</v>
      </c>
      <c r="W55" s="69">
        <f>MAX(T55:V55)</f>
        <v>192</v>
      </c>
      <c r="X55" s="69">
        <f>W55-M55</f>
        <v>0</v>
      </c>
      <c r="Y55" s="69">
        <f>ROUNDUP(X55/gen_xl_spr80,0)</f>
        <v>0</v>
      </c>
      <c r="Z55" s="77">
        <f>ROUND((W55)*gen_l_pow80*24*365,0)</f>
        <v>437299</v>
      </c>
      <c r="AA55" s="67"/>
      <c r="AB55" s="93" t="s">
        <v>41</v>
      </c>
      <c r="AC55" s="74">
        <f>ROUNDUP($E54/(gen_xl_tps40),0)</f>
        <v>4</v>
      </c>
      <c r="AD55" s="74">
        <f>ROUNDUP($E54/(gen_xl_tps60),0)</f>
        <v>3</v>
      </c>
      <c r="AE55" s="74">
        <f>ROUNDUP($E54/(gen_xl_tps80),0)</f>
        <v>2</v>
      </c>
      <c r="AF55" s="69">
        <f>ROUNDUP($E53/gen_xl_disk,0)</f>
        <v>192</v>
      </c>
      <c r="AG55" s="69">
        <f>ROUNDUP($E55/gen_xl_bw,0)</f>
        <v>227</v>
      </c>
      <c r="AH55" s="69">
        <f>MAX(AE55:AG55)</f>
        <v>227</v>
      </c>
      <c r="AI55" s="69">
        <f>AH55-W55</f>
        <v>35</v>
      </c>
      <c r="AJ55" s="69">
        <f>ROUNDUP(AI55/gen_xl_spr80,0)</f>
        <v>5</v>
      </c>
      <c r="AK55" s="77">
        <f>ROUND((AH55)*gen_l_pow80*24*365,0)</f>
        <v>517015</v>
      </c>
      <c r="AL55" s="67"/>
      <c r="AM55" s="93" t="s">
        <v>41</v>
      </c>
      <c r="AN55" s="75">
        <f>M55*gen_xl_cost</f>
        <v>451200</v>
      </c>
      <c r="AO55" s="75">
        <f>N55*rack_cost</f>
        <v>140000</v>
      </c>
      <c r="AP55" s="75">
        <f>ROUND(O55*kwh_cost,0)</f>
        <v>22477</v>
      </c>
      <c r="AQ55" s="75">
        <v>0</v>
      </c>
      <c r="AR55" s="320">
        <f>SUM(AN55,AO55,AP55)</f>
        <v>613677</v>
      </c>
      <c r="AT55" s="93" t="s">
        <v>41</v>
      </c>
      <c r="AU55" s="40">
        <f>X55*gen_xl_cost*1.02</f>
        <v>0</v>
      </c>
      <c r="AV55" s="40">
        <f>Y55*rack_cost</f>
        <v>0</v>
      </c>
      <c r="AW55" s="40">
        <f>ROUND(Z55*kwh_cost,0)</f>
        <v>22477</v>
      </c>
      <c r="AX55" s="40">
        <f>AN55*hw_supt</f>
        <v>90240</v>
      </c>
      <c r="AY55" s="320">
        <f>SUM(AU55,AV55,AW55,AX55)</f>
        <v>112717</v>
      </c>
      <c r="BA55" s="93" t="s">
        <v>41</v>
      </c>
      <c r="BB55" s="40">
        <f>AI55*gen_xl_cost*1.0404</f>
        <v>85572.9</v>
      </c>
      <c r="BC55" s="40">
        <f>AJ55*rack_cost</f>
        <v>25000</v>
      </c>
      <c r="BD55" s="40">
        <f>ROUND(AK55*kwh_cost,0)</f>
        <v>26575</v>
      </c>
      <c r="BE55" s="40">
        <f>(AN55+AU55)*hw_supt</f>
        <v>90240</v>
      </c>
      <c r="BF55" s="320">
        <f>SUM(BB55,BC55,BD55,BE55)</f>
        <v>227387.9</v>
      </c>
      <c r="BI55" s="189">
        <f>SUM(AH55)</f>
        <v>227</v>
      </c>
      <c r="BJ55" s="189">
        <f>SUM(AJ55,Y55,N55)</f>
        <v>33</v>
      </c>
      <c r="BK55" s="189">
        <f>SUM(AK55,Z55,O55)</f>
        <v>1391613</v>
      </c>
      <c r="BL55" s="246">
        <f>SUM(AR55,AY55,BF55)</f>
        <v>953781.9</v>
      </c>
      <c r="BM55" t="s">
        <v>216</v>
      </c>
      <c r="BO55" s="93" t="s">
        <v>234</v>
      </c>
      <c r="BP55" s="69">
        <f>O55</f>
        <v>437299</v>
      </c>
      <c r="BQ55" s="69">
        <f>Z55</f>
        <v>437299</v>
      </c>
      <c r="BR55" s="69">
        <f>AK55</f>
        <v>517015</v>
      </c>
      <c r="BS55" s="189">
        <f t="shared" si="7"/>
        <v>1391613</v>
      </c>
    </row>
    <row r="56" spans="1:71" x14ac:dyDescent="0.35">
      <c r="F56" s="15"/>
      <c r="AA56" s="15"/>
    </row>
    <row r="57" spans="1:71" x14ac:dyDescent="0.35">
      <c r="F57" s="15"/>
      <c r="AA57" s="15"/>
    </row>
    <row r="58" spans="1:71" ht="18.5" x14ac:dyDescent="0.45">
      <c r="A58" s="51" t="s">
        <v>356</v>
      </c>
      <c r="F58" s="15"/>
      <c r="AA58" s="15"/>
    </row>
    <row r="59" spans="1:71" ht="16" thickBot="1" x14ac:dyDescent="0.4">
      <c r="F59" s="15"/>
      <c r="AA59" s="15"/>
    </row>
    <row r="60" spans="1:71" ht="31.5" thickBot="1" x14ac:dyDescent="0.4">
      <c r="A60" s="437" t="s">
        <v>358</v>
      </c>
      <c r="B60" s="437"/>
      <c r="C60" s="437"/>
      <c r="D60" s="437"/>
      <c r="E60" s="437"/>
      <c r="F60" s="15"/>
      <c r="G60" s="266" t="s">
        <v>50</v>
      </c>
      <c r="H60" s="263"/>
      <c r="I60" s="263"/>
      <c r="J60" s="263"/>
      <c r="K60" s="263"/>
      <c r="L60" s="263"/>
      <c r="M60" s="263"/>
      <c r="N60" s="263"/>
      <c r="O60" s="265"/>
      <c r="P60" s="105"/>
      <c r="Q60" s="266" t="s">
        <v>51</v>
      </c>
      <c r="R60" s="263"/>
      <c r="S60" s="263"/>
      <c r="T60" s="263"/>
      <c r="U60" s="263"/>
      <c r="V60" s="263"/>
      <c r="W60" s="263"/>
      <c r="X60" s="263"/>
      <c r="Y60" s="263"/>
      <c r="Z60" s="265"/>
      <c r="AA60" s="105"/>
      <c r="AB60" s="266" t="s">
        <v>52</v>
      </c>
      <c r="AC60" s="263"/>
      <c r="AD60" s="263"/>
      <c r="AE60" s="263"/>
      <c r="AF60" s="263"/>
      <c r="AG60" s="263"/>
      <c r="AH60" s="263"/>
      <c r="AI60" s="263"/>
      <c r="AJ60" s="263"/>
      <c r="AK60" s="265"/>
      <c r="AL60" s="105"/>
      <c r="AM60" s="254" t="s">
        <v>50</v>
      </c>
      <c r="AN60" s="99"/>
      <c r="AO60" s="99"/>
      <c r="AP60" s="99"/>
      <c r="AQ60" s="99"/>
      <c r="AR60" s="100"/>
      <c r="AT60" s="254" t="s">
        <v>51</v>
      </c>
      <c r="AU60" s="96"/>
      <c r="AV60" s="96"/>
      <c r="AW60" s="96"/>
      <c r="AX60" s="96"/>
      <c r="AY60" s="97"/>
      <c r="BA60" s="254" t="s">
        <v>52</v>
      </c>
      <c r="BB60" s="96"/>
      <c r="BC60" s="96"/>
      <c r="BD60" s="96"/>
      <c r="BE60" s="96"/>
      <c r="BF60" s="97"/>
      <c r="BI60" s="243" t="s">
        <v>217</v>
      </c>
      <c r="BJ60" s="243" t="s">
        <v>215</v>
      </c>
      <c r="BK60" s="195" t="s">
        <v>214</v>
      </c>
      <c r="BL60" s="170" t="s">
        <v>213</v>
      </c>
      <c r="BO60" s="298" t="s">
        <v>76</v>
      </c>
      <c r="BP60" s="299"/>
      <c r="BQ60" s="299"/>
      <c r="BR60" s="299"/>
      <c r="BS60" s="300"/>
    </row>
    <row r="61" spans="1:71" ht="51" customHeight="1" thickBot="1" x14ac:dyDescent="0.4">
      <c r="A61" s="46" t="s">
        <v>62</v>
      </c>
      <c r="B61" s="41"/>
      <c r="C61" s="42"/>
      <c r="D61" s="42"/>
      <c r="E61" s="43"/>
      <c r="F61" s="15"/>
      <c r="G61" s="418" t="s">
        <v>53</v>
      </c>
      <c r="H61" s="416" t="s">
        <v>55</v>
      </c>
      <c r="I61" s="417"/>
      <c r="J61" s="417"/>
      <c r="K61" s="417"/>
      <c r="L61" s="417"/>
      <c r="M61" s="423" t="s">
        <v>80</v>
      </c>
      <c r="N61" s="417" t="s">
        <v>57</v>
      </c>
      <c r="O61" s="420" t="s">
        <v>241</v>
      </c>
      <c r="P61" s="293"/>
      <c r="Q61" s="418" t="s">
        <v>53</v>
      </c>
      <c r="R61" s="417" t="s">
        <v>79</v>
      </c>
      <c r="S61" s="417"/>
      <c r="T61" s="417"/>
      <c r="U61" s="417"/>
      <c r="V61" s="417"/>
      <c r="W61" s="423" t="s">
        <v>104</v>
      </c>
      <c r="X61" s="423" t="s">
        <v>72</v>
      </c>
      <c r="Y61" s="423" t="s">
        <v>74</v>
      </c>
      <c r="Z61" s="420" t="s">
        <v>241</v>
      </c>
      <c r="AA61" s="293"/>
      <c r="AB61" s="418" t="s">
        <v>53</v>
      </c>
      <c r="AC61" s="416" t="s">
        <v>55</v>
      </c>
      <c r="AD61" s="417"/>
      <c r="AE61" s="417"/>
      <c r="AF61" s="417"/>
      <c r="AG61" s="417"/>
      <c r="AH61" s="423" t="s">
        <v>78</v>
      </c>
      <c r="AI61" s="423" t="s">
        <v>72</v>
      </c>
      <c r="AJ61" s="423" t="s">
        <v>74</v>
      </c>
      <c r="AK61" s="420" t="s">
        <v>241</v>
      </c>
      <c r="AL61" s="293"/>
      <c r="AM61" s="418" t="s">
        <v>53</v>
      </c>
      <c r="AN61" s="416" t="s">
        <v>56</v>
      </c>
      <c r="AO61" s="417" t="s">
        <v>58</v>
      </c>
      <c r="AP61" s="423" t="s">
        <v>242</v>
      </c>
      <c r="AQ61" s="423" t="s">
        <v>60</v>
      </c>
      <c r="AR61" s="420" t="s">
        <v>97</v>
      </c>
      <c r="AT61" s="418" t="s">
        <v>53</v>
      </c>
      <c r="AU61" s="423" t="s">
        <v>73</v>
      </c>
      <c r="AV61" s="423" t="s">
        <v>75</v>
      </c>
      <c r="AW61" s="423" t="s">
        <v>242</v>
      </c>
      <c r="AX61" s="423" t="s">
        <v>60</v>
      </c>
      <c r="AY61" s="420" t="s">
        <v>97</v>
      </c>
      <c r="BA61" s="418" t="s">
        <v>53</v>
      </c>
      <c r="BB61" s="423" t="s">
        <v>73</v>
      </c>
      <c r="BC61" s="423" t="s">
        <v>75</v>
      </c>
      <c r="BD61" s="423" t="s">
        <v>242</v>
      </c>
      <c r="BE61" s="423" t="s">
        <v>60</v>
      </c>
      <c r="BF61" s="420" t="s">
        <v>97</v>
      </c>
      <c r="BI61" s="433"/>
      <c r="BJ61" s="433"/>
      <c r="BK61" s="433"/>
      <c r="BL61" s="433"/>
      <c r="BO61" s="92"/>
      <c r="BP61" s="296" t="s">
        <v>50</v>
      </c>
      <c r="BQ61" s="296" t="s">
        <v>51</v>
      </c>
      <c r="BR61" s="296" t="s">
        <v>52</v>
      </c>
      <c r="BS61" s="292" t="s">
        <v>77</v>
      </c>
    </row>
    <row r="62" spans="1:71" ht="16" thickBot="1" x14ac:dyDescent="0.4">
      <c r="A62" s="35"/>
      <c r="B62" s="35" t="s">
        <v>164</v>
      </c>
      <c r="C62" s="15" t="s">
        <v>50</v>
      </c>
      <c r="D62" s="15" t="s">
        <v>51</v>
      </c>
      <c r="E62" s="38" t="s">
        <v>52</v>
      </c>
      <c r="F62" s="15"/>
      <c r="G62" s="415"/>
      <c r="H62" s="426" t="s">
        <v>163</v>
      </c>
      <c r="I62" s="427"/>
      <c r="J62" s="427"/>
      <c r="K62" s="427" t="s">
        <v>47</v>
      </c>
      <c r="L62" s="427" t="s">
        <v>31</v>
      </c>
      <c r="M62" s="424"/>
      <c r="N62" s="427"/>
      <c r="O62" s="421"/>
      <c r="P62" s="293"/>
      <c r="Q62" s="415"/>
      <c r="R62" s="427" t="s">
        <v>163</v>
      </c>
      <c r="S62" s="427"/>
      <c r="T62" s="427"/>
      <c r="U62" s="427" t="s">
        <v>47</v>
      </c>
      <c r="V62" s="427" t="s">
        <v>31</v>
      </c>
      <c r="W62" s="424"/>
      <c r="X62" s="424"/>
      <c r="Y62" s="424"/>
      <c r="Z62" s="421"/>
      <c r="AA62" s="293"/>
      <c r="AB62" s="415"/>
      <c r="AC62" s="426" t="s">
        <v>163</v>
      </c>
      <c r="AD62" s="427"/>
      <c r="AE62" s="427"/>
      <c r="AF62" s="427" t="s">
        <v>47</v>
      </c>
      <c r="AG62" s="427" t="s">
        <v>31</v>
      </c>
      <c r="AH62" s="424"/>
      <c r="AI62" s="424"/>
      <c r="AJ62" s="424"/>
      <c r="AK62" s="421"/>
      <c r="AL62" s="293"/>
      <c r="AM62" s="415"/>
      <c r="AN62" s="426"/>
      <c r="AO62" s="427"/>
      <c r="AP62" s="424"/>
      <c r="AQ62" s="424"/>
      <c r="AR62" s="421"/>
      <c r="AT62" s="415"/>
      <c r="AU62" s="424"/>
      <c r="AV62" s="424"/>
      <c r="AW62" s="424"/>
      <c r="AX62" s="424"/>
      <c r="AY62" s="421"/>
      <c r="BA62" s="415"/>
      <c r="BB62" s="424"/>
      <c r="BC62" s="424"/>
      <c r="BD62" s="424"/>
      <c r="BE62" s="424"/>
      <c r="BF62" s="421"/>
      <c r="BI62" s="431"/>
      <c r="BJ62" s="431"/>
      <c r="BK62" s="431"/>
      <c r="BL62" s="431"/>
      <c r="BO62" s="254" t="s">
        <v>91</v>
      </c>
      <c r="BP62" s="260">
        <f>AR65</f>
        <v>799234</v>
      </c>
      <c r="BQ62" s="260">
        <f>AY65</f>
        <v>1262194</v>
      </c>
      <c r="BR62" s="260">
        <f>BF65</f>
        <v>1866187.8800000001</v>
      </c>
      <c r="BS62" s="269">
        <f>SUM(BP62:BR62)</f>
        <v>3927615.88</v>
      </c>
    </row>
    <row r="63" spans="1:71" ht="16" thickBot="1" x14ac:dyDescent="0.4">
      <c r="A63" s="35"/>
      <c r="B63" s="112" t="s">
        <v>48</v>
      </c>
      <c r="C63" s="138">
        <v>0</v>
      </c>
      <c r="D63" s="138">
        <v>0</v>
      </c>
      <c r="E63" s="141">
        <v>0</v>
      </c>
      <c r="F63" s="15"/>
      <c r="G63" s="419"/>
      <c r="H63" s="267">
        <v>0.4</v>
      </c>
      <c r="I63" s="264">
        <v>0.6</v>
      </c>
      <c r="J63" s="264">
        <v>0.8</v>
      </c>
      <c r="K63" s="428"/>
      <c r="L63" s="428"/>
      <c r="M63" s="425"/>
      <c r="N63" s="428"/>
      <c r="O63" s="422"/>
      <c r="P63" s="293"/>
      <c r="Q63" s="419"/>
      <c r="R63" s="264">
        <v>0.4</v>
      </c>
      <c r="S63" s="264">
        <v>0.6</v>
      </c>
      <c r="T63" s="264">
        <v>0.8</v>
      </c>
      <c r="U63" s="428"/>
      <c r="V63" s="428"/>
      <c r="W63" s="425"/>
      <c r="X63" s="425"/>
      <c r="Y63" s="425"/>
      <c r="Z63" s="422"/>
      <c r="AA63" s="293"/>
      <c r="AB63" s="419"/>
      <c r="AC63" s="267">
        <v>0.4</v>
      </c>
      <c r="AD63" s="264">
        <v>0.6</v>
      </c>
      <c r="AE63" s="264">
        <v>0.8</v>
      </c>
      <c r="AF63" s="428"/>
      <c r="AG63" s="428"/>
      <c r="AH63" s="425"/>
      <c r="AI63" s="425"/>
      <c r="AJ63" s="425"/>
      <c r="AK63" s="422"/>
      <c r="AL63" s="293"/>
      <c r="AM63" s="419"/>
      <c r="AN63" s="429"/>
      <c r="AO63" s="428"/>
      <c r="AP63" s="425"/>
      <c r="AQ63" s="425"/>
      <c r="AR63" s="422"/>
      <c r="AT63" s="419"/>
      <c r="AU63" s="425"/>
      <c r="AV63" s="425"/>
      <c r="AW63" s="425"/>
      <c r="AX63" s="425"/>
      <c r="AY63" s="422"/>
      <c r="BA63" s="419"/>
      <c r="BB63" s="425"/>
      <c r="BC63" s="425"/>
      <c r="BD63" s="425"/>
      <c r="BE63" s="425"/>
      <c r="BF63" s="422"/>
      <c r="BI63" s="432"/>
      <c r="BJ63" s="432"/>
      <c r="BK63" s="432"/>
      <c r="BL63" s="432"/>
      <c r="BO63" s="92" t="s">
        <v>235</v>
      </c>
      <c r="BP63" s="270">
        <f>M65</f>
        <v>251</v>
      </c>
      <c r="BQ63" s="270">
        <f>X65</f>
        <v>344</v>
      </c>
      <c r="BR63" s="270">
        <f>AI65</f>
        <v>462</v>
      </c>
      <c r="BS63" s="215">
        <f>SUM(BP63:BR63)</f>
        <v>1057</v>
      </c>
    </row>
    <row r="64" spans="1:71" ht="17" customHeight="1" x14ac:dyDescent="0.35">
      <c r="A64" s="35"/>
      <c r="B64" s="112" t="s">
        <v>146</v>
      </c>
      <c r="C64" s="138">
        <f>'CPU (Workload)'!$D$17</f>
        <v>8384.3812499999985</v>
      </c>
      <c r="D64" s="138">
        <f>'CPU (Workload)'!$D$19</f>
        <v>19868.499999999996</v>
      </c>
      <c r="E64" s="141">
        <f>'CPU (Workload)'!$D$21</f>
        <v>35323.174999999996</v>
      </c>
      <c r="F64" s="15"/>
      <c r="G64" s="235" t="s">
        <v>32</v>
      </c>
      <c r="H64" s="12">
        <f>ROUNDUP($C64/(gen_l_tps40),0)</f>
        <v>12</v>
      </c>
      <c r="I64" s="12">
        <f>ROUNDUP($C64/(gen_l_tps60),0)</f>
        <v>8</v>
      </c>
      <c r="J64" s="12">
        <f>ROUNDUP($C64/(gen_l_tps80),0)</f>
        <v>6</v>
      </c>
      <c r="K64" s="9">
        <f>ROUNDUP($C63/gen_l_disk,0)</f>
        <v>0</v>
      </c>
      <c r="L64" s="9">
        <f>ROUNDUP($C65/gen_l_bw,0)</f>
        <v>502</v>
      </c>
      <c r="M64" s="9">
        <f>MAX(J64:L64)</f>
        <v>502</v>
      </c>
      <c r="N64" s="9">
        <f>ROUNDUP(M64/gen_l_spr80,0)</f>
        <v>46</v>
      </c>
      <c r="O64" s="76">
        <f>ROUND(M64*gen_l_pow80*24*365,0)</f>
        <v>1143355</v>
      </c>
      <c r="P64" s="67"/>
      <c r="Q64" s="235" t="s">
        <v>32</v>
      </c>
      <c r="R64" s="12">
        <f>ROUNDUP($D64/(gen_l_tps40),0)</f>
        <v>27</v>
      </c>
      <c r="S64" s="12">
        <f>ROUNDUP($D64/(gen_l_tps60),0)</f>
        <v>18</v>
      </c>
      <c r="T64" s="12">
        <f>ROUNDUP($D64/(gen_l_tps80),0)</f>
        <v>14</v>
      </c>
      <c r="U64" s="9">
        <f>ROUNDUP($D63/gen_l_disk,0)</f>
        <v>0</v>
      </c>
      <c r="V64" s="9">
        <f>ROUNDUP($D65/gen_l_bw,0)</f>
        <v>1189</v>
      </c>
      <c r="W64" s="9">
        <f>MAX(T64:V64)</f>
        <v>1189</v>
      </c>
      <c r="X64" s="9">
        <f>W64-M64</f>
        <v>687</v>
      </c>
      <c r="Y64" s="9">
        <f>ROUNDUP(X64/gen_l_spr80,0)</f>
        <v>63</v>
      </c>
      <c r="Z64" s="76">
        <f>ROUND((W64)*gen_l_pow80*24*365,0)</f>
        <v>2708066</v>
      </c>
      <c r="AA64" s="67"/>
      <c r="AB64" s="235" t="s">
        <v>32</v>
      </c>
      <c r="AC64" s="12">
        <f>ROUNDUP($E64/(gen_l_tps40),0)</f>
        <v>48</v>
      </c>
      <c r="AD64" s="12">
        <f>ROUNDUP($E64/(gen_l_tps60),0)</f>
        <v>32</v>
      </c>
      <c r="AE64" s="12">
        <f>ROUNDUP($E64/(gen_l_tps80),0)</f>
        <v>24</v>
      </c>
      <c r="AF64" s="9">
        <f>ROUNDUP($E63/gen_l_disk,0)</f>
        <v>0</v>
      </c>
      <c r="AG64" s="9">
        <f>ROUNDUP($E65/gen_l_bw,0)</f>
        <v>2113</v>
      </c>
      <c r="AH64" s="9">
        <f>MAX(AE64:AG64)</f>
        <v>2113</v>
      </c>
      <c r="AI64" s="9">
        <f>AH64-W64</f>
        <v>924</v>
      </c>
      <c r="AJ64" s="9">
        <f>ROUNDUP(AI64/gen_l_spr80,0)</f>
        <v>84</v>
      </c>
      <c r="AK64" s="76">
        <f>ROUND((AH64)*gen_l_pow80*24*365,0)</f>
        <v>4812569</v>
      </c>
      <c r="AL64" s="67"/>
      <c r="AM64" s="235" t="s">
        <v>32</v>
      </c>
      <c r="AN64" s="36">
        <f>M64*gen_l_cost</f>
        <v>426700</v>
      </c>
      <c r="AO64" s="36">
        <f>N64*rack_cost</f>
        <v>230000</v>
      </c>
      <c r="AP64" s="36">
        <f>ROUND(O64*kwh_cost,0)</f>
        <v>58768</v>
      </c>
      <c r="AQ64" s="36">
        <v>0</v>
      </c>
      <c r="AR64" s="72">
        <f>SUM(AN64,AO64,AP64)</f>
        <v>715468</v>
      </c>
      <c r="AT64" s="235" t="s">
        <v>32</v>
      </c>
      <c r="AU64" s="36">
        <f>X64*gen_l_cost*1.02</f>
        <v>595629</v>
      </c>
      <c r="AV64" s="36">
        <f>Y64*rack_cost</f>
        <v>315000</v>
      </c>
      <c r="AW64" s="36">
        <f>ROUND(Z64*kwh_cost,0)</f>
        <v>139195</v>
      </c>
      <c r="AX64" s="36">
        <f>AN64*hw_supt</f>
        <v>85340</v>
      </c>
      <c r="AY64" s="72">
        <f>SUM(AU64,AV64,AW64,AX64)</f>
        <v>1135164</v>
      </c>
      <c r="BA64" s="235" t="s">
        <v>32</v>
      </c>
      <c r="BB64" s="36">
        <f>AI64*gen_l_cost*1.0404</f>
        <v>817130.16</v>
      </c>
      <c r="BC64" s="36">
        <f>AJ64*rack_cost</f>
        <v>420000</v>
      </c>
      <c r="BD64" s="36">
        <f>ROUND(AK64*kwh_cost,0)</f>
        <v>247366</v>
      </c>
      <c r="BE64" s="36">
        <f>(AN64+AU64)*hw_supt</f>
        <v>204465.80000000002</v>
      </c>
      <c r="BF64" s="37">
        <f>SUM(BB64,BC64,BD64,BE64)</f>
        <v>1688961.9600000002</v>
      </c>
      <c r="BI64" s="188">
        <f>SUM(AH64)</f>
        <v>2113</v>
      </c>
      <c r="BJ64" s="188">
        <f>SUM(AJ64,Y64,N64)</f>
        <v>193</v>
      </c>
      <c r="BK64" s="188">
        <f>SUM(AK64,Z64,O64)</f>
        <v>8663990</v>
      </c>
      <c r="BL64" s="245">
        <f>SUM(AR64,AY64,BF64)</f>
        <v>3539593.96</v>
      </c>
      <c r="BO64" s="235" t="s">
        <v>236</v>
      </c>
      <c r="BP64" s="9">
        <f>N65</f>
        <v>36</v>
      </c>
      <c r="BQ64" s="9">
        <f>Y65</f>
        <v>50</v>
      </c>
      <c r="BR64" s="9">
        <f>AJ65</f>
        <v>66</v>
      </c>
      <c r="BS64" s="188">
        <f t="shared" ref="BS64:BS65" si="8">SUM(BP64:BR64)</f>
        <v>152</v>
      </c>
    </row>
    <row r="65" spans="1:76" ht="16" thickBot="1" x14ac:dyDescent="0.4">
      <c r="A65" s="39"/>
      <c r="B65" s="113" t="s">
        <v>49</v>
      </c>
      <c r="C65" s="142">
        <f>SUM(Bandwidth!$N$7:$O$7)</f>
        <v>376.04956031999996</v>
      </c>
      <c r="D65" s="142">
        <f>SUM(Bandwidth!$N$9:$O$9)</f>
        <v>891.12606719999974</v>
      </c>
      <c r="E65" s="143">
        <f>SUM(Bandwidth!$N$11:$O$11)</f>
        <v>1584.2867865599997</v>
      </c>
      <c r="F65" s="15"/>
      <c r="G65" s="93" t="s">
        <v>41</v>
      </c>
      <c r="H65" s="74">
        <f>ROUNDUP($C64/(gen_xl_tps40),0)</f>
        <v>5</v>
      </c>
      <c r="I65" s="74">
        <f>ROUNDUP($C64/(gen_xl_tps60),0)</f>
        <v>4</v>
      </c>
      <c r="J65" s="74">
        <f>ROUNDUP($C64/(gen_xl_tps80),0)</f>
        <v>3</v>
      </c>
      <c r="K65" s="69">
        <f>ROUNDUP($C63/gen_xl_disk,0)</f>
        <v>0</v>
      </c>
      <c r="L65" s="69">
        <f>ROUNDUP($C65/gen_xl_bw,0)</f>
        <v>251</v>
      </c>
      <c r="M65" s="69">
        <f>MAX(J65:L65)</f>
        <v>251</v>
      </c>
      <c r="N65" s="69">
        <f>ROUNDUP(M65/gen_xl_spr80,0)</f>
        <v>36</v>
      </c>
      <c r="O65" s="77">
        <f>ROUND(M65*gen_l_pow80*24*365,0)</f>
        <v>571678</v>
      </c>
      <c r="P65" s="67"/>
      <c r="Q65" s="93" t="s">
        <v>41</v>
      </c>
      <c r="R65" s="74">
        <f>ROUNDUP($D64/(gen_xl_tps40),0) - H65</f>
        <v>7</v>
      </c>
      <c r="S65" s="74">
        <f>ROUNDUP($D64/(gen_xl_tps60),0)</f>
        <v>8</v>
      </c>
      <c r="T65" s="74">
        <f>ROUNDUP($D64/(gen_xl_tps80),0)</f>
        <v>6</v>
      </c>
      <c r="U65" s="69">
        <f>ROUNDUP($D63/gen_xl_disk,0)</f>
        <v>0</v>
      </c>
      <c r="V65" s="69">
        <f>ROUNDUP($D65/gen_xl_bw,0)</f>
        <v>595</v>
      </c>
      <c r="W65" s="69">
        <f>MAX(T65:V65)</f>
        <v>595</v>
      </c>
      <c r="X65" s="69">
        <f>W65-M65</f>
        <v>344</v>
      </c>
      <c r="Y65" s="69">
        <f>ROUNDUP(X65/gen_xl_spr80,0)</f>
        <v>50</v>
      </c>
      <c r="Z65" s="77">
        <f>ROUND((W65)*gen_l_pow80*24*365,0)</f>
        <v>1355172</v>
      </c>
      <c r="AA65" s="67"/>
      <c r="AB65" s="93" t="s">
        <v>41</v>
      </c>
      <c r="AC65" s="74">
        <f>ROUNDUP($E64/(gen_xl_tps40),0)</f>
        <v>20</v>
      </c>
      <c r="AD65" s="74">
        <f>ROUNDUP($E64/(gen_xl_tps60),0)</f>
        <v>14</v>
      </c>
      <c r="AE65" s="74">
        <f>ROUNDUP($E64/(gen_xl_tps80),0)</f>
        <v>10</v>
      </c>
      <c r="AF65" s="69">
        <f>ROUNDUP($E63/gen_xl_disk,0)</f>
        <v>0</v>
      </c>
      <c r="AG65" s="69">
        <f>ROUNDUP($E65/gen_xl_bw,0)</f>
        <v>1057</v>
      </c>
      <c r="AH65" s="69">
        <f>MAX(AE65:AG65)</f>
        <v>1057</v>
      </c>
      <c r="AI65" s="69">
        <f>AH65-W65</f>
        <v>462</v>
      </c>
      <c r="AJ65" s="69">
        <f>ROUNDUP(AI65/gen_xl_spr80,0)</f>
        <v>66</v>
      </c>
      <c r="AK65" s="77">
        <f>ROUND((AH65)*gen_l_pow80*24*365,0)</f>
        <v>2407423</v>
      </c>
      <c r="AL65" s="67"/>
      <c r="AM65" s="93" t="s">
        <v>41</v>
      </c>
      <c r="AN65" s="75">
        <f>M65*gen_xl_cost</f>
        <v>589850</v>
      </c>
      <c r="AO65" s="75">
        <f>N65*rack_cost</f>
        <v>180000</v>
      </c>
      <c r="AP65" s="75">
        <f>ROUND(O65*kwh_cost,0)</f>
        <v>29384</v>
      </c>
      <c r="AQ65" s="75">
        <v>0</v>
      </c>
      <c r="AR65" s="320">
        <f>SUM(AN65,AO65,AP65)</f>
        <v>799234</v>
      </c>
      <c r="AT65" s="93" t="s">
        <v>41</v>
      </c>
      <c r="AU65" s="40">
        <f>X65*gen_xl_cost*1.02</f>
        <v>824568</v>
      </c>
      <c r="AV65" s="40">
        <f>Y65*rack_cost</f>
        <v>250000</v>
      </c>
      <c r="AW65" s="40">
        <f>ROUND(Z65*kwh_cost,0)</f>
        <v>69656</v>
      </c>
      <c r="AX65" s="40">
        <f>AN65*hw_supt</f>
        <v>117970</v>
      </c>
      <c r="AY65" s="320">
        <f>SUM(AU65,AV65,AW65,AX65)</f>
        <v>1262194</v>
      </c>
      <c r="BA65" s="93" t="s">
        <v>41</v>
      </c>
      <c r="BB65" s="40">
        <f>AI65*gen_xl_cost*1.0404</f>
        <v>1129562.28</v>
      </c>
      <c r="BC65" s="40">
        <f>AJ65*rack_cost</f>
        <v>330000</v>
      </c>
      <c r="BD65" s="40">
        <f>ROUND(AK65*kwh_cost,0)</f>
        <v>123742</v>
      </c>
      <c r="BE65" s="40">
        <f>(AN65+AU65)*hw_supt</f>
        <v>282883.60000000003</v>
      </c>
      <c r="BF65" s="320">
        <f>SUM(BB65,BC65,BD65,BE65)</f>
        <v>1866187.8800000001</v>
      </c>
      <c r="BI65" s="189">
        <f>SUM(AH65)</f>
        <v>1057</v>
      </c>
      <c r="BJ65" s="189">
        <f>SUM(AJ65,Y65,N65)</f>
        <v>152</v>
      </c>
      <c r="BK65" s="189">
        <f>SUM(AK65,Z65,O65)</f>
        <v>4334273</v>
      </c>
      <c r="BL65" s="246">
        <f>SUM(AR65,AY65,BF65)</f>
        <v>3927615.88</v>
      </c>
      <c r="BM65" t="s">
        <v>216</v>
      </c>
      <c r="BO65" s="93" t="s">
        <v>234</v>
      </c>
      <c r="BP65" s="69">
        <f>O65</f>
        <v>571678</v>
      </c>
      <c r="BQ65" s="69">
        <f>Z65</f>
        <v>1355172</v>
      </c>
      <c r="BR65" s="69">
        <f>AK65</f>
        <v>2407423</v>
      </c>
      <c r="BS65" s="189">
        <f t="shared" si="8"/>
        <v>4334273</v>
      </c>
    </row>
    <row r="66" spans="1:76" x14ac:dyDescent="0.35">
      <c r="F66" s="15"/>
      <c r="AA66" s="15"/>
    </row>
    <row r="67" spans="1:76" x14ac:dyDescent="0.35">
      <c r="F67" s="15"/>
      <c r="AA67" s="15"/>
    </row>
    <row r="68" spans="1:76" ht="18.5" x14ac:dyDescent="0.45">
      <c r="A68" s="51" t="s">
        <v>312</v>
      </c>
      <c r="F68" s="15"/>
      <c r="AA68" s="15"/>
    </row>
    <row r="69" spans="1:76" ht="16" thickBot="1" x14ac:dyDescent="0.4">
      <c r="F69" s="15"/>
      <c r="AA69" s="15"/>
      <c r="AM69" t="s">
        <v>233</v>
      </c>
      <c r="AT69" t="s">
        <v>233</v>
      </c>
    </row>
    <row r="70" spans="1:76" ht="34" customHeight="1" thickBot="1" x14ac:dyDescent="0.4">
      <c r="A70" s="438" t="s">
        <v>345</v>
      </c>
      <c r="B70" s="438"/>
      <c r="C70" s="438"/>
      <c r="D70" s="438"/>
      <c r="E70" s="438"/>
      <c r="F70" s="15"/>
      <c r="G70" s="266" t="s">
        <v>50</v>
      </c>
      <c r="H70" s="99"/>
      <c r="I70" s="99"/>
      <c r="J70" s="99"/>
      <c r="K70" s="99"/>
      <c r="L70" s="99"/>
      <c r="M70" s="99"/>
      <c r="N70" s="99"/>
      <c r="O70" s="100"/>
      <c r="P70" s="105"/>
      <c r="Q70" s="266" t="s">
        <v>51</v>
      </c>
      <c r="R70" s="263"/>
      <c r="S70" s="263"/>
      <c r="T70" s="263"/>
      <c r="U70" s="263"/>
      <c r="V70" s="263"/>
      <c r="W70" s="263"/>
      <c r="X70" s="263"/>
      <c r="Y70" s="263"/>
      <c r="Z70" s="265"/>
      <c r="AA70" s="105"/>
      <c r="AB70" s="266" t="s">
        <v>52</v>
      </c>
      <c r="AC70" s="263"/>
      <c r="AD70" s="263"/>
      <c r="AE70" s="263"/>
      <c r="AF70" s="263"/>
      <c r="AG70" s="263"/>
      <c r="AH70" s="263"/>
      <c r="AI70" s="263"/>
      <c r="AJ70" s="263"/>
      <c r="AK70" s="265"/>
      <c r="AL70" s="105"/>
      <c r="AM70" s="254" t="s">
        <v>50</v>
      </c>
      <c r="AN70" s="99"/>
      <c r="AO70" s="99"/>
      <c r="AP70" s="99"/>
      <c r="AQ70" s="99"/>
      <c r="AR70" s="100"/>
      <c r="AT70" s="254" t="s">
        <v>51</v>
      </c>
      <c r="AU70" s="96"/>
      <c r="AV70" s="96"/>
      <c r="AW70" s="96"/>
      <c r="AX70" s="96"/>
      <c r="AY70" s="97"/>
      <c r="BA70" s="254" t="s">
        <v>52</v>
      </c>
      <c r="BB70" s="96"/>
      <c r="BC70" s="96"/>
      <c r="BD70" s="96"/>
      <c r="BE70" s="96"/>
      <c r="BF70" s="97"/>
      <c r="BI70" s="243" t="s">
        <v>217</v>
      </c>
      <c r="BJ70" s="243" t="s">
        <v>215</v>
      </c>
      <c r="BK70" s="195" t="s">
        <v>214</v>
      </c>
      <c r="BL70" s="170" t="s">
        <v>213</v>
      </c>
      <c r="BO70" s="298" t="s">
        <v>76</v>
      </c>
      <c r="BP70" s="299"/>
      <c r="BQ70" s="299"/>
      <c r="BR70" s="299"/>
      <c r="BS70" s="300"/>
    </row>
    <row r="71" spans="1:76" ht="51" customHeight="1" thickBot="1" x14ac:dyDescent="0.4">
      <c r="A71" s="46"/>
      <c r="B71" s="41"/>
      <c r="C71" s="42"/>
      <c r="D71" s="42"/>
      <c r="E71" s="43"/>
      <c r="F71" s="15"/>
      <c r="G71" s="418" t="s">
        <v>53</v>
      </c>
      <c r="H71" s="416" t="s">
        <v>55</v>
      </c>
      <c r="I71" s="417"/>
      <c r="J71" s="417"/>
      <c r="K71" s="417"/>
      <c r="L71" s="417"/>
      <c r="M71" s="423" t="s">
        <v>80</v>
      </c>
      <c r="N71" s="417" t="s">
        <v>57</v>
      </c>
      <c r="O71" s="420" t="s">
        <v>241</v>
      </c>
      <c r="P71" s="293"/>
      <c r="Q71" s="418" t="s">
        <v>53</v>
      </c>
      <c r="R71" s="417" t="s">
        <v>79</v>
      </c>
      <c r="S71" s="417"/>
      <c r="T71" s="417"/>
      <c r="U71" s="417"/>
      <c r="V71" s="417"/>
      <c r="W71" s="423" t="s">
        <v>104</v>
      </c>
      <c r="X71" s="423" t="s">
        <v>72</v>
      </c>
      <c r="Y71" s="423" t="s">
        <v>74</v>
      </c>
      <c r="Z71" s="420" t="s">
        <v>241</v>
      </c>
      <c r="AA71" s="293"/>
      <c r="AB71" s="418" t="s">
        <v>53</v>
      </c>
      <c r="AC71" s="416" t="s">
        <v>55</v>
      </c>
      <c r="AD71" s="417"/>
      <c r="AE71" s="417"/>
      <c r="AF71" s="417"/>
      <c r="AG71" s="417"/>
      <c r="AH71" s="423" t="s">
        <v>78</v>
      </c>
      <c r="AI71" s="423" t="s">
        <v>72</v>
      </c>
      <c r="AJ71" s="423" t="s">
        <v>74</v>
      </c>
      <c r="AK71" s="420" t="s">
        <v>241</v>
      </c>
      <c r="AL71" s="293"/>
      <c r="AM71" s="418" t="s">
        <v>53</v>
      </c>
      <c r="AN71" s="416" t="s">
        <v>56</v>
      </c>
      <c r="AO71" s="417" t="s">
        <v>58</v>
      </c>
      <c r="AP71" s="423" t="s">
        <v>242</v>
      </c>
      <c r="AQ71" s="423" t="s">
        <v>60</v>
      </c>
      <c r="AR71" s="420" t="s">
        <v>97</v>
      </c>
      <c r="AT71" s="418" t="s">
        <v>53</v>
      </c>
      <c r="AU71" s="423" t="s">
        <v>73</v>
      </c>
      <c r="AV71" s="423" t="s">
        <v>75</v>
      </c>
      <c r="AW71" s="423" t="s">
        <v>242</v>
      </c>
      <c r="AX71" s="423" t="s">
        <v>60</v>
      </c>
      <c r="AY71" s="420" t="s">
        <v>97</v>
      </c>
      <c r="BA71" s="418" t="s">
        <v>53</v>
      </c>
      <c r="BB71" s="423" t="s">
        <v>73</v>
      </c>
      <c r="BC71" s="423" t="s">
        <v>75</v>
      </c>
      <c r="BD71" s="423" t="s">
        <v>242</v>
      </c>
      <c r="BE71" s="423" t="s">
        <v>60</v>
      </c>
      <c r="BF71" s="420" t="s">
        <v>97</v>
      </c>
      <c r="BI71" s="433"/>
      <c r="BJ71" s="433"/>
      <c r="BK71" s="433"/>
      <c r="BL71" s="433"/>
      <c r="BO71" s="92"/>
      <c r="BP71" s="296" t="s">
        <v>50</v>
      </c>
      <c r="BQ71" s="296" t="s">
        <v>51</v>
      </c>
      <c r="BR71" s="296" t="s">
        <v>52</v>
      </c>
      <c r="BS71" s="292" t="s">
        <v>77</v>
      </c>
    </row>
    <row r="72" spans="1:76" ht="16" thickBot="1" x14ac:dyDescent="0.4">
      <c r="A72" s="35"/>
      <c r="B72" s="35" t="s">
        <v>164</v>
      </c>
      <c r="C72" s="15" t="s">
        <v>50</v>
      </c>
      <c r="D72" s="15" t="s">
        <v>51</v>
      </c>
      <c r="E72" s="38" t="s">
        <v>52</v>
      </c>
      <c r="F72" s="15"/>
      <c r="G72" s="415"/>
      <c r="H72" s="426" t="s">
        <v>163</v>
      </c>
      <c r="I72" s="427"/>
      <c r="J72" s="427"/>
      <c r="K72" s="427" t="s">
        <v>47</v>
      </c>
      <c r="L72" s="427" t="s">
        <v>31</v>
      </c>
      <c r="M72" s="424"/>
      <c r="N72" s="427"/>
      <c r="O72" s="421"/>
      <c r="P72" s="293"/>
      <c r="Q72" s="415"/>
      <c r="R72" s="427" t="s">
        <v>163</v>
      </c>
      <c r="S72" s="427"/>
      <c r="T72" s="427"/>
      <c r="U72" s="427" t="s">
        <v>47</v>
      </c>
      <c r="V72" s="427" t="s">
        <v>31</v>
      </c>
      <c r="W72" s="424"/>
      <c r="X72" s="424"/>
      <c r="Y72" s="424"/>
      <c r="Z72" s="421"/>
      <c r="AA72" s="293"/>
      <c r="AB72" s="415"/>
      <c r="AC72" s="426" t="s">
        <v>163</v>
      </c>
      <c r="AD72" s="427"/>
      <c r="AE72" s="427"/>
      <c r="AF72" s="427" t="s">
        <v>47</v>
      </c>
      <c r="AG72" s="427" t="s">
        <v>31</v>
      </c>
      <c r="AH72" s="424"/>
      <c r="AI72" s="424"/>
      <c r="AJ72" s="424"/>
      <c r="AK72" s="421"/>
      <c r="AL72" s="293"/>
      <c r="AM72" s="415"/>
      <c r="AN72" s="426"/>
      <c r="AO72" s="427"/>
      <c r="AP72" s="424"/>
      <c r="AQ72" s="424"/>
      <c r="AR72" s="421"/>
      <c r="AT72" s="415"/>
      <c r="AU72" s="424"/>
      <c r="AV72" s="424"/>
      <c r="AW72" s="424"/>
      <c r="AX72" s="424"/>
      <c r="AY72" s="421"/>
      <c r="BA72" s="415"/>
      <c r="BB72" s="424"/>
      <c r="BC72" s="424"/>
      <c r="BD72" s="424"/>
      <c r="BE72" s="424"/>
      <c r="BF72" s="421"/>
      <c r="BI72" s="431"/>
      <c r="BJ72" s="431"/>
      <c r="BK72" s="431"/>
      <c r="BL72" s="431"/>
      <c r="BO72" s="254" t="s">
        <v>91</v>
      </c>
      <c r="BP72" s="260">
        <f>AR75</f>
        <v>193024</v>
      </c>
      <c r="BQ72" s="260">
        <f>AY75</f>
        <v>301378</v>
      </c>
      <c r="BR72" s="260">
        <f>BF75</f>
        <v>445955.2</v>
      </c>
      <c r="BS72" s="269">
        <f>SUM(BP72:BR72)</f>
        <v>940357.2</v>
      </c>
    </row>
    <row r="73" spans="1:76" ht="16" thickBot="1" x14ac:dyDescent="0.4">
      <c r="A73" s="35"/>
      <c r="B73" s="112" t="s">
        <v>48</v>
      </c>
      <c r="C73" s="138">
        <v>0</v>
      </c>
      <c r="D73" s="138">
        <v>0</v>
      </c>
      <c r="E73" s="141">
        <v>0</v>
      </c>
      <c r="F73" s="15"/>
      <c r="G73" s="419"/>
      <c r="H73" s="267">
        <v>0.4</v>
      </c>
      <c r="I73" s="264">
        <v>0.6</v>
      </c>
      <c r="J73" s="264">
        <v>0.8</v>
      </c>
      <c r="K73" s="428"/>
      <c r="L73" s="428"/>
      <c r="M73" s="425"/>
      <c r="N73" s="428"/>
      <c r="O73" s="422"/>
      <c r="P73" s="293"/>
      <c r="Q73" s="419"/>
      <c r="R73" s="264">
        <v>0.4</v>
      </c>
      <c r="S73" s="264">
        <v>0.6</v>
      </c>
      <c r="T73" s="264">
        <v>0.8</v>
      </c>
      <c r="U73" s="428"/>
      <c r="V73" s="428"/>
      <c r="W73" s="425"/>
      <c r="X73" s="425"/>
      <c r="Y73" s="425"/>
      <c r="Z73" s="422"/>
      <c r="AA73" s="293"/>
      <c r="AB73" s="419"/>
      <c r="AC73" s="267">
        <v>0.4</v>
      </c>
      <c r="AD73" s="264">
        <v>0.6</v>
      </c>
      <c r="AE73" s="264">
        <v>0.8</v>
      </c>
      <c r="AF73" s="428"/>
      <c r="AG73" s="428"/>
      <c r="AH73" s="425"/>
      <c r="AI73" s="425"/>
      <c r="AJ73" s="425"/>
      <c r="AK73" s="422"/>
      <c r="AL73" s="293"/>
      <c r="AM73" s="419"/>
      <c r="AN73" s="429"/>
      <c r="AO73" s="428"/>
      <c r="AP73" s="425"/>
      <c r="AQ73" s="425"/>
      <c r="AR73" s="422"/>
      <c r="AT73" s="419"/>
      <c r="AU73" s="425"/>
      <c r="AV73" s="425"/>
      <c r="AW73" s="425"/>
      <c r="AX73" s="425"/>
      <c r="AY73" s="422"/>
      <c r="BA73" s="419"/>
      <c r="BB73" s="425"/>
      <c r="BC73" s="425"/>
      <c r="BD73" s="425"/>
      <c r="BE73" s="425"/>
      <c r="BF73" s="422"/>
      <c r="BI73" s="432"/>
      <c r="BJ73" s="432"/>
      <c r="BK73" s="432"/>
      <c r="BL73" s="432"/>
      <c r="BO73" s="92" t="s">
        <v>235</v>
      </c>
      <c r="BP73" s="270">
        <f>M75</f>
        <v>60</v>
      </c>
      <c r="BQ73" s="270">
        <f>X75</f>
        <v>82</v>
      </c>
      <c r="BR73" s="270">
        <f>AI75</f>
        <v>110</v>
      </c>
      <c r="BS73" s="215">
        <f>SUM(BP73:BR73)</f>
        <v>252</v>
      </c>
    </row>
    <row r="74" spans="1:76" ht="17" customHeight="1" x14ac:dyDescent="0.35">
      <c r="A74" s="35"/>
      <c r="B74" s="112" t="s">
        <v>146</v>
      </c>
      <c r="C74" s="138">
        <f>'CPU (Workload)'!$G$17</f>
        <v>15371.365624999999</v>
      </c>
      <c r="D74" s="138">
        <f>'CPU (Workload)'!$G$19</f>
        <v>36425.583333333328</v>
      </c>
      <c r="E74" s="141">
        <f>'CPU (Workload)'!$G$21</f>
        <v>64759.15416666666</v>
      </c>
      <c r="F74" s="15"/>
      <c r="G74" s="235" t="s">
        <v>32</v>
      </c>
      <c r="H74" s="163">
        <f>ROUNDUP($C74/(gen_l_tps40),0)</f>
        <v>21</v>
      </c>
      <c r="I74" s="12">
        <f>ROUNDUP($C74/(gen_l_tps60),0)</f>
        <v>14</v>
      </c>
      <c r="J74" s="12">
        <f>ROUNDUP($C74/(gen_l_tps80),0)</f>
        <v>11</v>
      </c>
      <c r="K74" s="9">
        <f>ROUNDUP($C73/gen_l_disk,0)</f>
        <v>0</v>
      </c>
      <c r="L74" s="9">
        <f>ROUNDUP($C75/gen_l_bw,0)</f>
        <v>120</v>
      </c>
      <c r="M74" s="9">
        <f>MAX(J74:L74)</f>
        <v>120</v>
      </c>
      <c r="N74" s="9">
        <f>ROUNDUP(M74/gen_l_spr80,0)</f>
        <v>11</v>
      </c>
      <c r="O74" s="76">
        <f>ROUND(M74*gen_l_pow80*24*365,0)</f>
        <v>273312</v>
      </c>
      <c r="P74" s="67"/>
      <c r="Q74" s="235" t="s">
        <v>32</v>
      </c>
      <c r="R74" s="12">
        <f>ROUNDUP($D74/(gen_l_tps40),0)</f>
        <v>49</v>
      </c>
      <c r="S74" s="12">
        <f>ROUNDUP($D74/(gen_l_tps60),0)</f>
        <v>33</v>
      </c>
      <c r="T74" s="12">
        <f>ROUNDUP($D74/(gen_l_tps80),0)</f>
        <v>25</v>
      </c>
      <c r="U74" s="9">
        <f>ROUNDUP($D73/gen_l_disk,0)</f>
        <v>0</v>
      </c>
      <c r="V74" s="9">
        <f>ROUNDUP($D75/gen_l_bw,0)</f>
        <v>283</v>
      </c>
      <c r="W74" s="9">
        <f>MAX(T74:V74)</f>
        <v>283</v>
      </c>
      <c r="X74" s="9">
        <f>W74-M74</f>
        <v>163</v>
      </c>
      <c r="Y74" s="9">
        <f>ROUNDUP(X74/gen_l_spr80,0)</f>
        <v>15</v>
      </c>
      <c r="Z74" s="76">
        <f>ROUND((W74)*gen_l_pow80*24*365,0)</f>
        <v>644561</v>
      </c>
      <c r="AA74" s="67"/>
      <c r="AB74" s="235" t="s">
        <v>32</v>
      </c>
      <c r="AC74" s="12">
        <f>ROUNDUP($E74/(gen_l_tps40),0)</f>
        <v>87</v>
      </c>
      <c r="AD74" s="12">
        <f>ROUNDUP($E74/(gen_l_tps60),0)</f>
        <v>58</v>
      </c>
      <c r="AE74" s="12">
        <f>ROUNDUP($E74/(gen_l_tps80),0)</f>
        <v>44</v>
      </c>
      <c r="AF74" s="9">
        <f>ROUNDUP($E73/gen_l_disk,0)</f>
        <v>0</v>
      </c>
      <c r="AG74" s="9">
        <f>ROUNDUP($E75/gen_l_bw,0)</f>
        <v>503</v>
      </c>
      <c r="AH74" s="9">
        <f>MAX(AE74:AG74)</f>
        <v>503</v>
      </c>
      <c r="AI74" s="9">
        <f>AH74-W74</f>
        <v>220</v>
      </c>
      <c r="AJ74" s="9">
        <f>ROUNDUP(AI74/gen_l_spr80,0)</f>
        <v>20</v>
      </c>
      <c r="AK74" s="76">
        <f>ROUND((AH74)*gen_l_pow80*24*365,0)</f>
        <v>1145633</v>
      </c>
      <c r="AL74" s="67"/>
      <c r="AM74" s="235" t="s">
        <v>32</v>
      </c>
      <c r="AN74" s="36">
        <f>M74*gen_l_cost</f>
        <v>102000</v>
      </c>
      <c r="AO74" s="36">
        <f>N74*rack_cost</f>
        <v>55000</v>
      </c>
      <c r="AP74" s="36">
        <f>ROUND(O74*kwh_cost,0)</f>
        <v>14048</v>
      </c>
      <c r="AQ74" s="36">
        <v>0</v>
      </c>
      <c r="AR74" s="72">
        <f>SUM(AN74,AO74,AP74)</f>
        <v>171048</v>
      </c>
      <c r="AT74" s="235" t="s">
        <v>32</v>
      </c>
      <c r="AU74" s="36">
        <f>X74*gen_l_cost*1.02</f>
        <v>141321</v>
      </c>
      <c r="AV74" s="36">
        <f>Y74*rack_cost</f>
        <v>75000</v>
      </c>
      <c r="AW74" s="36">
        <f>ROUND(Z74*kwh_cost,0)</f>
        <v>33130</v>
      </c>
      <c r="AX74" s="36">
        <f>AN74*hw_supt</f>
        <v>20400</v>
      </c>
      <c r="AY74" s="72">
        <f>SUM(AU74,AV74,AW74,AX74)</f>
        <v>269851</v>
      </c>
      <c r="BA74" s="235" t="s">
        <v>32</v>
      </c>
      <c r="BB74" s="36">
        <f>AI74*gen_l_cost*1.0404</f>
        <v>194554.8</v>
      </c>
      <c r="BC74" s="36">
        <f>AJ74*rack_cost</f>
        <v>100000</v>
      </c>
      <c r="BD74" s="36">
        <f>ROUND(AK74*kwh_cost,0)</f>
        <v>58886</v>
      </c>
      <c r="BE74" s="36">
        <f>(AN74+AU74)*hw_supt</f>
        <v>48664.200000000004</v>
      </c>
      <c r="BF74" s="37">
        <f>SUM(BB74,BC74,BD74,BE74)</f>
        <v>402105</v>
      </c>
      <c r="BI74" s="188">
        <f>SUM(AH74)</f>
        <v>503</v>
      </c>
      <c r="BJ74" s="188">
        <f>SUM(AJ74,Y74,N74)</f>
        <v>46</v>
      </c>
      <c r="BK74" s="188">
        <f>SUM(AK74,Z74,O74)</f>
        <v>2063506</v>
      </c>
      <c r="BL74" s="245">
        <f>SUM(AR74,AY74,BF74)</f>
        <v>843004</v>
      </c>
      <c r="BO74" s="235" t="s">
        <v>236</v>
      </c>
      <c r="BP74" s="9">
        <f>N75</f>
        <v>9</v>
      </c>
      <c r="BQ74" s="9">
        <f>Y75</f>
        <v>12</v>
      </c>
      <c r="BR74" s="9">
        <f>AJ75</f>
        <v>16</v>
      </c>
      <c r="BS74" s="188">
        <f t="shared" ref="BS74:BS75" si="9">SUM(BP74:BR74)</f>
        <v>37</v>
      </c>
    </row>
    <row r="75" spans="1:76" ht="16" thickBot="1" x14ac:dyDescent="0.4">
      <c r="A75" s="39"/>
      <c r="B75" s="113" t="s">
        <v>49</v>
      </c>
      <c r="C75" s="142">
        <f>SUM(Bandwidth!$O$17,Bandwidth!$O$27)</f>
        <v>89.433399999999978</v>
      </c>
      <c r="D75" s="142">
        <f>SUM(Bandwidth!$O$19,Bandwidth!$O$29)</f>
        <v>211.93066666666664</v>
      </c>
      <c r="E75" s="143">
        <f>SUM(Bandwidth!$O$21,Bandwidth!$O$31)</f>
        <v>376.78053333333327</v>
      </c>
      <c r="F75" s="15"/>
      <c r="G75" s="93" t="s">
        <v>41</v>
      </c>
      <c r="H75" s="164">
        <f>ROUNDUP($C74/(gen_xl_tps40),0)</f>
        <v>9</v>
      </c>
      <c r="I75" s="74">
        <f>ROUNDUP($C74/(gen_xl_tps60),0)</f>
        <v>6</v>
      </c>
      <c r="J75" s="74">
        <f>ROUNDUP($C74/(gen_xl_tps80),0)</f>
        <v>5</v>
      </c>
      <c r="K75" s="69">
        <f>ROUNDUP($C73/gen_xl_disk,0)</f>
        <v>0</v>
      </c>
      <c r="L75" s="69">
        <f>ROUNDUP($C75/gen_xl_bw,0)</f>
        <v>60</v>
      </c>
      <c r="M75" s="69">
        <f>MAX(J75:L75)</f>
        <v>60</v>
      </c>
      <c r="N75" s="69">
        <f>ROUNDUP(M75/gen_xl_spr80,0)</f>
        <v>9</v>
      </c>
      <c r="O75" s="77">
        <f>ROUND(M75*gen_l_pow80*24*365,0)</f>
        <v>136656</v>
      </c>
      <c r="P75" s="67"/>
      <c r="Q75" s="93" t="s">
        <v>41</v>
      </c>
      <c r="R75" s="74">
        <f>ROUNDUP($D74/(gen_xl_tps40),0) - H75</f>
        <v>12</v>
      </c>
      <c r="S75" s="74">
        <f>ROUNDUP($D74/(gen_xl_tps60),0)</f>
        <v>14</v>
      </c>
      <c r="T75" s="74">
        <f>ROUNDUP($D74/(gen_xl_tps80),0)</f>
        <v>11</v>
      </c>
      <c r="U75" s="69">
        <f>ROUNDUP($D73/gen_xl_disk,0)</f>
        <v>0</v>
      </c>
      <c r="V75" s="69">
        <f>ROUNDUP($D75/gen_xl_bw,0)</f>
        <v>142</v>
      </c>
      <c r="W75" s="69">
        <f>MAX(T75:V75)</f>
        <v>142</v>
      </c>
      <c r="X75" s="69">
        <f>W75-M75</f>
        <v>82</v>
      </c>
      <c r="Y75" s="69">
        <f>ROUNDUP(X75/gen_xl_spr80,0)</f>
        <v>12</v>
      </c>
      <c r="Z75" s="77">
        <f>ROUND((W75)*gen_l_pow80*24*365,0)</f>
        <v>323419</v>
      </c>
      <c r="AA75" s="67"/>
      <c r="AB75" s="93" t="s">
        <v>41</v>
      </c>
      <c r="AC75" s="74">
        <f>ROUNDUP($E74/(gen_xl_tps40),0)</f>
        <v>36</v>
      </c>
      <c r="AD75" s="74">
        <f>ROUNDUP($E74/(gen_xl_tps60),0)</f>
        <v>24</v>
      </c>
      <c r="AE75" s="74">
        <f>ROUNDUP($E74/(gen_xl_tps80),0)</f>
        <v>18</v>
      </c>
      <c r="AF75" s="69">
        <f>ROUNDUP($E73/gen_xl_disk,0)</f>
        <v>0</v>
      </c>
      <c r="AG75" s="69">
        <f>ROUNDUP($E75/gen_xl_bw,0)</f>
        <v>252</v>
      </c>
      <c r="AH75" s="69">
        <f>MAX(AE75:AG75)</f>
        <v>252</v>
      </c>
      <c r="AI75" s="69">
        <f>AH75-W75</f>
        <v>110</v>
      </c>
      <c r="AJ75" s="69">
        <f>ROUNDUP(AI75/gen_xl_spr80,0)</f>
        <v>16</v>
      </c>
      <c r="AK75" s="77">
        <f>ROUND((AH75)*gen_l_pow80*24*365,0)</f>
        <v>573955</v>
      </c>
      <c r="AL75" s="67"/>
      <c r="AM75" s="93" t="s">
        <v>41</v>
      </c>
      <c r="AN75" s="75">
        <f>M75*gen_xl_cost</f>
        <v>141000</v>
      </c>
      <c r="AO75" s="75">
        <f>N75*rack_cost</f>
        <v>45000</v>
      </c>
      <c r="AP75" s="75">
        <f>ROUND(O75*kwh_cost,0)</f>
        <v>7024</v>
      </c>
      <c r="AQ75" s="75">
        <v>0</v>
      </c>
      <c r="AR75" s="320">
        <f>SUM(AN75,AO75,AP75)</f>
        <v>193024</v>
      </c>
      <c r="AT75" s="93" t="s">
        <v>41</v>
      </c>
      <c r="AU75" s="40">
        <f>X75*gen_xl_cost*1.02</f>
        <v>196554</v>
      </c>
      <c r="AV75" s="40">
        <f>Y75*rack_cost</f>
        <v>60000</v>
      </c>
      <c r="AW75" s="40">
        <f>ROUND(Z75*kwh_cost,0)</f>
        <v>16624</v>
      </c>
      <c r="AX75" s="40">
        <f>AN75*hw_supt</f>
        <v>28200</v>
      </c>
      <c r="AY75" s="320">
        <f>SUM(AU75,AV75,AW75,AX75)</f>
        <v>301378</v>
      </c>
      <c r="BA75" s="93" t="s">
        <v>41</v>
      </c>
      <c r="BB75" s="40">
        <f>AI75*gen_xl_cost*1.0404</f>
        <v>268943.40000000002</v>
      </c>
      <c r="BC75" s="40">
        <f>AJ75*rack_cost</f>
        <v>80000</v>
      </c>
      <c r="BD75" s="40">
        <f>ROUND(AK75*kwh_cost,0)</f>
        <v>29501</v>
      </c>
      <c r="BE75" s="40">
        <f>(AN75+AU75)*hw_supt</f>
        <v>67510.8</v>
      </c>
      <c r="BF75" s="320">
        <f>SUM(BB75,BC75,BD75,BE75)</f>
        <v>445955.2</v>
      </c>
      <c r="BI75" s="189">
        <f>SUM(AH75)</f>
        <v>252</v>
      </c>
      <c r="BJ75" s="189">
        <f>SUM(AJ75,Y75,N75)</f>
        <v>37</v>
      </c>
      <c r="BK75" s="189">
        <f>SUM(AK75,Z75,O75)</f>
        <v>1034030</v>
      </c>
      <c r="BL75" s="246">
        <f>SUM(AR75,AY75,BF75)</f>
        <v>940357.2</v>
      </c>
      <c r="BM75" t="s">
        <v>218</v>
      </c>
      <c r="BO75" s="93" t="s">
        <v>234</v>
      </c>
      <c r="BP75" s="69">
        <f>O75</f>
        <v>136656</v>
      </c>
      <c r="BQ75" s="69">
        <f>Z75</f>
        <v>323419</v>
      </c>
      <c r="BR75" s="69">
        <f>AK75</f>
        <v>573955</v>
      </c>
      <c r="BS75" s="189">
        <f t="shared" si="9"/>
        <v>1034030</v>
      </c>
    </row>
    <row r="76" spans="1:76" x14ac:dyDescent="0.35">
      <c r="F76" s="15"/>
      <c r="AA76" s="15"/>
    </row>
    <row r="77" spans="1:76" ht="16" thickBot="1" x14ac:dyDescent="0.4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</row>
    <row r="78" spans="1:76" ht="16" thickTop="1" x14ac:dyDescent="0.35">
      <c r="F78" s="15"/>
      <c r="AA78" s="15"/>
    </row>
    <row r="79" spans="1:76" ht="21" customHeight="1" x14ac:dyDescent="0.5">
      <c r="A79" s="82" t="s">
        <v>84</v>
      </c>
      <c r="F79" s="15"/>
      <c r="AA79" s="15"/>
    </row>
    <row r="80" spans="1:76" ht="16" thickBot="1" x14ac:dyDescent="0.4">
      <c r="A80" t="s">
        <v>106</v>
      </c>
      <c r="F80" s="15"/>
      <c r="AA80" s="15"/>
      <c r="AM80" t="s">
        <v>233</v>
      </c>
      <c r="AT80" t="s">
        <v>233</v>
      </c>
      <c r="BH80" s="258"/>
      <c r="BI80" s="258"/>
      <c r="BJ80" s="258"/>
      <c r="BK80" s="258"/>
      <c r="BL80" s="258"/>
      <c r="BM80" s="258"/>
    </row>
    <row r="81" spans="1:93" ht="34" customHeight="1" thickBot="1" x14ac:dyDescent="0.4">
      <c r="F81" s="15"/>
      <c r="G81" s="266" t="s">
        <v>50</v>
      </c>
      <c r="H81" s="263"/>
      <c r="I81" s="263"/>
      <c r="J81" s="263"/>
      <c r="K81" s="263"/>
      <c r="L81" s="263"/>
      <c r="M81" s="263"/>
      <c r="N81" s="263"/>
      <c r="O81" s="265"/>
      <c r="P81" s="105"/>
      <c r="Q81" s="266" t="s">
        <v>51</v>
      </c>
      <c r="R81" s="263"/>
      <c r="S81" s="263"/>
      <c r="T81" s="263"/>
      <c r="U81" s="263"/>
      <c r="V81" s="263"/>
      <c r="W81" s="263"/>
      <c r="X81" s="263"/>
      <c r="Y81" s="263"/>
      <c r="Z81" s="265"/>
      <c r="AA81" s="105"/>
      <c r="AB81" s="266" t="s">
        <v>52</v>
      </c>
      <c r="AC81" s="263"/>
      <c r="AD81" s="263"/>
      <c r="AE81" s="263"/>
      <c r="AF81" s="263"/>
      <c r="AG81" s="263"/>
      <c r="AH81" s="263"/>
      <c r="AI81" s="263"/>
      <c r="AJ81" s="263"/>
      <c r="AK81" s="265"/>
      <c r="AL81" s="105"/>
      <c r="AM81" s="254" t="s">
        <v>50</v>
      </c>
      <c r="AN81" s="99"/>
      <c r="AO81" s="99"/>
      <c r="AP81" s="99"/>
      <c r="AQ81" s="99"/>
      <c r="AR81" s="100"/>
      <c r="AT81" s="107" t="s">
        <v>51</v>
      </c>
      <c r="AU81" s="96"/>
      <c r="AV81" s="96"/>
      <c r="AW81" s="96"/>
      <c r="AX81" s="96"/>
      <c r="AY81" s="97"/>
      <c r="BA81" s="254" t="s">
        <v>52</v>
      </c>
      <c r="BB81" s="96"/>
      <c r="BC81" s="96"/>
      <c r="BD81" s="96"/>
      <c r="BE81" s="96"/>
      <c r="BF81" s="97"/>
      <c r="BH81" s="258"/>
      <c r="BI81" s="273"/>
      <c r="BJ81" s="273"/>
      <c r="BK81" s="274"/>
      <c r="BL81" s="275"/>
      <c r="BM81" s="258"/>
      <c r="BO81" s="298" t="s">
        <v>76</v>
      </c>
      <c r="BP81" s="299"/>
      <c r="BQ81" s="299"/>
      <c r="BR81" s="299"/>
      <c r="BS81" s="300"/>
      <c r="BU81" s="271"/>
      <c r="BV81" s="271"/>
      <c r="BW81" s="271"/>
      <c r="BX81" s="271"/>
    </row>
    <row r="82" spans="1:93" ht="51" customHeight="1" thickBot="1" x14ac:dyDescent="0.4">
      <c r="A82" s="46" t="s">
        <v>81</v>
      </c>
      <c r="B82" s="41"/>
      <c r="C82" s="42"/>
      <c r="D82" s="42"/>
      <c r="E82" s="43"/>
      <c r="F82" s="15"/>
      <c r="G82" s="418" t="s">
        <v>53</v>
      </c>
      <c r="H82" s="416" t="s">
        <v>55</v>
      </c>
      <c r="I82" s="417"/>
      <c r="J82" s="417"/>
      <c r="K82" s="417"/>
      <c r="L82" s="417"/>
      <c r="M82" s="423" t="s">
        <v>80</v>
      </c>
      <c r="N82" s="417" t="s">
        <v>57</v>
      </c>
      <c r="O82" s="420" t="s">
        <v>241</v>
      </c>
      <c r="P82" s="293"/>
      <c r="Q82" s="418" t="s">
        <v>53</v>
      </c>
      <c r="R82" s="417" t="s">
        <v>79</v>
      </c>
      <c r="S82" s="417"/>
      <c r="T82" s="417"/>
      <c r="U82" s="417"/>
      <c r="V82" s="417"/>
      <c r="W82" s="423" t="s">
        <v>104</v>
      </c>
      <c r="X82" s="423" t="s">
        <v>72</v>
      </c>
      <c r="Y82" s="423" t="s">
        <v>74</v>
      </c>
      <c r="Z82" s="420" t="s">
        <v>241</v>
      </c>
      <c r="AA82" s="293"/>
      <c r="AB82" s="418" t="s">
        <v>53</v>
      </c>
      <c r="AC82" s="416" t="s">
        <v>55</v>
      </c>
      <c r="AD82" s="417"/>
      <c r="AE82" s="417"/>
      <c r="AF82" s="417"/>
      <c r="AG82" s="417"/>
      <c r="AH82" s="423" t="s">
        <v>78</v>
      </c>
      <c r="AI82" s="423" t="s">
        <v>72</v>
      </c>
      <c r="AJ82" s="423" t="s">
        <v>74</v>
      </c>
      <c r="AK82" s="420" t="s">
        <v>241</v>
      </c>
      <c r="AL82" s="293"/>
      <c r="AM82" s="418" t="s">
        <v>53</v>
      </c>
      <c r="AN82" s="416" t="s">
        <v>56</v>
      </c>
      <c r="AO82" s="417" t="s">
        <v>58</v>
      </c>
      <c r="AP82" s="423" t="s">
        <v>242</v>
      </c>
      <c r="AQ82" s="423" t="s">
        <v>60</v>
      </c>
      <c r="AR82" s="420" t="s">
        <v>97</v>
      </c>
      <c r="AT82" s="418" t="s">
        <v>53</v>
      </c>
      <c r="AU82" s="423" t="s">
        <v>73</v>
      </c>
      <c r="AV82" s="423" t="s">
        <v>75</v>
      </c>
      <c r="AW82" s="423" t="s">
        <v>242</v>
      </c>
      <c r="AX82" s="423" t="s">
        <v>60</v>
      </c>
      <c r="AY82" s="420" t="s">
        <v>97</v>
      </c>
      <c r="BA82" s="418" t="s">
        <v>53</v>
      </c>
      <c r="BB82" s="423" t="s">
        <v>73</v>
      </c>
      <c r="BC82" s="423" t="s">
        <v>75</v>
      </c>
      <c r="BD82" s="423" t="s">
        <v>242</v>
      </c>
      <c r="BE82" s="423" t="s">
        <v>60</v>
      </c>
      <c r="BF82" s="420" t="s">
        <v>97</v>
      </c>
      <c r="BH82" s="258"/>
      <c r="BI82" s="430"/>
      <c r="BJ82" s="430"/>
      <c r="BK82" s="430"/>
      <c r="BL82" s="430"/>
      <c r="BM82" s="258"/>
      <c r="BO82" s="92"/>
      <c r="BP82" s="296" t="s">
        <v>50</v>
      </c>
      <c r="BQ82" s="296" t="s">
        <v>51</v>
      </c>
      <c r="BR82" s="296" t="s">
        <v>52</v>
      </c>
      <c r="BS82" s="292" t="s">
        <v>77</v>
      </c>
      <c r="BU82" s="294"/>
      <c r="BV82" s="294"/>
      <c r="BW82" s="294"/>
      <c r="BX82" s="293"/>
    </row>
    <row r="83" spans="1:93" ht="16" thickBot="1" x14ac:dyDescent="0.4">
      <c r="A83" s="35"/>
      <c r="B83" s="35" t="s">
        <v>164</v>
      </c>
      <c r="C83" s="15" t="s">
        <v>50</v>
      </c>
      <c r="D83" s="15" t="s">
        <v>51</v>
      </c>
      <c r="E83" s="38" t="s">
        <v>52</v>
      </c>
      <c r="F83" s="15"/>
      <c r="G83" s="415"/>
      <c r="H83" s="426" t="s">
        <v>163</v>
      </c>
      <c r="I83" s="427"/>
      <c r="J83" s="427"/>
      <c r="K83" s="427" t="s">
        <v>47</v>
      </c>
      <c r="L83" s="427" t="s">
        <v>31</v>
      </c>
      <c r="M83" s="424"/>
      <c r="N83" s="427"/>
      <c r="O83" s="421"/>
      <c r="P83" s="293"/>
      <c r="Q83" s="415"/>
      <c r="R83" s="427" t="s">
        <v>163</v>
      </c>
      <c r="S83" s="427"/>
      <c r="T83" s="427"/>
      <c r="U83" s="427" t="s">
        <v>47</v>
      </c>
      <c r="V83" s="427" t="s">
        <v>31</v>
      </c>
      <c r="W83" s="424"/>
      <c r="X83" s="424"/>
      <c r="Y83" s="424"/>
      <c r="Z83" s="421"/>
      <c r="AA83" s="293"/>
      <c r="AB83" s="415"/>
      <c r="AC83" s="426" t="s">
        <v>163</v>
      </c>
      <c r="AD83" s="427"/>
      <c r="AE83" s="427"/>
      <c r="AF83" s="427" t="s">
        <v>47</v>
      </c>
      <c r="AG83" s="427" t="s">
        <v>31</v>
      </c>
      <c r="AH83" s="424"/>
      <c r="AI83" s="424"/>
      <c r="AJ83" s="424"/>
      <c r="AK83" s="421"/>
      <c r="AL83" s="293"/>
      <c r="AM83" s="415"/>
      <c r="AN83" s="426"/>
      <c r="AO83" s="427"/>
      <c r="AP83" s="424"/>
      <c r="AQ83" s="424"/>
      <c r="AR83" s="421"/>
      <c r="AT83" s="415"/>
      <c r="AU83" s="424"/>
      <c r="AV83" s="424"/>
      <c r="AW83" s="424"/>
      <c r="AX83" s="424"/>
      <c r="AY83" s="421"/>
      <c r="BA83" s="415"/>
      <c r="BB83" s="424"/>
      <c r="BC83" s="424"/>
      <c r="BD83" s="424"/>
      <c r="BE83" s="424"/>
      <c r="BF83" s="421"/>
      <c r="BH83" s="258"/>
      <c r="BI83" s="430"/>
      <c r="BJ83" s="430"/>
      <c r="BK83" s="430"/>
      <c r="BL83" s="430"/>
      <c r="BM83" s="258"/>
      <c r="BO83" s="254" t="s">
        <v>91</v>
      </c>
      <c r="BP83" s="260">
        <f>SUM(BP42,BP52,BP62,BP72)</f>
        <v>2095864</v>
      </c>
      <c r="BQ83" s="260">
        <f t="shared" ref="BQ83:BR83" si="10">SUM(BQ42,BQ52,BQ62,BQ72)</f>
        <v>1766698</v>
      </c>
      <c r="BR83" s="260">
        <f t="shared" si="10"/>
        <v>2843908.1400000006</v>
      </c>
      <c r="BS83" s="269">
        <f>SUM(BP83:BR83)</f>
        <v>6706470.1400000006</v>
      </c>
      <c r="BU83" s="67"/>
      <c r="BV83" s="67"/>
      <c r="BW83" s="67"/>
      <c r="BX83" s="272"/>
    </row>
    <row r="84" spans="1:93" ht="16" thickBot="1" x14ac:dyDescent="0.4">
      <c r="A84" s="35"/>
      <c r="B84" s="112" t="s">
        <v>48</v>
      </c>
      <c r="C84" s="138">
        <f>SUM(C43,C53,C63,C73)</f>
        <v>518400</v>
      </c>
      <c r="D84" s="138">
        <f t="shared" ref="D84:E84" si="11">SUM(D43,D53,D63,D73)</f>
        <v>518400</v>
      </c>
      <c r="E84" s="141">
        <f t="shared" si="11"/>
        <v>518400</v>
      </c>
      <c r="F84" s="15"/>
      <c r="G84" s="419"/>
      <c r="H84" s="267">
        <v>0.4</v>
      </c>
      <c r="I84" s="264">
        <v>0.6</v>
      </c>
      <c r="J84" s="264">
        <v>0.8</v>
      </c>
      <c r="K84" s="428"/>
      <c r="L84" s="428"/>
      <c r="M84" s="425"/>
      <c r="N84" s="428"/>
      <c r="O84" s="422"/>
      <c r="P84" s="293"/>
      <c r="Q84" s="419"/>
      <c r="R84" s="264">
        <v>0.4</v>
      </c>
      <c r="S84" s="264">
        <v>0.6</v>
      </c>
      <c r="T84" s="264">
        <v>0.8</v>
      </c>
      <c r="U84" s="428"/>
      <c r="V84" s="428"/>
      <c r="W84" s="425"/>
      <c r="X84" s="425"/>
      <c r="Y84" s="425"/>
      <c r="Z84" s="422"/>
      <c r="AA84" s="293"/>
      <c r="AB84" s="419"/>
      <c r="AC84" s="267">
        <v>0.4</v>
      </c>
      <c r="AD84" s="264">
        <v>0.6</v>
      </c>
      <c r="AE84" s="264">
        <v>0.8</v>
      </c>
      <c r="AF84" s="428"/>
      <c r="AG84" s="428"/>
      <c r="AH84" s="425"/>
      <c r="AI84" s="425"/>
      <c r="AJ84" s="425"/>
      <c r="AK84" s="422"/>
      <c r="AL84" s="293"/>
      <c r="AM84" s="419"/>
      <c r="AN84" s="429"/>
      <c r="AO84" s="428"/>
      <c r="AP84" s="425"/>
      <c r="AQ84" s="425"/>
      <c r="AR84" s="422"/>
      <c r="AT84" s="415"/>
      <c r="AU84" s="425"/>
      <c r="AV84" s="425"/>
      <c r="AW84" s="425"/>
      <c r="AX84" s="425"/>
      <c r="AY84" s="422"/>
      <c r="BA84" s="419"/>
      <c r="BB84" s="425"/>
      <c r="BC84" s="425"/>
      <c r="BD84" s="425"/>
      <c r="BE84" s="425"/>
      <c r="BF84" s="422"/>
      <c r="BH84" s="258"/>
      <c r="BI84" s="430"/>
      <c r="BJ84" s="430"/>
      <c r="BK84" s="430"/>
      <c r="BL84" s="430"/>
      <c r="BM84" s="258"/>
      <c r="BO84" s="92" t="s">
        <v>235</v>
      </c>
      <c r="BP84" s="270">
        <f t="shared" ref="BP84:BR84" si="12">SUM(BP43,BP53,BP63,BP73)</f>
        <v>657</v>
      </c>
      <c r="BQ84" s="270">
        <f t="shared" si="12"/>
        <v>426</v>
      </c>
      <c r="BR84" s="270">
        <f t="shared" si="12"/>
        <v>671</v>
      </c>
      <c r="BS84" s="215">
        <f>SUM(BP84:BR84)</f>
        <v>1754</v>
      </c>
    </row>
    <row r="85" spans="1:93" x14ac:dyDescent="0.35">
      <c r="A85" s="35"/>
      <c r="B85" s="112" t="s">
        <v>146</v>
      </c>
      <c r="C85" s="138">
        <f t="shared" ref="C85:E85" si="13">SUM(C44,C54,C64,C74)</f>
        <v>33537.524999999994</v>
      </c>
      <c r="D85" s="138">
        <f t="shared" si="13"/>
        <v>79473.999999999985</v>
      </c>
      <c r="E85" s="141">
        <f t="shared" si="13"/>
        <v>141292.69999999998</v>
      </c>
      <c r="F85" s="15"/>
      <c r="G85" s="235" t="s">
        <v>32</v>
      </c>
      <c r="H85" s="101"/>
      <c r="I85" s="101"/>
      <c r="J85" s="101"/>
      <c r="K85" s="102"/>
      <c r="L85" s="102"/>
      <c r="M85" s="9">
        <f>SUM(M44,M54,M64,M74)</f>
        <v>1436</v>
      </c>
      <c r="N85" s="9">
        <f t="shared" ref="N85:O85" si="14">SUM(N44,N54,N64,N74)</f>
        <v>132</v>
      </c>
      <c r="O85" s="76">
        <f t="shared" si="14"/>
        <v>3270633</v>
      </c>
      <c r="P85" s="67"/>
      <c r="Q85" s="235" t="s">
        <v>32</v>
      </c>
      <c r="R85" s="101"/>
      <c r="S85" s="101"/>
      <c r="T85" s="101"/>
      <c r="U85" s="102"/>
      <c r="V85" s="102"/>
      <c r="W85" s="9">
        <f t="shared" ref="W85:Z85" si="15">SUM(W44,W54,W64,W74)</f>
        <v>2286</v>
      </c>
      <c r="X85" s="9">
        <f t="shared" si="15"/>
        <v>850</v>
      </c>
      <c r="Y85" s="9">
        <f t="shared" si="15"/>
        <v>78</v>
      </c>
      <c r="Z85" s="76">
        <f t="shared" si="15"/>
        <v>5206593</v>
      </c>
      <c r="AA85" s="67"/>
      <c r="AB85" s="235" t="s">
        <v>32</v>
      </c>
      <c r="AC85" s="101"/>
      <c r="AD85" s="101"/>
      <c r="AE85" s="101"/>
      <c r="AF85" s="102"/>
      <c r="AG85" s="102"/>
      <c r="AH85" s="9">
        <f t="shared" ref="AH85:AK85" si="16">SUM(AH44,AH54,AH64,AH74)</f>
        <v>3504</v>
      </c>
      <c r="AI85" s="9">
        <f t="shared" si="16"/>
        <v>1218</v>
      </c>
      <c r="AJ85" s="9">
        <f t="shared" si="16"/>
        <v>112</v>
      </c>
      <c r="AK85" s="76">
        <f t="shared" si="16"/>
        <v>7980711</v>
      </c>
      <c r="AL85" s="67"/>
      <c r="AM85" s="235" t="s">
        <v>32</v>
      </c>
      <c r="AN85" s="36">
        <f t="shared" ref="AN85:AR85" si="17">SUM(AN44,AN54,AN64,AN74)</f>
        <v>1220600</v>
      </c>
      <c r="AO85" s="36">
        <f t="shared" si="17"/>
        <v>660000</v>
      </c>
      <c r="AP85" s="36">
        <f t="shared" si="17"/>
        <v>168110</v>
      </c>
      <c r="AQ85" s="36">
        <f t="shared" si="17"/>
        <v>0</v>
      </c>
      <c r="AR85" s="72">
        <f t="shared" si="17"/>
        <v>2048710</v>
      </c>
      <c r="AT85" s="235" t="s">
        <v>32</v>
      </c>
      <c r="AU85" s="36">
        <f t="shared" ref="AU85:AY85" si="18">SUM(AU44,AU54,AU64,AU74)</f>
        <v>736950</v>
      </c>
      <c r="AV85" s="36">
        <f t="shared" si="18"/>
        <v>390000</v>
      </c>
      <c r="AW85" s="36">
        <f t="shared" si="18"/>
        <v>267619</v>
      </c>
      <c r="AX85" s="36">
        <f t="shared" si="18"/>
        <v>244120</v>
      </c>
      <c r="AY85" s="72">
        <f t="shared" si="18"/>
        <v>1638689</v>
      </c>
      <c r="BA85" s="235" t="s">
        <v>32</v>
      </c>
      <c r="BB85" s="36">
        <f t="shared" ref="BB85:BF85" si="19">SUM(BB44,BB54,BB64,BB74)</f>
        <v>1077126.1200000001</v>
      </c>
      <c r="BC85" s="36">
        <f t="shared" si="19"/>
        <v>560000</v>
      </c>
      <c r="BD85" s="36">
        <f t="shared" si="19"/>
        <v>410209</v>
      </c>
      <c r="BE85" s="36">
        <f t="shared" si="19"/>
        <v>391510.00000000006</v>
      </c>
      <c r="BF85" s="72">
        <f t="shared" si="19"/>
        <v>2438845.12</v>
      </c>
      <c r="BH85" s="258"/>
      <c r="BI85" s="131"/>
      <c r="BJ85" s="131"/>
      <c r="BK85" s="131"/>
      <c r="BL85" s="276"/>
      <c r="BM85" s="258"/>
      <c r="BO85" s="235" t="s">
        <v>236</v>
      </c>
      <c r="BP85" s="9">
        <f t="shared" ref="BP85:BR85" si="20">SUM(BP44,BP54,BP64,BP74)</f>
        <v>95</v>
      </c>
      <c r="BQ85" s="9">
        <f t="shared" si="20"/>
        <v>62</v>
      </c>
      <c r="BR85" s="9">
        <f t="shared" si="20"/>
        <v>97</v>
      </c>
      <c r="BS85" s="188">
        <f t="shared" ref="BS85:BS86" si="21">SUM(BP85:BR85)</f>
        <v>254</v>
      </c>
    </row>
    <row r="86" spans="1:93" ht="16" thickBot="1" x14ac:dyDescent="0.4">
      <c r="A86" s="39"/>
      <c r="B86" s="113" t="s">
        <v>49</v>
      </c>
      <c r="C86" s="142">
        <f t="shared" ref="C86:E86" si="22">SUM(C45,C55,C65,C75)</f>
        <v>623.24347791999992</v>
      </c>
      <c r="D86" s="142">
        <f t="shared" si="22"/>
        <v>1476.9024298666664</v>
      </c>
      <c r="E86" s="143">
        <f t="shared" si="22"/>
        <v>2625.7081806933325</v>
      </c>
      <c r="F86" s="15"/>
      <c r="G86" s="93" t="s">
        <v>41</v>
      </c>
      <c r="H86" s="103"/>
      <c r="I86" s="103"/>
      <c r="J86" s="103"/>
      <c r="K86" s="104"/>
      <c r="L86" s="104"/>
      <c r="M86" s="69">
        <f t="shared" ref="M86:O86" si="23">SUM(M45,M55,M65,M75)</f>
        <v>657</v>
      </c>
      <c r="N86" s="69">
        <f t="shared" si="23"/>
        <v>95</v>
      </c>
      <c r="O86" s="77">
        <f t="shared" si="23"/>
        <v>1496383</v>
      </c>
      <c r="P86" s="67"/>
      <c r="Q86" s="93" t="s">
        <v>41</v>
      </c>
      <c r="R86" s="103"/>
      <c r="S86" s="103"/>
      <c r="T86" s="103"/>
      <c r="U86" s="104"/>
      <c r="V86" s="104"/>
      <c r="W86" s="69">
        <f t="shared" ref="W86:Z86" si="24">SUM(W45,W55,W65,W75)</f>
        <v>1083</v>
      </c>
      <c r="X86" s="69">
        <f t="shared" si="24"/>
        <v>426</v>
      </c>
      <c r="Y86" s="69">
        <f t="shared" si="24"/>
        <v>62</v>
      </c>
      <c r="Z86" s="77">
        <f t="shared" si="24"/>
        <v>2466640</v>
      </c>
      <c r="AA86" s="67"/>
      <c r="AB86" s="93" t="s">
        <v>41</v>
      </c>
      <c r="AC86" s="103"/>
      <c r="AD86" s="103"/>
      <c r="AE86" s="103"/>
      <c r="AF86" s="104"/>
      <c r="AG86" s="104"/>
      <c r="AH86" s="69">
        <f t="shared" ref="AH86:AK86" si="25">SUM(AH45,AH55,AH65,AH75)</f>
        <v>1754</v>
      </c>
      <c r="AI86" s="69">
        <f t="shared" si="25"/>
        <v>671</v>
      </c>
      <c r="AJ86" s="69">
        <f t="shared" si="25"/>
        <v>97</v>
      </c>
      <c r="AK86" s="77">
        <f t="shared" si="25"/>
        <v>3994910</v>
      </c>
      <c r="AL86" s="67"/>
      <c r="AM86" s="93" t="s">
        <v>41</v>
      </c>
      <c r="AN86" s="75">
        <f t="shared" ref="AN86:AR86" si="26">SUM(AN45,AN55,AN65,AN75)</f>
        <v>1543950</v>
      </c>
      <c r="AO86" s="75">
        <f t="shared" si="26"/>
        <v>475000</v>
      </c>
      <c r="AP86" s="75">
        <f t="shared" si="26"/>
        <v>76914</v>
      </c>
      <c r="AQ86" s="75">
        <f t="shared" si="26"/>
        <v>0</v>
      </c>
      <c r="AR86" s="320">
        <f t="shared" si="26"/>
        <v>2095864</v>
      </c>
      <c r="AT86" s="93" t="s">
        <v>41</v>
      </c>
      <c r="AU86" s="40">
        <f t="shared" ref="AU86:AY86" si="27">SUM(AU45,AU55,AU65,AU75)</f>
        <v>1021122</v>
      </c>
      <c r="AV86" s="40">
        <f t="shared" si="27"/>
        <v>310000</v>
      </c>
      <c r="AW86" s="40">
        <f t="shared" si="27"/>
        <v>126786</v>
      </c>
      <c r="AX86" s="40">
        <f t="shared" si="27"/>
        <v>308790</v>
      </c>
      <c r="AY86" s="320">
        <f t="shared" si="27"/>
        <v>1766698</v>
      </c>
      <c r="BA86" s="93" t="s">
        <v>41</v>
      </c>
      <c r="BB86" s="40">
        <f t="shared" ref="BB86:BF86" si="28">SUM(BB45,BB55,BB65,BB75)</f>
        <v>1640554.7400000002</v>
      </c>
      <c r="BC86" s="40">
        <f t="shared" si="28"/>
        <v>485000</v>
      </c>
      <c r="BD86" s="40">
        <f t="shared" si="28"/>
        <v>205339</v>
      </c>
      <c r="BE86" s="40">
        <f t="shared" si="28"/>
        <v>513014.4</v>
      </c>
      <c r="BF86" s="320">
        <f t="shared" si="28"/>
        <v>2843908.1400000006</v>
      </c>
      <c r="BH86" s="258"/>
      <c r="BI86" s="131"/>
      <c r="BJ86" s="131"/>
      <c r="BK86" s="131"/>
      <c r="BL86" s="276"/>
      <c r="BM86" s="258"/>
      <c r="BO86" s="93" t="s">
        <v>234</v>
      </c>
      <c r="BP86" s="69">
        <f t="shared" ref="BP86:BR86" si="29">SUM(BP45,BP55,BP65,BP75)</f>
        <v>1496383</v>
      </c>
      <c r="BQ86" s="69">
        <f t="shared" si="29"/>
        <v>2466640</v>
      </c>
      <c r="BR86" s="69">
        <f t="shared" si="29"/>
        <v>3994910</v>
      </c>
      <c r="BS86" s="189">
        <f t="shared" si="21"/>
        <v>7957933</v>
      </c>
    </row>
    <row r="87" spans="1:93" x14ac:dyDescent="0.35">
      <c r="W87" s="15"/>
    </row>
    <row r="88" spans="1:93" x14ac:dyDescent="0.35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111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</row>
    <row r="89" spans="1:93" x14ac:dyDescent="0.35">
      <c r="W89" s="15"/>
    </row>
    <row r="90" spans="1:93" ht="21" x14ac:dyDescent="0.5">
      <c r="A90" s="82" t="s">
        <v>85</v>
      </c>
      <c r="W90" s="15"/>
    </row>
    <row r="91" spans="1:93" x14ac:dyDescent="0.35">
      <c r="A91" t="s">
        <v>167</v>
      </c>
      <c r="W91" s="15"/>
    </row>
    <row r="92" spans="1:93" x14ac:dyDescent="0.35">
      <c r="A92" t="s">
        <v>168</v>
      </c>
      <c r="W92" s="15"/>
    </row>
    <row r="93" spans="1:93" x14ac:dyDescent="0.35">
      <c r="A93" t="s">
        <v>169</v>
      </c>
      <c r="W93" s="15"/>
    </row>
    <row r="94" spans="1:93" x14ac:dyDescent="0.35">
      <c r="A94" t="s">
        <v>208</v>
      </c>
      <c r="W94" s="15"/>
    </row>
    <row r="95" spans="1:93" x14ac:dyDescent="0.35">
      <c r="A95" t="s">
        <v>347</v>
      </c>
      <c r="W95" s="15"/>
    </row>
    <row r="96" spans="1:93" x14ac:dyDescent="0.35">
      <c r="A96" t="s">
        <v>229</v>
      </c>
      <c r="W96" s="15"/>
    </row>
    <row r="97" spans="1:23" x14ac:dyDescent="0.35">
      <c r="W97" s="15"/>
    </row>
    <row r="98" spans="1:23" x14ac:dyDescent="0.35">
      <c r="A98" s="11" t="s">
        <v>221</v>
      </c>
      <c r="W98" s="15"/>
    </row>
    <row r="99" spans="1:23" ht="16" thickBot="1" x14ac:dyDescent="0.4">
      <c r="W99" s="15"/>
    </row>
    <row r="100" spans="1:23" ht="16" thickBot="1" x14ac:dyDescent="0.4">
      <c r="A100" s="46" t="s">
        <v>212</v>
      </c>
      <c r="B100" s="92"/>
      <c r="C100" s="296" t="s">
        <v>50</v>
      </c>
      <c r="D100" s="296" t="s">
        <v>51</v>
      </c>
      <c r="E100" s="80" t="s">
        <v>52</v>
      </c>
      <c r="G100" s="435" t="s">
        <v>94</v>
      </c>
      <c r="H100" s="247" t="s">
        <v>209</v>
      </c>
      <c r="I100" s="241"/>
      <c r="J100" s="242"/>
      <c r="V100" s="15"/>
    </row>
    <row r="101" spans="1:23" ht="34" customHeight="1" thickBot="1" x14ac:dyDescent="0.4">
      <c r="A101" s="39"/>
      <c r="B101" s="249" t="s">
        <v>49</v>
      </c>
      <c r="C101" s="233">
        <f>Bandwidth!$O$39</f>
        <v>388.21250271999992</v>
      </c>
      <c r="D101" s="233">
        <f>Bandwidth!$O$41</f>
        <v>919.94863786666656</v>
      </c>
      <c r="E101" s="234">
        <f>Bandwidth!$O$43</f>
        <v>1635.5289390933331</v>
      </c>
      <c r="G101" s="436"/>
      <c r="H101" s="236" t="s">
        <v>50</v>
      </c>
      <c r="I101" s="237" t="s">
        <v>51</v>
      </c>
      <c r="J101" s="238" t="s">
        <v>52</v>
      </c>
      <c r="V101" s="15"/>
    </row>
    <row r="102" spans="1:23" x14ac:dyDescent="0.35">
      <c r="G102" s="235" t="s">
        <v>90</v>
      </c>
      <c r="H102" s="188">
        <f>ROUNDUP(C101/gig_bw,0)*2</f>
        <v>1036</v>
      </c>
      <c r="I102" s="188">
        <f>ROUNDUP(D101/gig_bw,0)*2</f>
        <v>2454</v>
      </c>
      <c r="J102" s="188">
        <f>ROUNDUP(E101/gig_bw,0)*2</f>
        <v>4362</v>
      </c>
      <c r="V102" s="15"/>
    </row>
    <row r="103" spans="1:23" x14ac:dyDescent="0.35">
      <c r="G103" s="235" t="s">
        <v>92</v>
      </c>
      <c r="H103" s="188">
        <f>ROUNDUP(C101/oc48_bw,0)*2</f>
        <v>416</v>
      </c>
      <c r="I103" s="188">
        <f>ROUNDUP(D101/oc48_bw,0)*2</f>
        <v>982</v>
      </c>
      <c r="J103" s="188">
        <f>ROUNDUP(E101/oc48_bw,0)*2</f>
        <v>1746</v>
      </c>
      <c r="V103" s="15"/>
    </row>
    <row r="104" spans="1:23" ht="16" thickBot="1" x14ac:dyDescent="0.4">
      <c r="G104" s="93" t="s">
        <v>93</v>
      </c>
      <c r="H104" s="189">
        <f>ROUNDUP(C101/oc192_bw,0)*2</f>
        <v>104</v>
      </c>
      <c r="I104" s="189">
        <f>ROUNDUP(D101/oc192_bw,0)*2</f>
        <v>246</v>
      </c>
      <c r="J104" s="189">
        <f>ROUNDUP(E101/oc192_bw,0)*2</f>
        <v>438</v>
      </c>
      <c r="V104" s="15"/>
    </row>
    <row r="105" spans="1:23" x14ac:dyDescent="0.35">
      <c r="W105" s="15"/>
    </row>
    <row r="106" spans="1:23" x14ac:dyDescent="0.35">
      <c r="W106" s="15"/>
    </row>
    <row r="107" spans="1:23" x14ac:dyDescent="0.35">
      <c r="A107" s="11" t="s">
        <v>222</v>
      </c>
      <c r="W107" s="15"/>
    </row>
    <row r="108" spans="1:23" x14ac:dyDescent="0.35">
      <c r="A108" t="s">
        <v>219</v>
      </c>
      <c r="W108" s="15"/>
    </row>
    <row r="109" spans="1:23" x14ac:dyDescent="0.35">
      <c r="A109" t="s">
        <v>210</v>
      </c>
      <c r="F109" s="70"/>
      <c r="N109" s="70"/>
      <c r="W109" s="15"/>
    </row>
    <row r="110" spans="1:23" x14ac:dyDescent="0.35">
      <c r="A110" t="s">
        <v>211</v>
      </c>
      <c r="C110" s="5"/>
      <c r="E110" s="2"/>
      <c r="F110" s="88"/>
      <c r="G110" s="70"/>
      <c r="H110" s="8"/>
      <c r="I110" s="87"/>
      <c r="W110" s="15"/>
    </row>
    <row r="111" spans="1:23" ht="16" thickBot="1" x14ac:dyDescent="0.4">
      <c r="G111" s="5"/>
      <c r="H111" s="5"/>
      <c r="W111" s="15"/>
    </row>
    <row r="112" spans="1:23" ht="17" customHeight="1" thickBot="1" x14ac:dyDescent="0.4">
      <c r="A112" s="248" t="s">
        <v>212</v>
      </c>
      <c r="B112" s="92"/>
      <c r="C112" s="296" t="s">
        <v>50</v>
      </c>
      <c r="D112" s="296" t="s">
        <v>51</v>
      </c>
      <c r="E112" s="80" t="s">
        <v>52</v>
      </c>
      <c r="G112" s="435"/>
      <c r="H112" s="247" t="s">
        <v>209</v>
      </c>
      <c r="I112" s="241"/>
      <c r="J112" s="242"/>
      <c r="W112" s="15"/>
    </row>
    <row r="113" spans="1:93" ht="16" thickBot="1" x14ac:dyDescent="0.4">
      <c r="A113" s="73"/>
      <c r="B113" s="249" t="s">
        <v>82</v>
      </c>
      <c r="C113" s="239">
        <f>M86</f>
        <v>657</v>
      </c>
      <c r="D113" s="239">
        <f>W86</f>
        <v>1083</v>
      </c>
      <c r="E113" s="240">
        <f>AH86</f>
        <v>1754</v>
      </c>
      <c r="G113" s="436"/>
      <c r="H113" s="236" t="s">
        <v>50</v>
      </c>
      <c r="I113" s="237" t="s">
        <v>51</v>
      </c>
      <c r="J113" s="238" t="s">
        <v>52</v>
      </c>
      <c r="W113" s="15"/>
    </row>
    <row r="114" spans="1:93" ht="16" thickBot="1" x14ac:dyDescent="0.4">
      <c r="E114" s="5"/>
      <c r="G114" s="93" t="s">
        <v>90</v>
      </c>
      <c r="H114" s="189">
        <f>C113*gen_xl_ports</f>
        <v>2628</v>
      </c>
      <c r="I114" s="189">
        <f>D113*gen_xl_ports</f>
        <v>4332</v>
      </c>
      <c r="J114" s="189">
        <f>E113*gen_xl_ports</f>
        <v>7016</v>
      </c>
      <c r="K114" t="s">
        <v>220</v>
      </c>
      <c r="W114" s="15"/>
    </row>
    <row r="115" spans="1:93" x14ac:dyDescent="0.35">
      <c r="W115" s="15"/>
    </row>
    <row r="116" spans="1:93" x14ac:dyDescent="0.35">
      <c r="W116" s="15"/>
    </row>
    <row r="117" spans="1:93" ht="19" thickBot="1" x14ac:dyDescent="0.5">
      <c r="A117" s="51" t="s">
        <v>226</v>
      </c>
      <c r="W117" s="15"/>
    </row>
    <row r="118" spans="1:93" ht="16" thickBot="1" x14ac:dyDescent="0.4">
      <c r="A118" t="s">
        <v>227</v>
      </c>
      <c r="G118" s="433"/>
      <c r="H118" s="250" t="s">
        <v>231</v>
      </c>
      <c r="I118" s="241"/>
      <c r="J118" s="242"/>
      <c r="L118" s="433"/>
      <c r="M118" s="107" t="s">
        <v>107</v>
      </c>
      <c r="N118" s="108"/>
      <c r="O118" s="109"/>
      <c r="P118" s="107" t="s">
        <v>98</v>
      </c>
      <c r="Q118" s="108"/>
      <c r="R118" s="109"/>
      <c r="S118" s="107" t="s">
        <v>230</v>
      </c>
      <c r="T118" s="108"/>
      <c r="U118" s="108"/>
      <c r="V118" s="107" t="s">
        <v>243</v>
      </c>
      <c r="W118" s="108"/>
      <c r="X118" s="109"/>
      <c r="Z118" s="107" t="s">
        <v>50</v>
      </c>
      <c r="AA118" s="108"/>
      <c r="AB118" s="108"/>
      <c r="AC118" s="108"/>
      <c r="AD118" s="108"/>
      <c r="AE118" s="109"/>
      <c r="AG118" s="107" t="s">
        <v>51</v>
      </c>
      <c r="AH118" s="108"/>
      <c r="AI118" s="108"/>
      <c r="AJ118" s="108"/>
      <c r="AK118" s="108"/>
      <c r="AL118" s="109"/>
      <c r="AN118" s="107" t="s">
        <v>52</v>
      </c>
      <c r="AO118" s="108"/>
      <c r="AP118" s="108"/>
      <c r="AQ118" s="108"/>
      <c r="AR118" s="108"/>
      <c r="AS118" s="109"/>
      <c r="AU118" s="298" t="s">
        <v>76</v>
      </c>
      <c r="AV118" s="299"/>
      <c r="AW118" s="299"/>
      <c r="AX118" s="299"/>
      <c r="AY118" s="300"/>
    </row>
    <row r="119" spans="1:93" ht="31.5" thickBot="1" x14ac:dyDescent="0.4">
      <c r="A119" t="s">
        <v>223</v>
      </c>
      <c r="G119" s="426"/>
      <c r="H119" s="236" t="s">
        <v>50</v>
      </c>
      <c r="I119" s="237" t="s">
        <v>51</v>
      </c>
      <c r="J119" s="238" t="s">
        <v>52</v>
      </c>
      <c r="L119" s="432"/>
      <c r="M119" s="297" t="s">
        <v>50</v>
      </c>
      <c r="N119" s="209" t="s">
        <v>51</v>
      </c>
      <c r="O119" s="210" t="s">
        <v>52</v>
      </c>
      <c r="P119" s="174" t="s">
        <v>50</v>
      </c>
      <c r="Q119" s="108" t="s">
        <v>51</v>
      </c>
      <c r="R119" s="109" t="s">
        <v>52</v>
      </c>
      <c r="S119" s="174" t="s">
        <v>50</v>
      </c>
      <c r="T119" s="108" t="s">
        <v>51</v>
      </c>
      <c r="U119" s="108" t="s">
        <v>52</v>
      </c>
      <c r="V119" s="174" t="s">
        <v>50</v>
      </c>
      <c r="W119" s="108" t="s">
        <v>51</v>
      </c>
      <c r="X119" s="109" t="s">
        <v>52</v>
      </c>
      <c r="Z119" s="174" t="s">
        <v>170</v>
      </c>
      <c r="AA119" s="175" t="s">
        <v>87</v>
      </c>
      <c r="AB119" s="175" t="s">
        <v>58</v>
      </c>
      <c r="AC119" s="181" t="s">
        <v>242</v>
      </c>
      <c r="AD119" s="181" t="s">
        <v>60</v>
      </c>
      <c r="AE119" s="190" t="s">
        <v>97</v>
      </c>
      <c r="AG119" s="174" t="s">
        <v>170</v>
      </c>
      <c r="AH119" s="175" t="s">
        <v>87</v>
      </c>
      <c r="AI119" s="175" t="s">
        <v>58</v>
      </c>
      <c r="AJ119" s="181" t="s">
        <v>242</v>
      </c>
      <c r="AK119" s="181" t="s">
        <v>60</v>
      </c>
      <c r="AL119" s="190" t="s">
        <v>97</v>
      </c>
      <c r="AN119" s="174" t="s">
        <v>170</v>
      </c>
      <c r="AO119" s="175" t="s">
        <v>87</v>
      </c>
      <c r="AP119" s="175" t="s">
        <v>58</v>
      </c>
      <c r="AQ119" s="181" t="s">
        <v>242</v>
      </c>
      <c r="AR119" s="181" t="s">
        <v>60</v>
      </c>
      <c r="AS119" s="190" t="s">
        <v>97</v>
      </c>
      <c r="AU119" s="92"/>
      <c r="AV119" s="295" t="s">
        <v>50</v>
      </c>
      <c r="AW119" s="296" t="s">
        <v>51</v>
      </c>
      <c r="AX119" s="80" t="s">
        <v>52</v>
      </c>
      <c r="AY119" s="292" t="s">
        <v>77</v>
      </c>
    </row>
    <row r="120" spans="1:93" ht="17" customHeight="1" thickBot="1" x14ac:dyDescent="0.4">
      <c r="A120" s="437" t="s">
        <v>224</v>
      </c>
      <c r="B120" s="437"/>
      <c r="C120" s="437"/>
      <c r="D120" s="437"/>
      <c r="E120" s="437"/>
      <c r="G120" s="71" t="s">
        <v>90</v>
      </c>
      <c r="H120" s="188">
        <f>H114</f>
        <v>2628</v>
      </c>
      <c r="I120" s="188">
        <f t="shared" ref="I120:J120" si="30">I114</f>
        <v>4332</v>
      </c>
      <c r="J120" s="188">
        <f t="shared" si="30"/>
        <v>7016</v>
      </c>
      <c r="L120" s="235" t="s">
        <v>90</v>
      </c>
      <c r="M120" s="255">
        <f>ROUNDUP(H120/gig_ports,0)</f>
        <v>329</v>
      </c>
      <c r="N120" s="9">
        <f>ROUNDUP(I120/gig_ports,0)</f>
        <v>542</v>
      </c>
      <c r="O120" s="76">
        <f>ROUNDUP(J120/gig_ports,0)</f>
        <v>877</v>
      </c>
      <c r="P120" s="255">
        <f>ROUNDUP(M120/22,0)</f>
        <v>15</v>
      </c>
      <c r="Q120" s="9">
        <f>ROUNDUP(N120/22,0)</f>
        <v>25</v>
      </c>
      <c r="R120" s="76">
        <f>ROUNDUP(O120/22,0)</f>
        <v>40</v>
      </c>
      <c r="S120" s="259"/>
      <c r="T120" s="259"/>
      <c r="U120" s="259"/>
      <c r="V120" s="261">
        <f>ROUNDUP(M120*gig_pwr*24*365,0)</f>
        <v>155631</v>
      </c>
      <c r="W120" s="131">
        <f>ROUNDUP(N120*gig_pwr*24*365,0)</f>
        <v>256388</v>
      </c>
      <c r="X120" s="262">
        <f>ROUNDUP(O120*gig_pwr*24*365,0)</f>
        <v>414857</v>
      </c>
      <c r="Z120" s="68">
        <f>M120*gig_cost+M121*oc48_cost+M122*oc192_cost</f>
        <v>2625000</v>
      </c>
      <c r="AA120" s="75">
        <f>P123*shelf_cost</f>
        <v>150000</v>
      </c>
      <c r="AB120" s="75">
        <f>S123*rack_cost</f>
        <v>75000</v>
      </c>
      <c r="AC120" s="75">
        <f>ROUNDUP(V123*kwh_cost,0)</f>
        <v>18455</v>
      </c>
      <c r="AD120" s="75">
        <v>0</v>
      </c>
      <c r="AE120" s="244">
        <f>SUM(Z120:AD120)</f>
        <v>2868455</v>
      </c>
      <c r="AG120" s="68">
        <f>N120*gig_cost+N121*oc48_cost+N122*oc192_cost-Z120</f>
        <v>1900000</v>
      </c>
      <c r="AH120" s="75">
        <f>Q123*shelf_cost-AA120</f>
        <v>100000</v>
      </c>
      <c r="AI120" s="75">
        <f>T123*rack_cost-AB120</f>
        <v>50000</v>
      </c>
      <c r="AJ120" s="75">
        <f>ROUNDUP(W123*kwh_cost,0)</f>
        <v>32813</v>
      </c>
      <c r="AK120" s="75">
        <f>ROUND(hw_supt*SUM(Z120,AA120),0)</f>
        <v>555000</v>
      </c>
      <c r="AL120" s="244">
        <f>SUM(AG120:AK120)</f>
        <v>2637813</v>
      </c>
      <c r="AN120" s="68">
        <f>O120*gig_cost+O121*oc48_cost+O122*oc192_cost-AG120-Z120</f>
        <v>2875000</v>
      </c>
      <c r="AO120" s="75">
        <f>R123*shelf_cost-AH120-AA120</f>
        <v>150000</v>
      </c>
      <c r="AP120" s="75">
        <f>U123*rack_cost-AI120-AB120</f>
        <v>75000</v>
      </c>
      <c r="AQ120" s="75">
        <f>ROUNDUP(X123*kwh_cost,0)</f>
        <v>54088</v>
      </c>
      <c r="AR120" s="75">
        <f>ROUND(hw_supt*SUM(Z120,AG120,AA120,AH120),0)</f>
        <v>955000</v>
      </c>
      <c r="AS120" s="244">
        <f>SUM(AN120:AR120)</f>
        <v>4109088</v>
      </c>
      <c r="AU120" s="254" t="s">
        <v>91</v>
      </c>
      <c r="AV120" s="280">
        <f>AE120</f>
        <v>2868455</v>
      </c>
      <c r="AW120" s="281">
        <f>AL120</f>
        <v>2637813</v>
      </c>
      <c r="AX120" s="282">
        <f>AS120</f>
        <v>4109088</v>
      </c>
      <c r="AY120" s="283">
        <f>SUM(AV120:AX120)</f>
        <v>9615356</v>
      </c>
    </row>
    <row r="121" spans="1:93" x14ac:dyDescent="0.35">
      <c r="A121" s="437"/>
      <c r="B121" s="437"/>
      <c r="C121" s="437"/>
      <c r="D121" s="437"/>
      <c r="E121" s="437"/>
      <c r="G121" s="71" t="s">
        <v>92</v>
      </c>
      <c r="H121" s="188">
        <f>H103</f>
        <v>416</v>
      </c>
      <c r="I121" s="188">
        <f t="shared" ref="I121:J121" si="31">I103</f>
        <v>982</v>
      </c>
      <c r="J121" s="188">
        <f t="shared" si="31"/>
        <v>1746</v>
      </c>
      <c r="L121" s="235" t="s">
        <v>92</v>
      </c>
      <c r="M121" s="255">
        <f>ROUNDUP(H121/oc48_ports,0)</f>
        <v>52</v>
      </c>
      <c r="N121" s="9">
        <f>ROUNDUP(I121/oc48_ports,0)</f>
        <v>123</v>
      </c>
      <c r="O121" s="76">
        <f>ROUNDUP(J121/oc48_ports,0)</f>
        <v>219</v>
      </c>
      <c r="P121" s="255">
        <f>ROUNDUP(M121/6,0)</f>
        <v>9</v>
      </c>
      <c r="Q121" s="9">
        <f>ROUNDUP(N121/6,0)</f>
        <v>21</v>
      </c>
      <c r="R121" s="76">
        <f>ROUNDUP(O121/6,0)</f>
        <v>37</v>
      </c>
      <c r="S121" s="259"/>
      <c r="T121" s="259"/>
      <c r="U121" s="259"/>
      <c r="V121" s="261">
        <f>ROUNDUP(M121*oc48_pwr*24*365,0)</f>
        <v>61496</v>
      </c>
      <c r="W121" s="131">
        <f>ROUNDUP(N121*oc48_pwr*24*365,0)</f>
        <v>145460</v>
      </c>
      <c r="X121" s="262">
        <f>ROUNDUP(O121*oc48_pwr*24*365,0)</f>
        <v>258990</v>
      </c>
      <c r="AU121" s="235" t="s">
        <v>237</v>
      </c>
      <c r="AV121" s="255">
        <f>M123</f>
        <v>441</v>
      </c>
      <c r="AW121" s="9">
        <f>N123-M123</f>
        <v>324</v>
      </c>
      <c r="AX121" s="76">
        <f>O123-N123</f>
        <v>491</v>
      </c>
      <c r="AY121" s="188">
        <f>SUM(AV121:AX121)</f>
        <v>1256</v>
      </c>
    </row>
    <row r="122" spans="1:93" ht="16" thickBot="1" x14ac:dyDescent="0.4">
      <c r="A122" s="437"/>
      <c r="B122" s="437"/>
      <c r="C122" s="437"/>
      <c r="D122" s="437"/>
      <c r="E122" s="437"/>
      <c r="G122" s="71" t="s">
        <v>93</v>
      </c>
      <c r="H122" s="188" t="s">
        <v>196</v>
      </c>
      <c r="I122" s="188" t="s">
        <v>196</v>
      </c>
      <c r="J122" s="188" t="s">
        <v>196</v>
      </c>
      <c r="L122" s="235" t="s">
        <v>93</v>
      </c>
      <c r="M122" s="255">
        <f>P123*4</f>
        <v>60</v>
      </c>
      <c r="N122" s="9">
        <f>Q123*4</f>
        <v>100</v>
      </c>
      <c r="O122" s="76">
        <f>R123*4</f>
        <v>160</v>
      </c>
      <c r="P122" s="277" t="s">
        <v>196</v>
      </c>
      <c r="Q122" s="278" t="s">
        <v>196</v>
      </c>
      <c r="R122" s="279" t="s">
        <v>196</v>
      </c>
      <c r="S122" s="259"/>
      <c r="T122" s="259"/>
      <c r="U122" s="259"/>
      <c r="V122" s="261">
        <f>ROUNDUP(M122*oc192_pwr*24*365,0)</f>
        <v>141912</v>
      </c>
      <c r="W122" s="131">
        <f>ROUNDUP(N122*oc192_pwr*24*365,0)</f>
        <v>236520</v>
      </c>
      <c r="X122" s="262">
        <f>ROUNDUP(O122*oc192_pwr*24*365,0)</f>
        <v>378432</v>
      </c>
      <c r="AU122" s="235" t="s">
        <v>238</v>
      </c>
      <c r="AV122" s="255">
        <f>P123</f>
        <v>15</v>
      </c>
      <c r="AW122" s="9">
        <f>Q123-P123</f>
        <v>10</v>
      </c>
      <c r="AX122" s="76">
        <f>R123-Q123</f>
        <v>15</v>
      </c>
      <c r="AY122" s="188">
        <f t="shared" ref="AY122:AY124" si="32">SUM(AV122:AX122)</f>
        <v>40</v>
      </c>
    </row>
    <row r="123" spans="1:93" ht="16" thickBot="1" x14ac:dyDescent="0.4">
      <c r="G123" s="107" t="s">
        <v>84</v>
      </c>
      <c r="H123" s="253">
        <f>SUM(H120:H121)</f>
        <v>3044</v>
      </c>
      <c r="I123" s="253">
        <f t="shared" ref="I123:J123" si="33">SUM(I120:I121)</f>
        <v>5314</v>
      </c>
      <c r="J123" s="253">
        <f t="shared" si="33"/>
        <v>8762</v>
      </c>
      <c r="L123" s="254" t="s">
        <v>84</v>
      </c>
      <c r="M123" s="257">
        <f>SUM(M120:M122)</f>
        <v>441</v>
      </c>
      <c r="N123" s="251">
        <f t="shared" ref="N123:O123" si="34">SUM(N120:N122)</f>
        <v>765</v>
      </c>
      <c r="O123" s="252">
        <f t="shared" si="34"/>
        <v>1256</v>
      </c>
      <c r="P123" s="257">
        <f>MAX(P120:P122)</f>
        <v>15</v>
      </c>
      <c r="Q123" s="251">
        <f t="shared" ref="Q123:R123" si="35">MAX(Q120:Q122)</f>
        <v>25</v>
      </c>
      <c r="R123" s="252">
        <f t="shared" si="35"/>
        <v>40</v>
      </c>
      <c r="S123" s="257">
        <f>P123</f>
        <v>15</v>
      </c>
      <c r="T123" s="251">
        <f t="shared" ref="T123:U123" si="36">Q123</f>
        <v>25</v>
      </c>
      <c r="U123" s="251">
        <f t="shared" si="36"/>
        <v>40</v>
      </c>
      <c r="V123" s="257">
        <f>SUM(V120:V122)</f>
        <v>359039</v>
      </c>
      <c r="W123" s="251">
        <f t="shared" ref="W123:X123" si="37">SUM(W120:W122)</f>
        <v>638368</v>
      </c>
      <c r="X123" s="252">
        <f t="shared" si="37"/>
        <v>1052279</v>
      </c>
      <c r="AU123" s="235" t="s">
        <v>236</v>
      </c>
      <c r="AV123" s="255">
        <f>S123</f>
        <v>15</v>
      </c>
      <c r="AW123" s="9">
        <f>T123-S123</f>
        <v>10</v>
      </c>
      <c r="AX123" s="76">
        <f>U123-T123</f>
        <v>15</v>
      </c>
      <c r="AY123" s="188">
        <f t="shared" si="32"/>
        <v>40</v>
      </c>
    </row>
    <row r="124" spans="1:93" ht="16" thickBot="1" x14ac:dyDescent="0.4">
      <c r="W124" s="15"/>
      <c r="AU124" s="93" t="s">
        <v>234</v>
      </c>
      <c r="AV124" s="110">
        <f>V123</f>
        <v>359039</v>
      </c>
      <c r="AW124" s="69">
        <f>W123</f>
        <v>638368</v>
      </c>
      <c r="AX124" s="77">
        <f>X123</f>
        <v>1052279</v>
      </c>
      <c r="AY124" s="189">
        <f t="shared" si="32"/>
        <v>2049686</v>
      </c>
    </row>
    <row r="125" spans="1:93" x14ac:dyDescent="0.35">
      <c r="U125" s="15"/>
    </row>
    <row r="126" spans="1:93" x14ac:dyDescent="0.35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111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6"/>
      <c r="CK126" s="86"/>
      <c r="CL126" s="86"/>
      <c r="CM126" s="86"/>
      <c r="CN126" s="86"/>
      <c r="CO126" s="86"/>
    </row>
    <row r="127" spans="1:93" x14ac:dyDescent="0.35">
      <c r="U127" s="15"/>
    </row>
    <row r="128" spans="1:93" ht="18.5" x14ac:dyDescent="0.45">
      <c r="A128" s="83" t="s">
        <v>101</v>
      </c>
      <c r="U128" s="15"/>
    </row>
    <row r="129" spans="1:21" x14ac:dyDescent="0.35">
      <c r="A129" t="s">
        <v>302</v>
      </c>
      <c r="U129" s="15"/>
    </row>
    <row r="130" spans="1:21" x14ac:dyDescent="0.35">
      <c r="A130" t="s">
        <v>244</v>
      </c>
      <c r="U130" s="15"/>
    </row>
    <row r="131" spans="1:21" x14ac:dyDescent="0.35">
      <c r="A131" t="s">
        <v>294</v>
      </c>
      <c r="U131" s="15"/>
    </row>
    <row r="132" spans="1:21" x14ac:dyDescent="0.35">
      <c r="U132" s="15"/>
    </row>
    <row r="133" spans="1:21" x14ac:dyDescent="0.35">
      <c r="C133" s="11" t="s">
        <v>50</v>
      </c>
      <c r="D133" s="11" t="s">
        <v>51</v>
      </c>
      <c r="E133" s="11" t="s">
        <v>52</v>
      </c>
      <c r="U133" s="15"/>
    </row>
    <row r="134" spans="1:21" x14ac:dyDescent="0.35">
      <c r="A134" s="11" t="s">
        <v>287</v>
      </c>
      <c r="B134" s="289"/>
      <c r="C134" s="290"/>
      <c r="D134" s="290"/>
      <c r="E134" s="290"/>
      <c r="T134" s="15"/>
    </row>
    <row r="135" spans="1:21" x14ac:dyDescent="0.35">
      <c r="A135" s="11"/>
      <c r="B135" s="311" t="s">
        <v>288</v>
      </c>
      <c r="C135" s="290"/>
      <c r="D135" s="290"/>
      <c r="E135" s="290"/>
      <c r="T135" s="15"/>
    </row>
    <row r="136" spans="1:21" x14ac:dyDescent="0.35">
      <c r="B136" s="14" t="s">
        <v>240</v>
      </c>
      <c r="C136" s="1">
        <f>C17*rack_sf*2</f>
        <v>7040</v>
      </c>
      <c r="D136" s="1">
        <f>D17*rack_sf*2</f>
        <v>11648</v>
      </c>
      <c r="E136" s="1">
        <f>E17*rack_sf*2</f>
        <v>18816</v>
      </c>
      <c r="T136" s="15"/>
    </row>
    <row r="137" spans="1:21" x14ac:dyDescent="0.35">
      <c r="B137" s="308" t="s">
        <v>279</v>
      </c>
      <c r="C137" s="309">
        <f>acres*acre_cost</f>
        <v>500000</v>
      </c>
      <c r="D137" s="310">
        <v>0</v>
      </c>
      <c r="E137" s="310">
        <v>0</v>
      </c>
      <c r="T137" s="15"/>
    </row>
    <row r="138" spans="1:21" x14ac:dyDescent="0.35">
      <c r="B138" s="308" t="s">
        <v>280</v>
      </c>
      <c r="C138" s="309">
        <f>E154*23801/2</f>
        <v>13713258.606050229</v>
      </c>
      <c r="D138" s="310">
        <v>0</v>
      </c>
      <c r="E138" s="310">
        <v>0</v>
      </c>
      <c r="T138" s="15"/>
    </row>
    <row r="139" spans="1:21" x14ac:dyDescent="0.35">
      <c r="B139" s="308" t="s">
        <v>281</v>
      </c>
      <c r="C139" s="309">
        <f>C136/2*262</f>
        <v>922240</v>
      </c>
      <c r="D139" s="310">
        <v>0</v>
      </c>
      <c r="E139" s="310">
        <v>0</v>
      </c>
      <c r="T139" s="15"/>
    </row>
    <row r="140" spans="1:21" x14ac:dyDescent="0.35">
      <c r="B140" s="308" t="s">
        <v>290</v>
      </c>
      <c r="C140" s="309">
        <f>2%*SUM(C137:C139)</f>
        <v>302709.9721210046</v>
      </c>
      <c r="D140" s="307">
        <v>0</v>
      </c>
      <c r="E140" s="307">
        <v>0</v>
      </c>
      <c r="T140" s="15"/>
    </row>
    <row r="141" spans="1:21" x14ac:dyDescent="0.35">
      <c r="B141" s="308" t="s">
        <v>291</v>
      </c>
      <c r="C141" s="309">
        <f>5%*SUM(C138:C139)</f>
        <v>731774.93030251144</v>
      </c>
      <c r="D141" s="307"/>
      <c r="E141" s="307"/>
      <c r="T141" s="15"/>
    </row>
    <row r="142" spans="1:21" x14ac:dyDescent="0.35">
      <c r="B142" s="308" t="s">
        <v>292</v>
      </c>
      <c r="C142" s="2"/>
      <c r="U142" s="15"/>
    </row>
    <row r="143" spans="1:21" x14ac:dyDescent="0.35">
      <c r="B143" s="48" t="s">
        <v>251</v>
      </c>
      <c r="C143" s="5">
        <f>J103</f>
        <v>1746</v>
      </c>
      <c r="D143" s="47"/>
      <c r="E143" s="47"/>
      <c r="U143" s="15"/>
    </row>
    <row r="144" spans="1:21" x14ac:dyDescent="0.35">
      <c r="B144" s="48" t="s">
        <v>246</v>
      </c>
      <c r="C144" s="5">
        <f>ROUNDUP(C143/144,0)</f>
        <v>13</v>
      </c>
      <c r="D144" s="47"/>
      <c r="E144" s="47"/>
      <c r="U144" s="15"/>
    </row>
    <row r="145" spans="1:21" x14ac:dyDescent="0.35">
      <c r="B145" s="48" t="s">
        <v>248</v>
      </c>
      <c r="C145" s="1">
        <f>C144*fiber_run*110%</f>
        <v>75504</v>
      </c>
      <c r="D145" s="47"/>
      <c r="E145" s="47"/>
      <c r="U145" s="15"/>
    </row>
    <row r="146" spans="1:21" x14ac:dyDescent="0.35">
      <c r="B146" s="48" t="s">
        <v>249</v>
      </c>
      <c r="C146" s="87">
        <f>C145*fiber_cost</f>
        <v>148742.88</v>
      </c>
      <c r="D146" s="47"/>
      <c r="E146" s="47"/>
      <c r="U146" s="15"/>
    </row>
    <row r="147" spans="1:21" x14ac:dyDescent="0.35">
      <c r="B147" s="48" t="s">
        <v>252</v>
      </c>
      <c r="C147" s="87">
        <v>250000</v>
      </c>
      <c r="D147" s="47"/>
      <c r="E147" s="47"/>
      <c r="U147" s="15"/>
    </row>
    <row r="148" spans="1:21" x14ac:dyDescent="0.35">
      <c r="B148" s="64" t="s">
        <v>253</v>
      </c>
      <c r="C148" s="66">
        <f>SUM(C146:C147)</f>
        <v>398742.88</v>
      </c>
      <c r="D148" s="28">
        <v>0</v>
      </c>
      <c r="E148" s="28">
        <v>0</v>
      </c>
      <c r="U148" s="15"/>
    </row>
    <row r="149" spans="1:21" x14ac:dyDescent="0.35">
      <c r="B149" s="315" t="s">
        <v>300</v>
      </c>
      <c r="C149" s="316">
        <f>C136/2*65</f>
        <v>228800</v>
      </c>
      <c r="D149" s="28">
        <v>0</v>
      </c>
      <c r="E149" s="28">
        <v>0</v>
      </c>
      <c r="U149" s="15"/>
    </row>
    <row r="150" spans="1:21" x14ac:dyDescent="0.35">
      <c r="B150" s="308" t="s">
        <v>293</v>
      </c>
      <c r="C150" s="66">
        <f>50*E154/2</f>
        <v>28808.156392694065</v>
      </c>
      <c r="D150" s="28">
        <v>0</v>
      </c>
      <c r="E150" s="28">
        <v>0</v>
      </c>
      <c r="U150" s="15"/>
    </row>
    <row r="151" spans="1:21" x14ac:dyDescent="0.35">
      <c r="B151" s="26" t="s">
        <v>297</v>
      </c>
      <c r="C151" s="290">
        <f>SUM(C137:C141,C148,C149,C150)</f>
        <v>16826334.544866439</v>
      </c>
      <c r="D151" s="307">
        <v>0</v>
      </c>
      <c r="E151" s="307">
        <v>0</v>
      </c>
      <c r="T151" s="15"/>
    </row>
    <row r="152" spans="1:21" x14ac:dyDescent="0.35">
      <c r="A152" s="11" t="s">
        <v>299</v>
      </c>
      <c r="B152" s="29"/>
      <c r="C152" s="290"/>
      <c r="D152" s="307"/>
      <c r="E152" s="307"/>
      <c r="T152" s="15"/>
    </row>
    <row r="153" spans="1:21" x14ac:dyDescent="0.35">
      <c r="B153" s="17" t="s">
        <v>282</v>
      </c>
      <c r="C153" s="28"/>
      <c r="D153" s="28"/>
      <c r="E153" s="28"/>
      <c r="U153" s="15"/>
    </row>
    <row r="154" spans="1:21" x14ac:dyDescent="0.35">
      <c r="A154" s="11"/>
      <c r="B154" s="285" t="s">
        <v>289</v>
      </c>
      <c r="C154" s="30">
        <f>C157/24/365</f>
        <v>423.6123287671233</v>
      </c>
      <c r="D154" s="30">
        <f t="shared" ref="D154:E154" si="38">D157/24/365</f>
        <v>708.90593607305937</v>
      </c>
      <c r="E154" s="30">
        <f t="shared" si="38"/>
        <v>1152.3262557077626</v>
      </c>
      <c r="U154" s="15"/>
    </row>
    <row r="155" spans="1:21" x14ac:dyDescent="0.35">
      <c r="B155" s="285" t="s">
        <v>285</v>
      </c>
      <c r="C155" s="1">
        <f>(BP86+AV124)</f>
        <v>1855422</v>
      </c>
      <c r="D155" s="1">
        <f>(BQ86+AW124)</f>
        <v>3105008</v>
      </c>
      <c r="E155" s="1">
        <f>(BR86+AX124)</f>
        <v>5047189</v>
      </c>
      <c r="T155" s="15"/>
    </row>
    <row r="156" spans="1:21" x14ac:dyDescent="0.35">
      <c r="B156" s="285" t="s">
        <v>286</v>
      </c>
      <c r="C156" s="1">
        <f>C155</f>
        <v>1855422</v>
      </c>
      <c r="D156" s="1">
        <f t="shared" ref="D156:E156" si="39">D155</f>
        <v>3105008</v>
      </c>
      <c r="E156" s="1">
        <f t="shared" si="39"/>
        <v>5047189</v>
      </c>
      <c r="T156" s="15"/>
    </row>
    <row r="157" spans="1:21" x14ac:dyDescent="0.35">
      <c r="B157" s="285" t="s">
        <v>284</v>
      </c>
      <c r="C157" s="1">
        <f>SUM(C155:C156)</f>
        <v>3710844</v>
      </c>
      <c r="D157" s="1">
        <f t="shared" ref="D157:E157" si="40">SUM(D155:D156)</f>
        <v>6210016</v>
      </c>
      <c r="E157" s="1">
        <f t="shared" si="40"/>
        <v>10094378</v>
      </c>
      <c r="T157" s="15"/>
    </row>
    <row r="158" spans="1:21" x14ac:dyDescent="0.35">
      <c r="B158" s="306" t="s">
        <v>295</v>
      </c>
      <c r="C158" s="309">
        <f>C157*kwh_cost</f>
        <v>190737.38159999999</v>
      </c>
      <c r="D158" s="309">
        <f>D157*kwh_cost</f>
        <v>319194.8224</v>
      </c>
      <c r="E158" s="309">
        <f>E157*kwh_cost</f>
        <v>518851.02919999999</v>
      </c>
      <c r="T158" s="15"/>
    </row>
    <row r="159" spans="1:21" x14ac:dyDescent="0.35">
      <c r="B159" s="311" t="s">
        <v>296</v>
      </c>
      <c r="C159" s="309">
        <f>(((Bandwidth!$O$39-Bandwidth!$O$37)/2)*1000)*ip_tx_cost*12</f>
        <v>655157.7253439998</v>
      </c>
      <c r="D159" s="309">
        <f>(((Bandwidth!$O$41-Bandwidth!$O$39)/2)*1000)*ip_tx_cost*12</f>
        <v>1435687.5648959999</v>
      </c>
      <c r="E159" s="309">
        <f>(((Bandwidth!$O$43-Bandwidth!$O$41)/2)*1000)*ip_tx_cost*12</f>
        <v>1932066.8133119997</v>
      </c>
      <c r="U159" s="15"/>
    </row>
    <row r="160" spans="1:21" x14ac:dyDescent="0.35">
      <c r="B160" s="311" t="s">
        <v>304</v>
      </c>
      <c r="C160" s="309">
        <v>0</v>
      </c>
      <c r="D160" s="309">
        <f>AX86+AK120</f>
        <v>863790</v>
      </c>
      <c r="E160" s="309">
        <f>SUM(BE86,AR120)</f>
        <v>1468014.4</v>
      </c>
      <c r="U160" s="15"/>
    </row>
    <row r="161" spans="1:21" x14ac:dyDescent="0.35">
      <c r="B161" s="311" t="s">
        <v>272</v>
      </c>
      <c r="C161" s="87">
        <f>prop_tax*$C151</f>
        <v>168263.34544866439</v>
      </c>
      <c r="D161" s="87">
        <f>prop_tax*$C151</f>
        <v>168263.34544866439</v>
      </c>
      <c r="E161" s="87">
        <f>prop_tax*$C151</f>
        <v>168263.34544866439</v>
      </c>
      <c r="T161" s="15"/>
    </row>
    <row r="162" spans="1:21" x14ac:dyDescent="0.35">
      <c r="B162" s="26" t="s">
        <v>298</v>
      </c>
      <c r="C162" s="312">
        <f>SUM(C158,C159,C160,C161)</f>
        <v>1014158.4523926642</v>
      </c>
      <c r="D162" s="312">
        <f t="shared" ref="D162:E162" si="41">SUM(D158,D159,D160,D161)</f>
        <v>2786935.732744664</v>
      </c>
      <c r="E162" s="312">
        <f t="shared" si="41"/>
        <v>4087195.5879606637</v>
      </c>
      <c r="U162" s="15"/>
    </row>
    <row r="163" spans="1:21" x14ac:dyDescent="0.35">
      <c r="A163" s="26" t="s">
        <v>273</v>
      </c>
      <c r="U163" s="15"/>
    </row>
    <row r="164" spans="1:21" x14ac:dyDescent="0.35">
      <c r="B164" s="302" t="s">
        <v>274</v>
      </c>
      <c r="C164" s="87">
        <f>D184*1000</f>
        <v>390000</v>
      </c>
      <c r="D164" s="66">
        <f>C164*1.03</f>
        <v>401700</v>
      </c>
      <c r="E164" s="66">
        <f>D164*1.03</f>
        <v>413751</v>
      </c>
      <c r="U164" s="15"/>
    </row>
    <row r="165" spans="1:21" x14ac:dyDescent="0.35">
      <c r="B165" s="302" t="s">
        <v>275</v>
      </c>
      <c r="C165" s="87">
        <f>E184*1000</f>
        <v>520000</v>
      </c>
      <c r="D165" s="66">
        <f t="shared" ref="D165:E169" si="42">C165*1.03</f>
        <v>535600</v>
      </c>
      <c r="E165" s="66">
        <f t="shared" si="42"/>
        <v>551668</v>
      </c>
      <c r="U165" s="15"/>
    </row>
    <row r="166" spans="1:21" x14ac:dyDescent="0.35">
      <c r="B166" s="302" t="s">
        <v>258</v>
      </c>
      <c r="C166" s="87">
        <f>F184*1000</f>
        <v>416000</v>
      </c>
      <c r="D166" s="66">
        <f t="shared" si="42"/>
        <v>428480</v>
      </c>
      <c r="E166" s="66">
        <f>D166*1.03*1.333</f>
        <v>588298.75520000001</v>
      </c>
      <c r="U166" s="15"/>
    </row>
    <row r="167" spans="1:21" x14ac:dyDescent="0.35">
      <c r="B167" s="302" t="s">
        <v>277</v>
      </c>
      <c r="C167" s="87">
        <f>G184*1000</f>
        <v>702000</v>
      </c>
      <c r="D167" s="66">
        <f t="shared" si="42"/>
        <v>723060</v>
      </c>
      <c r="E167" s="66">
        <f t="shared" si="42"/>
        <v>744751.8</v>
      </c>
      <c r="U167" s="15"/>
    </row>
    <row r="168" spans="1:21" x14ac:dyDescent="0.35">
      <c r="B168" s="302" t="s">
        <v>276</v>
      </c>
      <c r="C168" s="87">
        <f>E185*C136</f>
        <v>28160</v>
      </c>
      <c r="D168" s="66">
        <f>C168*1.03</f>
        <v>29004.799999999999</v>
      </c>
      <c r="E168" s="66">
        <f>D168*1.03</f>
        <v>29874.944</v>
      </c>
      <c r="U168" s="15"/>
    </row>
    <row r="169" spans="1:21" x14ac:dyDescent="0.35">
      <c r="B169" s="26" t="s">
        <v>278</v>
      </c>
      <c r="C169" s="312">
        <f>SUM(C164:C167)</f>
        <v>2028000</v>
      </c>
      <c r="D169" s="312">
        <f t="shared" si="42"/>
        <v>2088840</v>
      </c>
      <c r="E169" s="312">
        <f t="shared" si="42"/>
        <v>2151505.2000000002</v>
      </c>
      <c r="U169" s="15"/>
    </row>
    <row r="170" spans="1:21" x14ac:dyDescent="0.35">
      <c r="A170" s="11" t="s">
        <v>301</v>
      </c>
      <c r="B170" s="289"/>
      <c r="C170" s="312">
        <f>SUM(C151,C162,C169)</f>
        <v>19868492.997259103</v>
      </c>
      <c r="D170" s="312">
        <f>SUM(D151,D162,D169)</f>
        <v>4875775.732744664</v>
      </c>
      <c r="E170" s="312">
        <f>SUM(E151,E162,E169)</f>
        <v>6238700.7879606634</v>
      </c>
      <c r="U170" s="15"/>
    </row>
    <row r="171" spans="1:21" x14ac:dyDescent="0.35">
      <c r="B171" s="289"/>
      <c r="C171" s="305"/>
      <c r="D171" s="305"/>
      <c r="E171" s="305"/>
      <c r="U171" s="15"/>
    </row>
    <row r="172" spans="1:21" x14ac:dyDescent="0.35">
      <c r="B172" s="289"/>
      <c r="C172" s="305"/>
      <c r="D172" s="305"/>
      <c r="E172" s="305"/>
      <c r="U172" s="15"/>
    </row>
    <row r="173" spans="1:21" x14ac:dyDescent="0.35">
      <c r="U173" s="15"/>
    </row>
    <row r="174" spans="1:21" x14ac:dyDescent="0.35">
      <c r="U174" s="15"/>
    </row>
    <row r="175" spans="1:21" x14ac:dyDescent="0.35">
      <c r="U175" s="15"/>
    </row>
    <row r="176" spans="1:21" x14ac:dyDescent="0.35">
      <c r="U176" s="15"/>
    </row>
    <row r="177" spans="2:21" x14ac:dyDescent="0.35">
      <c r="B177" t="s">
        <v>283</v>
      </c>
      <c r="U177" s="15"/>
    </row>
    <row r="178" spans="2:21" x14ac:dyDescent="0.35">
      <c r="D178" t="s">
        <v>255</v>
      </c>
      <c r="E178" t="s">
        <v>256</v>
      </c>
      <c r="U178" s="15"/>
    </row>
    <row r="179" spans="2:21" x14ac:dyDescent="0.35">
      <c r="D179" t="s">
        <v>257</v>
      </c>
      <c r="E179" t="s">
        <v>257</v>
      </c>
      <c r="F179" t="s">
        <v>258</v>
      </c>
      <c r="G179" t="s">
        <v>259</v>
      </c>
      <c r="U179" s="15"/>
    </row>
    <row r="180" spans="2:21" x14ac:dyDescent="0.35">
      <c r="B180" t="s">
        <v>260</v>
      </c>
      <c r="C180" t="s">
        <v>261</v>
      </c>
      <c r="D180" s="303">
        <v>100</v>
      </c>
      <c r="E180" s="303">
        <v>100</v>
      </c>
      <c r="F180" s="303">
        <v>80</v>
      </c>
      <c r="G180" s="303">
        <v>60</v>
      </c>
      <c r="U180" s="15"/>
    </row>
    <row r="181" spans="2:21" x14ac:dyDescent="0.35">
      <c r="B181" t="s">
        <v>262</v>
      </c>
      <c r="C181" t="s">
        <v>263</v>
      </c>
      <c r="D181" s="303">
        <v>3</v>
      </c>
      <c r="E181" s="303">
        <v>4</v>
      </c>
      <c r="F181" s="303">
        <v>4</v>
      </c>
      <c r="G181" s="303">
        <v>3</v>
      </c>
      <c r="U181" s="15"/>
    </row>
    <row r="182" spans="2:21" x14ac:dyDescent="0.35">
      <c r="B182" t="s">
        <v>264</v>
      </c>
      <c r="C182" t="s">
        <v>263</v>
      </c>
      <c r="D182" s="303">
        <v>1</v>
      </c>
      <c r="E182" s="303">
        <v>1</v>
      </c>
      <c r="F182" s="303">
        <v>1</v>
      </c>
      <c r="G182" s="303">
        <v>3</v>
      </c>
      <c r="U182" s="15"/>
    </row>
    <row r="183" spans="2:21" x14ac:dyDescent="0.35">
      <c r="B183" t="s">
        <v>265</v>
      </c>
      <c r="C183" t="s">
        <v>266</v>
      </c>
      <c r="D183" s="304">
        <v>0.3</v>
      </c>
      <c r="E183" s="304">
        <v>0.3</v>
      </c>
      <c r="F183" s="304">
        <v>0.3</v>
      </c>
      <c r="G183" s="304">
        <v>0.3</v>
      </c>
      <c r="U183" s="15"/>
    </row>
    <row r="184" spans="2:21" x14ac:dyDescent="0.35">
      <c r="B184" t="s">
        <v>267</v>
      </c>
      <c r="C184" t="s">
        <v>261</v>
      </c>
      <c r="D184">
        <f>D181*D182*D180*(1+D183)</f>
        <v>390</v>
      </c>
      <c r="E184">
        <f>E181*E182*E180*(1+E183)</f>
        <v>520</v>
      </c>
      <c r="F184">
        <f>F181*F182*F180*(1+F183)</f>
        <v>416</v>
      </c>
      <c r="G184">
        <f>G181*G182*G180*(1+G183)</f>
        <v>702</v>
      </c>
      <c r="U184" s="15"/>
    </row>
    <row r="185" spans="2:21" x14ac:dyDescent="0.35">
      <c r="B185" t="s">
        <v>268</v>
      </c>
      <c r="E185" s="28">
        <v>4</v>
      </c>
      <c r="F185" t="s">
        <v>269</v>
      </c>
      <c r="U185" s="15"/>
    </row>
    <row r="186" spans="2:21" x14ac:dyDescent="0.35">
      <c r="U186" s="15"/>
    </row>
  </sheetData>
  <mergeCells count="249">
    <mergeCell ref="BB61:BB63"/>
    <mergeCell ref="BC61:BC63"/>
    <mergeCell ref="BD61:BD63"/>
    <mergeCell ref="BE61:BE63"/>
    <mergeCell ref="BF61:BF63"/>
    <mergeCell ref="BI61:BI63"/>
    <mergeCell ref="BJ61:BJ63"/>
    <mergeCell ref="BK61:BK63"/>
    <mergeCell ref="BL61:BL63"/>
    <mergeCell ref="AQ61:AQ63"/>
    <mergeCell ref="AR61:AR63"/>
    <mergeCell ref="AT61:AT63"/>
    <mergeCell ref="AU61:AU63"/>
    <mergeCell ref="AV61:AV63"/>
    <mergeCell ref="AW61:AW63"/>
    <mergeCell ref="AX61:AX63"/>
    <mergeCell ref="AY61:AY63"/>
    <mergeCell ref="BA61:BA63"/>
    <mergeCell ref="AC61:AG61"/>
    <mergeCell ref="AH61:AH63"/>
    <mergeCell ref="AI61:AI63"/>
    <mergeCell ref="AJ61:AJ63"/>
    <mergeCell ref="AK61:AK63"/>
    <mergeCell ref="AM61:AM63"/>
    <mergeCell ref="AN61:AN63"/>
    <mergeCell ref="AO61:AO63"/>
    <mergeCell ref="AP61:AP63"/>
    <mergeCell ref="AC62:AE62"/>
    <mergeCell ref="AF62:AF63"/>
    <mergeCell ref="AG62:AG63"/>
    <mergeCell ref="N61:N63"/>
    <mergeCell ref="O61:O63"/>
    <mergeCell ref="Q61:Q63"/>
    <mergeCell ref="R61:V61"/>
    <mergeCell ref="W61:W63"/>
    <mergeCell ref="X61:X63"/>
    <mergeCell ref="Y61:Y63"/>
    <mergeCell ref="Z61:Z63"/>
    <mergeCell ref="AB61:AB63"/>
    <mergeCell ref="R62:T62"/>
    <mergeCell ref="U62:U63"/>
    <mergeCell ref="V62:V63"/>
    <mergeCell ref="G118:G119"/>
    <mergeCell ref="L118:L119"/>
    <mergeCell ref="A120:E122"/>
    <mergeCell ref="A50:E50"/>
    <mergeCell ref="A40:E40"/>
    <mergeCell ref="A60:E60"/>
    <mergeCell ref="G61:G63"/>
    <mergeCell ref="H61:L61"/>
    <mergeCell ref="M61:M63"/>
    <mergeCell ref="H62:J62"/>
    <mergeCell ref="K62:K63"/>
    <mergeCell ref="L62:L63"/>
    <mergeCell ref="A70:E70"/>
    <mergeCell ref="G82:G84"/>
    <mergeCell ref="H82:L82"/>
    <mergeCell ref="M82:M84"/>
    <mergeCell ref="G71:G73"/>
    <mergeCell ref="H71:L71"/>
    <mergeCell ref="M71:M73"/>
    <mergeCell ref="G51:G53"/>
    <mergeCell ref="H51:L51"/>
    <mergeCell ref="M51:M53"/>
    <mergeCell ref="H42:J42"/>
    <mergeCell ref="K42:K43"/>
    <mergeCell ref="BB82:BB84"/>
    <mergeCell ref="BC82:BC84"/>
    <mergeCell ref="BD82:BD84"/>
    <mergeCell ref="BE82:BE84"/>
    <mergeCell ref="BF82:BF84"/>
    <mergeCell ref="BI82:BI84"/>
    <mergeCell ref="BJ82:BJ84"/>
    <mergeCell ref="BK82:BK84"/>
    <mergeCell ref="BL82:BL84"/>
    <mergeCell ref="AQ82:AQ84"/>
    <mergeCell ref="AR82:AR84"/>
    <mergeCell ref="AT82:AT84"/>
    <mergeCell ref="AU82:AU84"/>
    <mergeCell ref="AV82:AV84"/>
    <mergeCell ref="AW82:AW84"/>
    <mergeCell ref="AX82:AX84"/>
    <mergeCell ref="AY82:AY84"/>
    <mergeCell ref="BA82:BA84"/>
    <mergeCell ref="AC82:AG82"/>
    <mergeCell ref="AH82:AH84"/>
    <mergeCell ref="AI82:AI84"/>
    <mergeCell ref="AJ82:AJ84"/>
    <mergeCell ref="AK82:AK84"/>
    <mergeCell ref="AM82:AM84"/>
    <mergeCell ref="AN82:AN84"/>
    <mergeCell ref="AO82:AO84"/>
    <mergeCell ref="AP82:AP84"/>
    <mergeCell ref="AC83:AE83"/>
    <mergeCell ref="AF83:AF84"/>
    <mergeCell ref="AG83:AG84"/>
    <mergeCell ref="N82:N84"/>
    <mergeCell ref="O82:O84"/>
    <mergeCell ref="Q82:Q84"/>
    <mergeCell ref="R82:V82"/>
    <mergeCell ref="W82:W84"/>
    <mergeCell ref="X82:X84"/>
    <mergeCell ref="H83:J83"/>
    <mergeCell ref="K83:K84"/>
    <mergeCell ref="L83:L84"/>
    <mergeCell ref="R83:T83"/>
    <mergeCell ref="U83:U84"/>
    <mergeCell ref="V83:V84"/>
    <mergeCell ref="BI71:BI73"/>
    <mergeCell ref="BJ71:BJ73"/>
    <mergeCell ref="BK71:BK73"/>
    <mergeCell ref="BL71:BL73"/>
    <mergeCell ref="H72:J72"/>
    <mergeCell ref="K72:K73"/>
    <mergeCell ref="L72:L73"/>
    <mergeCell ref="R72:T72"/>
    <mergeCell ref="U72:U73"/>
    <mergeCell ref="V72:V73"/>
    <mergeCell ref="AC72:AE72"/>
    <mergeCell ref="AF72:AF73"/>
    <mergeCell ref="AG72:AG73"/>
    <mergeCell ref="AW71:AW73"/>
    <mergeCell ref="AX71:AX73"/>
    <mergeCell ref="AY71:AY73"/>
    <mergeCell ref="BA71:BA73"/>
    <mergeCell ref="BB71:BB73"/>
    <mergeCell ref="BC71:BC73"/>
    <mergeCell ref="BD71:BD73"/>
    <mergeCell ref="BE71:BE73"/>
    <mergeCell ref="BF71:BF73"/>
    <mergeCell ref="AM71:AM73"/>
    <mergeCell ref="AN71:AN73"/>
    <mergeCell ref="AO71:AO73"/>
    <mergeCell ref="AP71:AP73"/>
    <mergeCell ref="AQ71:AQ73"/>
    <mergeCell ref="AR71:AR73"/>
    <mergeCell ref="AT71:AT73"/>
    <mergeCell ref="AU71:AU73"/>
    <mergeCell ref="AV71:AV73"/>
    <mergeCell ref="X71:X73"/>
    <mergeCell ref="Y71:Y73"/>
    <mergeCell ref="Z71:Z73"/>
    <mergeCell ref="AB71:AB73"/>
    <mergeCell ref="AC71:AG71"/>
    <mergeCell ref="AH71:AH73"/>
    <mergeCell ref="AI71:AI73"/>
    <mergeCell ref="AJ71:AJ73"/>
    <mergeCell ref="AK71:AK73"/>
    <mergeCell ref="N71:N73"/>
    <mergeCell ref="O71:O73"/>
    <mergeCell ref="Q71:Q73"/>
    <mergeCell ref="R71:V71"/>
    <mergeCell ref="W71:W73"/>
    <mergeCell ref="BJ51:BJ53"/>
    <mergeCell ref="BK51:BK53"/>
    <mergeCell ref="BL51:BL53"/>
    <mergeCell ref="H52:J52"/>
    <mergeCell ref="K52:K53"/>
    <mergeCell ref="L52:L53"/>
    <mergeCell ref="R52:T52"/>
    <mergeCell ref="U52:U53"/>
    <mergeCell ref="V52:V53"/>
    <mergeCell ref="AC52:AE52"/>
    <mergeCell ref="AF52:AF53"/>
    <mergeCell ref="AG52:AG53"/>
    <mergeCell ref="AX51:AX53"/>
    <mergeCell ref="AY51:AY53"/>
    <mergeCell ref="BA51:BA53"/>
    <mergeCell ref="BB51:BB53"/>
    <mergeCell ref="BC51:BC53"/>
    <mergeCell ref="BD51:BD53"/>
    <mergeCell ref="BE51:BE53"/>
    <mergeCell ref="AM51:AM53"/>
    <mergeCell ref="BF51:BF53"/>
    <mergeCell ref="BI51:BI53"/>
    <mergeCell ref="AN51:AN53"/>
    <mergeCell ref="AO51:AO53"/>
    <mergeCell ref="AP51:AP53"/>
    <mergeCell ref="AQ51:AQ53"/>
    <mergeCell ref="AR51:AR53"/>
    <mergeCell ref="AT51:AT53"/>
    <mergeCell ref="AU51:AU53"/>
    <mergeCell ref="AV51:AV53"/>
    <mergeCell ref="AW51:AW53"/>
    <mergeCell ref="R51:V51"/>
    <mergeCell ref="W51:W53"/>
    <mergeCell ref="X51:X53"/>
    <mergeCell ref="BJ41:BJ43"/>
    <mergeCell ref="BK41:BK43"/>
    <mergeCell ref="BL41:BL43"/>
    <mergeCell ref="BA41:BA43"/>
    <mergeCell ref="BB41:BB43"/>
    <mergeCell ref="BC41:BC43"/>
    <mergeCell ref="BD41:BD43"/>
    <mergeCell ref="BE41:BE43"/>
    <mergeCell ref="BF41:BF43"/>
    <mergeCell ref="BI41:BI43"/>
    <mergeCell ref="AJ41:AJ43"/>
    <mergeCell ref="AK41:AK43"/>
    <mergeCell ref="AM41:AM43"/>
    <mergeCell ref="Y51:Y53"/>
    <mergeCell ref="Z51:Z53"/>
    <mergeCell ref="AB51:AB53"/>
    <mergeCell ref="AC51:AG51"/>
    <mergeCell ref="AH51:AH53"/>
    <mergeCell ref="AI51:AI53"/>
    <mergeCell ref="AJ51:AJ53"/>
    <mergeCell ref="AK51:AK53"/>
    <mergeCell ref="AC42:AE42"/>
    <mergeCell ref="AF42:AF43"/>
    <mergeCell ref="AG42:AG43"/>
    <mergeCell ref="AX41:AX43"/>
    <mergeCell ref="AY41:AY43"/>
    <mergeCell ref="AN41:AN43"/>
    <mergeCell ref="AO41:AO43"/>
    <mergeCell ref="AP41:AP43"/>
    <mergeCell ref="AQ41:AQ43"/>
    <mergeCell ref="AR41:AR43"/>
    <mergeCell ref="AT41:AT43"/>
    <mergeCell ref="AU41:AU43"/>
    <mergeCell ref="AV41:AV43"/>
    <mergeCell ref="AW41:AW43"/>
    <mergeCell ref="AC41:AG41"/>
    <mergeCell ref="AH41:AH43"/>
    <mergeCell ref="AI41:AI43"/>
    <mergeCell ref="G100:G101"/>
    <mergeCell ref="G112:G113"/>
    <mergeCell ref="Y82:Y84"/>
    <mergeCell ref="Z82:Z84"/>
    <mergeCell ref="AB82:AB84"/>
    <mergeCell ref="G41:G43"/>
    <mergeCell ref="H41:L41"/>
    <mergeCell ref="M41:M43"/>
    <mergeCell ref="N41:N43"/>
    <mergeCell ref="O41:O43"/>
    <mergeCell ref="Q41:Q43"/>
    <mergeCell ref="R41:V41"/>
    <mergeCell ref="W41:W43"/>
    <mergeCell ref="X41:X43"/>
    <mergeCell ref="L42:L43"/>
    <mergeCell ref="R42:T42"/>
    <mergeCell ref="U42:U43"/>
    <mergeCell ref="V42:V43"/>
    <mergeCell ref="Y41:Y43"/>
    <mergeCell ref="Z41:Z43"/>
    <mergeCell ref="AB41:AB43"/>
    <mergeCell ref="N51:N53"/>
    <mergeCell ref="O51:O53"/>
    <mergeCell ref="Q51:Q5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104</vt:i4>
      </vt:variant>
    </vt:vector>
  </HeadingPairs>
  <TitlesOfParts>
    <vt:vector size="116" baseType="lpstr">
      <vt:lpstr>Summary</vt:lpstr>
      <vt:lpstr>User Profile</vt:lpstr>
      <vt:lpstr>CPU (Workload)</vt:lpstr>
      <vt:lpstr>Bandwidth</vt:lpstr>
      <vt:lpstr>Memory</vt:lpstr>
      <vt:lpstr>Storage</vt:lpstr>
      <vt:lpstr>Scenario 1</vt:lpstr>
      <vt:lpstr>Scenario 2</vt:lpstr>
      <vt:lpstr>Scenario 3</vt:lpstr>
      <vt:lpstr>Scenario 4</vt:lpstr>
      <vt:lpstr>Server Cost Analysis</vt:lpstr>
      <vt:lpstr>Constants</vt:lpstr>
      <vt:lpstr>acre_cost</vt:lpstr>
      <vt:lpstr>acres</vt:lpstr>
      <vt:lpstr>bw_limit</vt:lpstr>
      <vt:lpstr>cpu_limit</vt:lpstr>
      <vt:lpstr>disk_limit</vt:lpstr>
      <vt:lpstr>down_percent</vt:lpstr>
      <vt:lpstr>down_req</vt:lpstr>
      <vt:lpstr>down_song</vt:lpstr>
      <vt:lpstr>fiber_cost</vt:lpstr>
      <vt:lpstr>fiber_run</vt:lpstr>
      <vt:lpstr>fire_supp</vt:lpstr>
      <vt:lpstr>gen_l_bw</vt:lpstr>
      <vt:lpstr>gen_l_core</vt:lpstr>
      <vt:lpstr>gen_l_cost</vt:lpstr>
      <vt:lpstr>gen_l_disk</vt:lpstr>
      <vt:lpstr>gen_l_ports</vt:lpstr>
      <vt:lpstr>gen_l_pow100</vt:lpstr>
      <vt:lpstr>gen_l_pow40</vt:lpstr>
      <vt:lpstr>gen_l_pow60</vt:lpstr>
      <vt:lpstr>gen_l_pow80</vt:lpstr>
      <vt:lpstr>gen_l_ram</vt:lpstr>
      <vt:lpstr>gen_l_ru</vt:lpstr>
      <vt:lpstr>gen_l_spr100</vt:lpstr>
      <vt:lpstr>gen_l_spr40</vt:lpstr>
      <vt:lpstr>gen_l_spr60</vt:lpstr>
      <vt:lpstr>gen_l_spr80</vt:lpstr>
      <vt:lpstr>gen_l_tps100</vt:lpstr>
      <vt:lpstr>gen_l_tps40</vt:lpstr>
      <vt:lpstr>gen_l_tps60</vt:lpstr>
      <vt:lpstr>gen_l_tps80</vt:lpstr>
      <vt:lpstr>gen_l_user100</vt:lpstr>
      <vt:lpstr>gen_l_user40</vt:lpstr>
      <vt:lpstr>gen_l_user60</vt:lpstr>
      <vt:lpstr>gen_l_user80</vt:lpstr>
      <vt:lpstr>gen_xl_bw</vt:lpstr>
      <vt:lpstr>gen_xl_core</vt:lpstr>
      <vt:lpstr>gen_xl_cost</vt:lpstr>
      <vt:lpstr>gen_xl_disk</vt:lpstr>
      <vt:lpstr>gen_xl_ports</vt:lpstr>
      <vt:lpstr>gen_xl_pow100</vt:lpstr>
      <vt:lpstr>gen_xl_pow40</vt:lpstr>
      <vt:lpstr>gen_xl_pow60</vt:lpstr>
      <vt:lpstr>gen_xl_pow80</vt:lpstr>
      <vt:lpstr>gen_xl_ram</vt:lpstr>
      <vt:lpstr>gen_xl_ru</vt:lpstr>
      <vt:lpstr>gen_xl_spr100</vt:lpstr>
      <vt:lpstr>gen_xl_spr40</vt:lpstr>
      <vt:lpstr>gen_xl_spr60</vt:lpstr>
      <vt:lpstr>gen_xl_spr80</vt:lpstr>
      <vt:lpstr>gen_xl_tps100</vt:lpstr>
      <vt:lpstr>gen_xl_tps40</vt:lpstr>
      <vt:lpstr>gen_xl_tps60</vt:lpstr>
      <vt:lpstr>gen_xl_tps80</vt:lpstr>
      <vt:lpstr>gen_xl_user100</vt:lpstr>
      <vt:lpstr>gen_xl_user40</vt:lpstr>
      <vt:lpstr>gen_xl_user60</vt:lpstr>
      <vt:lpstr>gen_xl_user80</vt:lpstr>
      <vt:lpstr>gig_bw</vt:lpstr>
      <vt:lpstr>gig_cost</vt:lpstr>
      <vt:lpstr>gig_ports</vt:lpstr>
      <vt:lpstr>gig_pwr</vt:lpstr>
      <vt:lpstr>hbr_percent</vt:lpstr>
      <vt:lpstr>hw_supt</vt:lpstr>
      <vt:lpstr>ip_tx_cost</vt:lpstr>
      <vt:lpstr>kwh_cost</vt:lpstr>
      <vt:lpstr>lbr_percent</vt:lpstr>
      <vt:lpstr>max_rpwr</vt:lpstr>
      <vt:lpstr>max_ru</vt:lpstr>
      <vt:lpstr>mem_limit</vt:lpstr>
      <vt:lpstr>nas_bw</vt:lpstr>
      <vt:lpstr>nas_cost</vt:lpstr>
      <vt:lpstr>nas_disk</vt:lpstr>
      <vt:lpstr>nas_ports</vt:lpstr>
      <vt:lpstr>nas_pwr</vt:lpstr>
      <vt:lpstr>nas_ru</vt:lpstr>
      <vt:lpstr>nas_spr</vt:lpstr>
      <vt:lpstr>oc192_bw</vt:lpstr>
      <vt:lpstr>oc192_cost</vt:lpstr>
      <vt:lpstr>oc192_ports</vt:lpstr>
      <vt:lpstr>oc192_pwr</vt:lpstr>
      <vt:lpstr>oc48_bw</vt:lpstr>
      <vt:lpstr>oc48_cost</vt:lpstr>
      <vt:lpstr>oc48_ports</vt:lpstr>
      <vt:lpstr>oc48_pwr</vt:lpstr>
      <vt:lpstr>peak_hrs</vt:lpstr>
      <vt:lpstr>perm_percent</vt:lpstr>
      <vt:lpstr>perm_req</vt:lpstr>
      <vt:lpstr>prop_tax</vt:lpstr>
      <vt:lpstr>rack_cost</vt:lpstr>
      <vt:lpstr>rack_sf</vt:lpstr>
      <vt:lpstr>req_size</vt:lpstr>
      <vt:lpstr>sbr_percent</vt:lpstr>
      <vt:lpstr>shelf_cards</vt:lpstr>
      <vt:lpstr>shelf_cost</vt:lpstr>
      <vt:lpstr>shelf_rus</vt:lpstr>
      <vt:lpstr>stream_dur</vt:lpstr>
      <vt:lpstr>stream_hbr</vt:lpstr>
      <vt:lpstr>stream_lbr</vt:lpstr>
      <vt:lpstr>stream_percent</vt:lpstr>
      <vt:lpstr>stream_req</vt:lpstr>
      <vt:lpstr>stream_sbr</vt:lpstr>
      <vt:lpstr>tot_req_hr</vt:lpstr>
      <vt:lpstr>tot_req_sec</vt:lpstr>
      <vt:lpstr>tot_songs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Crash Davis</dc:creator>
  <cp:lastModifiedBy>apoorva jain</cp:lastModifiedBy>
  <dcterms:created xsi:type="dcterms:W3CDTF">2019-02-18T00:56:54Z</dcterms:created>
  <dcterms:modified xsi:type="dcterms:W3CDTF">2020-04-14T05:03:54Z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" linkTarget="prop_tax">
    <vt:r8>0.01</vt:r8>
  </property>
</Properties>
</file>