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poorva\AppData\Local\Box\Box Edit\Documents\BfJZv3SdVEGL4ZDjfzqFDg==\"/>
    </mc:Choice>
  </mc:AlternateContent>
  <xr:revisionPtr revIDLastSave="0" documentId="13_ncr:1_{08E7BA84-3BAF-4195-BBDB-C17C18DBFEA8}" xr6:coauthVersionLast="43" xr6:coauthVersionMax="43" xr10:uidLastSave="{00000000-0000-0000-0000-000000000000}"/>
  <bookViews>
    <workbookView xWindow="-110" yWindow="-110" windowWidth="22780" windowHeight="14660" tabRatio="500" xr2:uid="{00000000-000D-0000-FFFF-FFFF00000000}"/>
  </bookViews>
  <sheets>
    <sheet name="Summary" sheetId="1" r:id="rId1"/>
    <sheet name="User Profile" sheetId="5" r:id="rId2"/>
    <sheet name="DC Failure Scenarios" sheetId="15" r:id="rId3"/>
    <sheet name="DC Locations" sheetId="20" r:id="rId4"/>
    <sheet name="CPU (Workload)" sheetId="12" r:id="rId5"/>
    <sheet name="Bandwidth" sheetId="7" r:id="rId6"/>
    <sheet name="Memory" sheetId="14" r:id="rId7"/>
    <sheet name="Storage" sheetId="8" r:id="rId8"/>
    <sheet name="NE DC" sheetId="6" r:id="rId9"/>
    <sheet name="MW DC" sheetId="18" r:id="rId10"/>
    <sheet name="S DC" sheetId="19" r:id="rId11"/>
    <sheet name="W DC" sheetId="16" r:id="rId12"/>
    <sheet name="Server Cost Analysis" sheetId="13" r:id="rId13"/>
    <sheet name="Constants" sheetId="10" r:id="rId14"/>
  </sheets>
  <definedNames>
    <definedName name="acre_cost">Constants!$B$49</definedName>
    <definedName name="acres">Constants!$B$50</definedName>
    <definedName name="api_size">Constants!$B$54</definedName>
    <definedName name="app_full" localSheetId="9">Constants!#REF!</definedName>
    <definedName name="app_full" localSheetId="10">Constants!#REF!</definedName>
    <definedName name="app_full" localSheetId="11">Constants!#REF!</definedName>
    <definedName name="app_full">Constants!#REF!</definedName>
    <definedName name="app_size" localSheetId="9">Constants!#REF!</definedName>
    <definedName name="app_size" localSheetId="10">Constants!#REF!</definedName>
    <definedName name="app_size" localSheetId="11">Constants!#REF!</definedName>
    <definedName name="app_size">Constants!#REF!</definedName>
    <definedName name="app_upd" localSheetId="9">Constants!#REF!</definedName>
    <definedName name="app_upd" localSheetId="10">Constants!#REF!</definedName>
    <definedName name="app_upd" localSheetId="11">Constants!#REF!</definedName>
    <definedName name="app_upd">Constants!#REF!</definedName>
    <definedName name="btu_per_kw" localSheetId="9">Constants!#REF!</definedName>
    <definedName name="btu_per_kw" localSheetId="10">Constants!#REF!</definedName>
    <definedName name="btu_per_kw" localSheetId="11">Constants!#REF!</definedName>
    <definedName name="btu_per_kw">Constants!#REF!</definedName>
    <definedName name="bw_limit">Constants!$E$18</definedName>
    <definedName name="cpu_limit">Constants!$B$18</definedName>
    <definedName name="disk_limit">Constants!$C$18</definedName>
    <definedName name="down_percent">Constants!$D$12</definedName>
    <definedName name="down_req">Constants!$C$12</definedName>
    <definedName name="down_song">Constants!$B$12</definedName>
    <definedName name="dsfzdxfadsfrs" localSheetId="9">Constants!#REF!</definedName>
    <definedName name="dsfzdxfadsfrs" localSheetId="10">Constants!#REF!</definedName>
    <definedName name="dsfzdxfadsfrs">Constants!#REF!</definedName>
    <definedName name="fiber_cost">Constants!$B$48</definedName>
    <definedName name="fiber_install" localSheetId="9">Constants!#REF!</definedName>
    <definedName name="fiber_install" localSheetId="10">Constants!#REF!</definedName>
    <definedName name="fiber_install" localSheetId="11">Constants!#REF!</definedName>
    <definedName name="fiber_install">Constants!#REF!</definedName>
    <definedName name="fiber_run">Constants!$B$47</definedName>
    <definedName name="fire_supp">Constants!$B$51</definedName>
    <definedName name="gen_l_bw">Constants!$F$26</definedName>
    <definedName name="gen_l_core">Constants!$C$26</definedName>
    <definedName name="gen_l_cost">Constants!$X$26</definedName>
    <definedName name="gen_l_disk">Constants!$E$26</definedName>
    <definedName name="gen_l_ports">Constants!$G$26</definedName>
    <definedName name="gen_l_pow100">Constants!$S$26</definedName>
    <definedName name="gen_l_pow40">Constants!$P$26</definedName>
    <definedName name="gen_l_pow60">Constants!$Q$26</definedName>
    <definedName name="gen_l_pow80">Constants!$R$26</definedName>
    <definedName name="gen_l_ram">Constants!$D$26</definedName>
    <definedName name="gen_l_ru">Constants!$B$26</definedName>
    <definedName name="gen_l_spr100">Constants!$W$26</definedName>
    <definedName name="gen_l_spr40">Constants!$T$26</definedName>
    <definedName name="gen_l_spr60">Constants!$U$26</definedName>
    <definedName name="gen_l_spr80">Constants!$V$26</definedName>
    <definedName name="gen_l_tps100">Constants!$K$26</definedName>
    <definedName name="gen_l_tps40">Constants!$H$26</definedName>
    <definedName name="gen_l_tps60">Constants!$I$26</definedName>
    <definedName name="gen_l_tps80">Constants!$J$26</definedName>
    <definedName name="gen_l_user100">Constants!$O$26</definedName>
    <definedName name="gen_l_user40">Constants!$L$26</definedName>
    <definedName name="gen_l_user60">Constants!$M$26</definedName>
    <definedName name="gen_l_user80">Constants!$N$26</definedName>
    <definedName name="gen_xl_bw">Constants!$F$27</definedName>
    <definedName name="gen_xl_core">Constants!$C$27</definedName>
    <definedName name="gen_xl_cost">Constants!$X$27</definedName>
    <definedName name="gen_xl_disk">Constants!$E$27</definedName>
    <definedName name="gen_xl_ports">Constants!$G$27</definedName>
    <definedName name="gen_xl_pow100">Constants!$S$27</definedName>
    <definedName name="gen_xl_pow40">Constants!$P$27</definedName>
    <definedName name="gen_xl_pow60">Constants!$Q$27</definedName>
    <definedName name="gen_xl_pow80">Constants!$R$27</definedName>
    <definedName name="gen_xl_ram">Constants!$D$27</definedName>
    <definedName name="gen_xl_ru">Constants!$B$27</definedName>
    <definedName name="gen_xl_spr100">Constants!$W$27</definedName>
    <definedName name="gen_xl_spr40">Constants!$T$27</definedName>
    <definedName name="gen_xl_spr60">Constants!$U$27</definedName>
    <definedName name="gen_xl_spr80">Constants!$V$27</definedName>
    <definedName name="gen_xl_tps100">Constants!$K$27</definedName>
    <definedName name="gen_xl_tps40">Constants!$H$27</definedName>
    <definedName name="gen_xl_tps60">Constants!$I$27</definedName>
    <definedName name="gen_xl_tps80">Constants!$J$27</definedName>
    <definedName name="gen_xl_user100">Constants!$O$27</definedName>
    <definedName name="gen_xl_user40">Constants!$L$27</definedName>
    <definedName name="gen_xl_user60">Constants!$M$27</definedName>
    <definedName name="gen_xl_user80">Constants!$N$27</definedName>
    <definedName name="gig_bw">Constants!$F$36</definedName>
    <definedName name="gig_cost">Constants!$H$36</definedName>
    <definedName name="gig_ports">Constants!$E$36</definedName>
    <definedName name="gig_pwr">Constants!$G$36</definedName>
    <definedName name="hbr_percent">Constants!$G$9</definedName>
    <definedName name="hw_supt">Constants!$B$43</definedName>
    <definedName name="inflation" localSheetId="9">Constants!#REF!</definedName>
    <definedName name="inflation" localSheetId="10">Constants!#REF!</definedName>
    <definedName name="inflation" localSheetId="11">Constants!#REF!</definedName>
    <definedName name="inflation">Constants!#REF!</definedName>
    <definedName name="ip_tx_cost">Constants!$B$46</definedName>
    <definedName name="kwh_cost">Constants!$B$45</definedName>
    <definedName name="lbr_percent">Constants!$E$9</definedName>
    <definedName name="log_compression" localSheetId="9">Constants!#REF!</definedName>
    <definedName name="log_compression" localSheetId="10">Constants!#REF!</definedName>
    <definedName name="log_compression" localSheetId="11">Constants!#REF!</definedName>
    <definedName name="log_compression">Constants!#REF!</definedName>
    <definedName name="log_per_event" localSheetId="9">Constants!#REF!</definedName>
    <definedName name="log_per_event" localSheetId="10">Constants!#REF!</definedName>
    <definedName name="log_per_event" localSheetId="11">Constants!#REF!</definedName>
    <definedName name="log_per_event">Constants!#REF!</definedName>
    <definedName name="log_size" localSheetId="9">Constants!#REF!</definedName>
    <definedName name="log_size" localSheetId="10">Constants!#REF!</definedName>
    <definedName name="log_size" localSheetId="11">Constants!#REF!</definedName>
    <definedName name="log_size">Constants!#REF!</definedName>
    <definedName name="max_rpwr">Constants!$C$39</definedName>
    <definedName name="max_ru">Constants!$B$39</definedName>
    <definedName name="mem_limit">Constants!$D$18</definedName>
    <definedName name="mod_watt">Constants!$B$53</definedName>
    <definedName name="mw_admin">Constants!$F$58</definedName>
    <definedName name="mw_it">Constants!$I$58</definedName>
    <definedName name="mw_pop">Constants!$C$58</definedName>
    <definedName name="mw_pwr">Constants!$H$58</definedName>
    <definedName name="mw_space">Constants!$J$58</definedName>
    <definedName name="mw_tax">Constants!$K$58</definedName>
    <definedName name="mw_tech">Constants!$G$58</definedName>
    <definedName name="mw2ne">Constants!$D$58</definedName>
    <definedName name="mw2w">Constants!$E$58</definedName>
    <definedName name="nas_bw">Constants!$E$30</definedName>
    <definedName name="nas_cost">Constants!$G$30</definedName>
    <definedName name="nas_disk">Constants!$C$30</definedName>
    <definedName name="nas_ports">Constants!$D$30</definedName>
    <definedName name="nas_pwr">Constants!$F$30</definedName>
    <definedName name="nas_ru">Constants!$B$30</definedName>
    <definedName name="nas_spr">Constants!$H$30</definedName>
    <definedName name="ne_admin">Constants!$F$57</definedName>
    <definedName name="ne_it">Constants!$I$57</definedName>
    <definedName name="ne_pop">Constants!$C$57</definedName>
    <definedName name="ne_pwr">Constants!$H$57</definedName>
    <definedName name="ne_space">Constants!$J$57</definedName>
    <definedName name="ne_tax">Constants!$K$57</definedName>
    <definedName name="ne_tech">Constants!$G$57</definedName>
    <definedName name="ne2ne">Constants!$D$57</definedName>
    <definedName name="ne2w">Constants!$E$57</definedName>
    <definedName name="oc192_bw">Constants!$N$36</definedName>
    <definedName name="oc192_cost">Constants!$P$36</definedName>
    <definedName name="oc192_ports">Constants!$M$36</definedName>
    <definedName name="oc192_pwr">Constants!$O$36</definedName>
    <definedName name="oc48_bw">Constants!$J$36</definedName>
    <definedName name="oc48_cost">Constants!$L$36</definedName>
    <definedName name="oc48_ports">Constants!$I$36</definedName>
    <definedName name="oc48_pwr">Constants!$K$36</definedName>
    <definedName name="peak_bw" localSheetId="9">Constants!#REF!</definedName>
    <definedName name="peak_bw" localSheetId="10">Constants!#REF!</definedName>
    <definedName name="peak_bw" localSheetId="11">Constants!#REF!</definedName>
    <definedName name="peak_bw">Constants!#REF!</definedName>
    <definedName name="peak_hrs">'CPU (Workload)'!$B$3</definedName>
    <definedName name="peak_user" localSheetId="9">Constants!#REF!</definedName>
    <definedName name="peak_user" localSheetId="10">Constants!#REF!</definedName>
    <definedName name="peak_user" localSheetId="11">Constants!#REF!</definedName>
    <definedName name="peak_user">Constants!#REF!</definedName>
    <definedName name="perm_percent">Constants!$D$15</definedName>
    <definedName name="perm_req">Constants!$C$15</definedName>
    <definedName name="prof_num_upd" localSheetId="9">Constants!#REF!</definedName>
    <definedName name="prof_num_upd" localSheetId="10">Constants!#REF!</definedName>
    <definedName name="prof_num_upd" localSheetId="11">Constants!#REF!</definedName>
    <definedName name="prof_num_upd">Constants!#REF!</definedName>
    <definedName name="prof_size" localSheetId="9">Constants!#REF!</definedName>
    <definedName name="prof_size" localSheetId="10">Constants!#REF!</definedName>
    <definedName name="prof_size" localSheetId="11">Constants!#REF!</definedName>
    <definedName name="prof_size">Constants!#REF!</definedName>
    <definedName name="prof_upd_size" localSheetId="9">Constants!#REF!</definedName>
    <definedName name="prof_upd_size" localSheetId="10">Constants!#REF!</definedName>
    <definedName name="prof_upd_size" localSheetId="11">Constants!#REF!</definedName>
    <definedName name="prof_upd_size">Constants!#REF!</definedName>
    <definedName name="prop_tax">Constants!$B$52</definedName>
    <definedName name="pue" localSheetId="9">Constants!#REF!</definedName>
    <definedName name="pue" localSheetId="10">Constants!#REF!</definedName>
    <definedName name="pue" localSheetId="11">Constants!#REF!</definedName>
    <definedName name="pue">Constants!#REF!</definedName>
    <definedName name="rack_cost">Constants!$D$39</definedName>
    <definedName name="rack_sf">Constants!$B$44</definedName>
    <definedName name="raid5" localSheetId="9">Constants!#REF!</definedName>
    <definedName name="raid5" localSheetId="10">Constants!#REF!</definedName>
    <definedName name="raid5" localSheetId="11">Constants!#REF!</definedName>
    <definedName name="raid5">Constants!#REF!</definedName>
    <definedName name="req_size">Constants!$B$15</definedName>
    <definedName name="resp_size" localSheetId="9">Constants!#REF!</definedName>
    <definedName name="resp_size" localSheetId="10">Constants!#REF!</definedName>
    <definedName name="resp_size" localSheetId="11">Constants!#REF!</definedName>
    <definedName name="resp_size">Constants!#REF!</definedName>
    <definedName name="s_admin">Constants!$F$59</definedName>
    <definedName name="s_it">Constants!$I$59</definedName>
    <definedName name="s_pop">Constants!$C$59</definedName>
    <definedName name="s_pwr">Constants!$H$59</definedName>
    <definedName name="s_space">Constants!$J$59</definedName>
    <definedName name="s_tax">Constants!$K$59</definedName>
    <definedName name="s_tech">Constants!$G$59</definedName>
    <definedName name="s2ne">Constants!$D$59</definedName>
    <definedName name="s2w">Constants!$E$59</definedName>
    <definedName name="sbr_percent">Constants!$F$9</definedName>
    <definedName name="shelf_cards">Constants!$D$36</definedName>
    <definedName name="shelf_cost">Constants!$B$36</definedName>
    <definedName name="shelf_ports" localSheetId="9">Constants!#REF!</definedName>
    <definedName name="shelf_ports" localSheetId="10">Constants!#REF!</definedName>
    <definedName name="shelf_ports" localSheetId="11">Constants!#REF!</definedName>
    <definedName name="shelf_ports">Constants!#REF!</definedName>
    <definedName name="shelf_rus">Constants!$C$36</definedName>
    <definedName name="stream_dur">Constants!$H$9</definedName>
    <definedName name="stream_hbr">Constants!$D$9</definedName>
    <definedName name="stream_lbr">Constants!$B$9</definedName>
    <definedName name="stream_percent">Constants!$J$9</definedName>
    <definedName name="stream_req">Constants!$I$9</definedName>
    <definedName name="stream_sbr">Constants!$C$9</definedName>
    <definedName name="tor_cost" localSheetId="9">Constants!#REF!</definedName>
    <definedName name="tor_cost" localSheetId="10">Constants!#REF!</definedName>
    <definedName name="tor_cost" localSheetId="11">Constants!#REF!</definedName>
    <definedName name="tor_cost">Constants!#REF!</definedName>
    <definedName name="tor_ports" localSheetId="9">Constants!#REF!</definedName>
    <definedName name="tor_ports" localSheetId="10">Constants!#REF!</definedName>
    <definedName name="tor_ports" localSheetId="11">Constants!#REF!</definedName>
    <definedName name="tor_ports">Constants!#REF!</definedName>
    <definedName name="tor_pwr" localSheetId="9">Constants!#REF!</definedName>
    <definedName name="tor_pwr" localSheetId="10">Constants!#REF!</definedName>
    <definedName name="tor_pwr" localSheetId="11">Constants!#REF!</definedName>
    <definedName name="tor_pwr">Constants!#REF!</definedName>
    <definedName name="tot_req_hr">Constants!$B$6</definedName>
    <definedName name="tot_req_sec">Constants!$C$6</definedName>
    <definedName name="tot_songs">Constants!$B$3</definedName>
    <definedName name="upd_percent" localSheetId="9">Constants!#REF!</definedName>
    <definedName name="upd_percent" localSheetId="10">Constants!#REF!</definedName>
    <definedName name="upd_percent" localSheetId="11">Constants!#REF!</definedName>
    <definedName name="upd_percent">Constants!#REF!</definedName>
    <definedName name="user_devs" localSheetId="9">Constants!#REF!</definedName>
    <definedName name="user_devs" localSheetId="10">Constants!#REF!</definedName>
    <definedName name="user_devs" localSheetId="11">Constants!#REF!</definedName>
    <definedName name="user_devs">Constants!#REF!</definedName>
    <definedName name="user_prof" localSheetId="9">Constants!#REF!</definedName>
    <definedName name="user_prof" localSheetId="10">Constants!#REF!</definedName>
    <definedName name="user_prof" localSheetId="11">Constants!#REF!</definedName>
    <definedName name="user_prof">Constants!#REF!</definedName>
    <definedName name="w_admin">Constants!$F$60</definedName>
    <definedName name="w_it">Constants!$I$60</definedName>
    <definedName name="w_pop">Constants!$C$60</definedName>
    <definedName name="w_pwr">Constants!$H$60</definedName>
    <definedName name="w_space">Constants!$J$60</definedName>
    <definedName name="w_tax">Constants!$K$60</definedName>
    <definedName name="w_tech">Constants!$G$60</definedName>
    <definedName name="w2ne">Constants!$D$60</definedName>
    <definedName name="w2w">Constants!$E$60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18" l="1"/>
  <c r="D76" i="18"/>
  <c r="C76" i="18"/>
  <c r="C46" i="6"/>
  <c r="K64" i="7"/>
  <c r="K63" i="7"/>
  <c r="K62" i="7"/>
  <c r="H62" i="7"/>
  <c r="L64" i="7"/>
  <c r="L63" i="7"/>
  <c r="L62" i="7"/>
  <c r="J62" i="7"/>
  <c r="J64" i="7"/>
  <c r="J63" i="7"/>
  <c r="I64" i="7"/>
  <c r="I63" i="7"/>
  <c r="I62" i="7"/>
  <c r="H64" i="7"/>
  <c r="H63" i="7"/>
  <c r="U22" i="15" l="1"/>
  <c r="U24" i="15"/>
  <c r="U23" i="15"/>
  <c r="U21" i="15"/>
  <c r="O16" i="20"/>
  <c r="O15" i="20"/>
  <c r="O14" i="20"/>
  <c r="O13" i="20"/>
  <c r="O8" i="20"/>
  <c r="O7" i="20"/>
  <c r="O6" i="20"/>
  <c r="O5" i="20"/>
  <c r="F16" i="20"/>
  <c r="F15" i="20"/>
  <c r="F14" i="20"/>
  <c r="F13" i="20"/>
  <c r="F8" i="20"/>
  <c r="F7" i="20"/>
  <c r="F6" i="20"/>
  <c r="F5" i="20"/>
  <c r="C30" i="10" l="1"/>
  <c r="D40" i="1"/>
  <c r="E21" i="1"/>
  <c r="D21" i="1"/>
  <c r="C21" i="1"/>
  <c r="E11" i="1"/>
  <c r="D11" i="1"/>
  <c r="C11" i="1"/>
  <c r="K11" i="1"/>
  <c r="J11" i="1"/>
  <c r="I11" i="1"/>
  <c r="K21" i="1"/>
  <c r="J21" i="1"/>
  <c r="I21" i="1"/>
  <c r="E30" i="6"/>
  <c r="D30" i="6"/>
  <c r="C30" i="6"/>
  <c r="E30" i="18"/>
  <c r="D30" i="18"/>
  <c r="C30" i="18"/>
  <c r="E30" i="19"/>
  <c r="D30" i="19"/>
  <c r="C30" i="19"/>
  <c r="E184" i="6"/>
  <c r="F184" i="6"/>
  <c r="E188" i="6"/>
  <c r="C169" i="6" s="1"/>
  <c r="D169" i="6" s="1"/>
  <c r="E169" i="6" s="1"/>
  <c r="F188" i="6"/>
  <c r="C170" i="6" s="1"/>
  <c r="D170" i="6" s="1"/>
  <c r="E170" i="6" s="1"/>
  <c r="D184" i="6"/>
  <c r="D188" i="6" s="1"/>
  <c r="C168" i="6" s="1"/>
  <c r="D171" i="6"/>
  <c r="E171" i="6" s="1"/>
  <c r="C171" i="6"/>
  <c r="E184" i="19"/>
  <c r="D184" i="19" s="1"/>
  <c r="D188" i="19" s="1"/>
  <c r="F184" i="19"/>
  <c r="E188" i="19"/>
  <c r="F188" i="19"/>
  <c r="C169" i="19"/>
  <c r="D169" i="19" s="1"/>
  <c r="E169" i="19" s="1"/>
  <c r="F184" i="18"/>
  <c r="E184" i="18"/>
  <c r="E188" i="18" s="1"/>
  <c r="C169" i="18" s="1"/>
  <c r="D169" i="18" s="1"/>
  <c r="E169" i="18" s="1"/>
  <c r="F188" i="18"/>
  <c r="C170" i="18" s="1"/>
  <c r="D170" i="18" s="1"/>
  <c r="E170" i="18" s="1"/>
  <c r="C171" i="18"/>
  <c r="D171" i="18" s="1"/>
  <c r="E171" i="18" s="1"/>
  <c r="D184" i="16"/>
  <c r="E184" i="16"/>
  <c r="F184" i="16"/>
  <c r="K60" i="10"/>
  <c r="K59" i="10"/>
  <c r="K58" i="10"/>
  <c r="K57" i="10"/>
  <c r="AX65" i="19"/>
  <c r="AQ65" i="19"/>
  <c r="AJ65" i="19"/>
  <c r="J60" i="10"/>
  <c r="H60" i="10"/>
  <c r="F60" i="10"/>
  <c r="J59" i="10"/>
  <c r="H59" i="10"/>
  <c r="F59" i="10"/>
  <c r="J58" i="10"/>
  <c r="H58" i="10"/>
  <c r="AX65" i="18" s="1"/>
  <c r="F58" i="10"/>
  <c r="J57" i="10"/>
  <c r="H57" i="10"/>
  <c r="I58" i="10"/>
  <c r="I59" i="10"/>
  <c r="I60" i="10"/>
  <c r="I57" i="10"/>
  <c r="C171" i="19"/>
  <c r="D171" i="19" s="1"/>
  <c r="E171" i="19" s="1"/>
  <c r="C170" i="19"/>
  <c r="D170" i="19" s="1"/>
  <c r="E170" i="19" s="1"/>
  <c r="N16" i="20"/>
  <c r="N15" i="20"/>
  <c r="N14" i="20"/>
  <c r="N13" i="20"/>
  <c r="N8" i="20"/>
  <c r="N7" i="20"/>
  <c r="N6" i="20"/>
  <c r="N5" i="20"/>
  <c r="E16" i="20"/>
  <c r="E15" i="20"/>
  <c r="E14" i="20"/>
  <c r="E13" i="20"/>
  <c r="E8" i="20"/>
  <c r="E7" i="20"/>
  <c r="E6" i="20"/>
  <c r="E5" i="20"/>
  <c r="AJ65" i="18" l="1"/>
  <c r="AQ65" i="18"/>
  <c r="F11" i="1"/>
  <c r="F21" i="1"/>
  <c r="L11" i="1"/>
  <c r="L21" i="1"/>
  <c r="C173" i="6"/>
  <c r="D173" i="6" s="1"/>
  <c r="E173" i="6" s="1"/>
  <c r="D168" i="6"/>
  <c r="E168" i="6" s="1"/>
  <c r="C168" i="19"/>
  <c r="D184" i="18"/>
  <c r="D188" i="18" s="1"/>
  <c r="C168" i="18" s="1"/>
  <c r="C173" i="19"/>
  <c r="D168" i="19"/>
  <c r="E168" i="19" s="1"/>
  <c r="C173" i="18" l="1"/>
  <c r="D168" i="18"/>
  <c r="E168" i="18" s="1"/>
  <c r="D173" i="19"/>
  <c r="E173" i="19" l="1"/>
  <c r="D173" i="18"/>
  <c r="E173" i="18" l="1"/>
  <c r="M10" i="15" l="1"/>
  <c r="S11" i="15"/>
  <c r="E12" i="15"/>
  <c r="K10" i="15"/>
  <c r="K13" i="15"/>
  <c r="AK88" i="19" l="1"/>
  <c r="AK87" i="19"/>
  <c r="E86" i="19"/>
  <c r="D86" i="19"/>
  <c r="C86" i="19"/>
  <c r="Y65" i="19"/>
  <c r="AK88" i="18"/>
  <c r="AK87" i="18"/>
  <c r="Y65" i="18"/>
  <c r="C171" i="16"/>
  <c r="D171" i="16" s="1"/>
  <c r="E171" i="16" s="1"/>
  <c r="F188" i="16"/>
  <c r="C170" i="16" s="1"/>
  <c r="D170" i="16" s="1"/>
  <c r="E170" i="16" s="1"/>
  <c r="E188" i="16"/>
  <c r="C169" i="16" s="1"/>
  <c r="D169" i="16" s="1"/>
  <c r="E169" i="16" s="1"/>
  <c r="D188" i="16"/>
  <c r="C168" i="16" s="1"/>
  <c r="AK88" i="16"/>
  <c r="AK87" i="16"/>
  <c r="Y65" i="16"/>
  <c r="D168" i="16" l="1"/>
  <c r="E168" i="16" s="1"/>
  <c r="C173" i="16"/>
  <c r="C30" i="16" l="1"/>
  <c r="D173" i="16"/>
  <c r="D30" i="16" l="1"/>
  <c r="E173" i="16"/>
  <c r="E30" i="16" s="1"/>
  <c r="E30" i="10" l="1"/>
  <c r="AA45" i="19" l="1"/>
  <c r="J55" i="19"/>
  <c r="AA55" i="19"/>
  <c r="R55" i="19"/>
  <c r="J45" i="19"/>
  <c r="R45" i="19"/>
  <c r="T24" i="15"/>
  <c r="S24" i="15"/>
  <c r="R24" i="15"/>
  <c r="T23" i="15"/>
  <c r="S23" i="15"/>
  <c r="R23" i="15"/>
  <c r="R21" i="15"/>
  <c r="T22" i="15"/>
  <c r="S22" i="15"/>
  <c r="R22" i="15"/>
  <c r="S21" i="15"/>
  <c r="T21" i="15"/>
  <c r="C25" i="15"/>
  <c r="F25" i="15"/>
  <c r="E25" i="15"/>
  <c r="D25" i="15"/>
  <c r="T11" i="15"/>
  <c r="T10" i="15"/>
  <c r="S12" i="15"/>
  <c r="S10" i="15"/>
  <c r="R12" i="15"/>
  <c r="R11" i="15"/>
  <c r="R10" i="15"/>
  <c r="P13" i="15"/>
  <c r="P11" i="15"/>
  <c r="P10" i="15"/>
  <c r="M13" i="15"/>
  <c r="M11" i="15"/>
  <c r="K12" i="15"/>
  <c r="N13" i="15"/>
  <c r="N11" i="15"/>
  <c r="N10" i="15"/>
  <c r="J13" i="15"/>
  <c r="J12" i="15"/>
  <c r="J10" i="15"/>
  <c r="H13" i="15"/>
  <c r="H12" i="15"/>
  <c r="K25" i="15"/>
  <c r="J25" i="15"/>
  <c r="I25" i="15"/>
  <c r="H25" i="15"/>
  <c r="K24" i="15"/>
  <c r="J24" i="15"/>
  <c r="I24" i="15"/>
  <c r="H24" i="15"/>
  <c r="L24" i="15" s="1"/>
  <c r="P25" i="15"/>
  <c r="O25" i="15"/>
  <c r="N25" i="15"/>
  <c r="M25" i="15"/>
  <c r="Q25" i="15" s="1"/>
  <c r="P23" i="15"/>
  <c r="O23" i="15"/>
  <c r="N23" i="15"/>
  <c r="M23" i="15"/>
  <c r="P22" i="15"/>
  <c r="O22" i="15"/>
  <c r="N22" i="15"/>
  <c r="M22" i="15"/>
  <c r="K22" i="15"/>
  <c r="J22" i="15"/>
  <c r="I22" i="15"/>
  <c r="H22" i="15"/>
  <c r="L22" i="15" s="1"/>
  <c r="P21" i="15"/>
  <c r="O21" i="15"/>
  <c r="N21" i="15"/>
  <c r="M21" i="15"/>
  <c r="K21" i="15"/>
  <c r="H21" i="15"/>
  <c r="J21" i="15"/>
  <c r="I21" i="15"/>
  <c r="U12" i="15"/>
  <c r="U11" i="15"/>
  <c r="U10" i="15"/>
  <c r="V9" i="15"/>
  <c r="O13" i="15"/>
  <c r="O11" i="15"/>
  <c r="O10" i="15"/>
  <c r="O9" i="15"/>
  <c r="I13" i="15"/>
  <c r="I12" i="15"/>
  <c r="I10" i="15"/>
  <c r="F13" i="15"/>
  <c r="E13" i="15"/>
  <c r="F12" i="15"/>
  <c r="F11" i="15"/>
  <c r="E11" i="15"/>
  <c r="D13" i="15"/>
  <c r="D12" i="15"/>
  <c r="C12" i="15"/>
  <c r="C13" i="15"/>
  <c r="C11" i="15"/>
  <c r="M9" i="15"/>
  <c r="Q9" i="15" s="1"/>
  <c r="J9" i="15"/>
  <c r="K9" i="15"/>
  <c r="I9" i="15"/>
  <c r="H9" i="15"/>
  <c r="F9" i="15"/>
  <c r="E9" i="15"/>
  <c r="D9" i="15"/>
  <c r="C9" i="15"/>
  <c r="F24" i="15"/>
  <c r="E24" i="15"/>
  <c r="D24" i="15"/>
  <c r="C24" i="15"/>
  <c r="F23" i="15"/>
  <c r="E23" i="15"/>
  <c r="D23" i="15"/>
  <c r="C23" i="15"/>
  <c r="G23" i="15" s="1"/>
  <c r="F21" i="15"/>
  <c r="E21" i="15"/>
  <c r="D21" i="15"/>
  <c r="C21" i="15"/>
  <c r="G24" i="15" l="1"/>
  <c r="V24" i="15"/>
  <c r="V22" i="15"/>
  <c r="Q23" i="15"/>
  <c r="L12" i="15"/>
  <c r="L21" i="15"/>
  <c r="Q22" i="15"/>
  <c r="G25" i="15"/>
  <c r="G21" i="15"/>
  <c r="V23" i="15"/>
  <c r="L25" i="15"/>
  <c r="G12" i="15"/>
  <c r="Q21" i="15"/>
  <c r="L10" i="15"/>
  <c r="V21" i="15"/>
  <c r="V10" i="15"/>
  <c r="Q10" i="15"/>
  <c r="V12" i="15"/>
  <c r="V11" i="15"/>
  <c r="Q13" i="15"/>
  <c r="Q11" i="15"/>
  <c r="L13" i="15"/>
  <c r="L9" i="15"/>
  <c r="G11" i="15"/>
  <c r="G13" i="15"/>
  <c r="F27" i="10"/>
  <c r="F26" i="10"/>
  <c r="AK87" i="6"/>
  <c r="R65" i="19" l="1"/>
  <c r="AA65" i="19"/>
  <c r="J65" i="19"/>
  <c r="G19" i="5"/>
  <c r="G20" i="5"/>
  <c r="G21" i="5"/>
  <c r="G18" i="5"/>
  <c r="E18" i="5"/>
  <c r="E19" i="5"/>
  <c r="E20" i="5"/>
  <c r="E21" i="5"/>
  <c r="C19" i="5"/>
  <c r="C20" i="5"/>
  <c r="C21" i="5"/>
  <c r="C18" i="5"/>
  <c r="C7" i="5" l="1"/>
  <c r="D7" i="5" s="1"/>
  <c r="C8" i="5"/>
  <c r="D8" i="5" s="1"/>
  <c r="C9" i="5"/>
  <c r="C10" i="5"/>
  <c r="D10" i="5" s="1"/>
  <c r="C11" i="5"/>
  <c r="C6" i="5"/>
  <c r="D6" i="5" s="1"/>
  <c r="D9" i="5"/>
  <c r="D11" i="5"/>
  <c r="AK88" i="6" l="1"/>
  <c r="D20" i="14"/>
  <c r="D14" i="14"/>
  <c r="E9" i="14"/>
  <c r="C9" i="14"/>
  <c r="E8" i="14"/>
  <c r="C8" i="14"/>
  <c r="E7" i="14"/>
  <c r="C7" i="14"/>
  <c r="D5" i="14"/>
  <c r="I45" i="19" l="1"/>
  <c r="K45" i="19" s="1"/>
  <c r="Z45" i="19"/>
  <c r="AB45" i="19" s="1"/>
  <c r="Q55" i="19"/>
  <c r="S55" i="19" s="1"/>
  <c r="Q45" i="19"/>
  <c r="S45" i="19" s="1"/>
  <c r="I55" i="19"/>
  <c r="K55" i="19" s="1"/>
  <c r="Z55" i="19"/>
  <c r="AB55" i="19" s="1"/>
  <c r="D8" i="14"/>
  <c r="D7" i="14"/>
  <c r="D9" i="14"/>
  <c r="T55" i="19" l="1"/>
  <c r="V55" i="19"/>
  <c r="AQ55" i="19" s="1"/>
  <c r="AC45" i="19"/>
  <c r="BB44" i="19"/>
  <c r="AE45" i="19"/>
  <c r="AX45" i="19" s="1"/>
  <c r="AB88" i="19"/>
  <c r="E118" i="19" s="1"/>
  <c r="J119" i="19" s="1"/>
  <c r="J126" i="19" s="1"/>
  <c r="O126" i="19" s="1"/>
  <c r="BB54" i="19"/>
  <c r="AC55" i="19"/>
  <c r="AE55" i="19"/>
  <c r="AX55" i="19" s="1"/>
  <c r="BH56" i="19"/>
  <c r="AH55" i="19"/>
  <c r="M55" i="19"/>
  <c r="AJ55" i="19" s="1"/>
  <c r="S88" i="19"/>
  <c r="D118" i="19" s="1"/>
  <c r="I119" i="19" s="1"/>
  <c r="I126" i="19" s="1"/>
  <c r="N126" i="19" s="1"/>
  <c r="V45" i="19"/>
  <c r="AQ45" i="19" s="1"/>
  <c r="T45" i="19"/>
  <c r="BH46" i="19"/>
  <c r="K88" i="19"/>
  <c r="C118" i="19" s="1"/>
  <c r="H119" i="19" s="1"/>
  <c r="H126" i="19" s="1"/>
  <c r="M126" i="19" s="1"/>
  <c r="AH45" i="19"/>
  <c r="M45" i="19"/>
  <c r="AJ45" i="19" s="1"/>
  <c r="M88" i="19" l="1"/>
  <c r="BH48" i="19"/>
  <c r="AR45" i="19"/>
  <c r="AH88" i="19"/>
  <c r="BI46" i="19"/>
  <c r="AO45" i="19"/>
  <c r="T88" i="19"/>
  <c r="AR55" i="19"/>
  <c r="BD44" i="19"/>
  <c r="BJ48" i="19"/>
  <c r="AE88" i="19"/>
  <c r="BJ46" i="19"/>
  <c r="AV45" i="19"/>
  <c r="AC88" i="19"/>
  <c r="BH58" i="19"/>
  <c r="P126" i="19"/>
  <c r="BI48" i="19"/>
  <c r="V88" i="19"/>
  <c r="BI58" i="19"/>
  <c r="BJ58" i="19"/>
  <c r="BD54" i="19"/>
  <c r="AV55" i="19"/>
  <c r="BJ56" i="19"/>
  <c r="R126" i="19"/>
  <c r="Q126" i="19"/>
  <c r="AO55" i="19"/>
  <c r="AY55" i="19" s="1"/>
  <c r="BI56" i="19"/>
  <c r="BK56" i="19" l="1"/>
  <c r="BK58" i="19"/>
  <c r="AJ88" i="19"/>
  <c r="AR88" i="19"/>
  <c r="AO88" i="19"/>
  <c r="AV88" i="19"/>
  <c r="AY45" i="19"/>
  <c r="AY88" i="19" s="1"/>
  <c r="AX88" i="19"/>
  <c r="BK46" i="19"/>
  <c r="BK48" i="19"/>
  <c r="AQ88" i="19"/>
  <c r="J36" i="10"/>
  <c r="K36" i="10" s="1"/>
  <c r="E34" i="13" s="1"/>
  <c r="F36" i="10"/>
  <c r="D35" i="13"/>
  <c r="D34" i="13"/>
  <c r="D33" i="13"/>
  <c r="F8" i="13"/>
  <c r="G8" i="13" s="1"/>
  <c r="F7" i="13"/>
  <c r="D22" i="13"/>
  <c r="D21" i="13"/>
  <c r="D15" i="13"/>
  <c r="D14" i="13"/>
  <c r="D8" i="13"/>
  <c r="D7" i="13"/>
  <c r="N36" i="10"/>
  <c r="O36" i="10" s="1"/>
  <c r="G36" i="10"/>
  <c r="E33" i="13" s="1"/>
  <c r="E35" i="13" l="1"/>
  <c r="X126" i="19"/>
  <c r="W126" i="19"/>
  <c r="V126" i="19"/>
  <c r="F35" i="13"/>
  <c r="G35" i="13" s="1"/>
  <c r="H35" i="13" s="1"/>
  <c r="L35" i="13" s="1"/>
  <c r="F34" i="13"/>
  <c r="G34" i="13" s="1"/>
  <c r="K34" i="13" s="1"/>
  <c r="P34" i="13" s="1"/>
  <c r="F33" i="13"/>
  <c r="G33" i="13" s="1"/>
  <c r="J33" i="13" s="1"/>
  <c r="O33" i="13" s="1"/>
  <c r="G7" i="13"/>
  <c r="K8" i="13"/>
  <c r="P8" i="13" s="1"/>
  <c r="H8" i="13"/>
  <c r="L8" i="13" s="1"/>
  <c r="J35" i="13" l="1"/>
  <c r="O35" i="13" s="1"/>
  <c r="K35" i="13"/>
  <c r="P35" i="13" s="1"/>
  <c r="H34" i="13"/>
  <c r="L34" i="13" s="1"/>
  <c r="N34" i="13" s="1"/>
  <c r="J34" i="13"/>
  <c r="O34" i="13" s="1"/>
  <c r="Q34" i="13" s="1"/>
  <c r="T34" i="13" s="1"/>
  <c r="H33" i="13"/>
  <c r="L33" i="13" s="1"/>
  <c r="K33" i="13"/>
  <c r="P33" i="13" s="1"/>
  <c r="Q33" i="13" s="1"/>
  <c r="U33" i="13" s="1"/>
  <c r="N35" i="13"/>
  <c r="S35" i="13" s="1"/>
  <c r="N8" i="13"/>
  <c r="K7" i="13"/>
  <c r="H7" i="13"/>
  <c r="L7" i="13" s="1"/>
  <c r="F6" i="5"/>
  <c r="F7" i="5"/>
  <c r="F8" i="5"/>
  <c r="F9" i="5"/>
  <c r="F10" i="5"/>
  <c r="F11" i="5"/>
  <c r="F5" i="5"/>
  <c r="E11" i="12"/>
  <c r="D11" i="12"/>
  <c r="C11" i="12"/>
  <c r="F5" i="12"/>
  <c r="F6" i="12" s="1"/>
  <c r="B15" i="10"/>
  <c r="D19" i="14" s="1"/>
  <c r="D12" i="10"/>
  <c r="B12" i="10"/>
  <c r="J9" i="10"/>
  <c r="C6" i="10"/>
  <c r="O27" i="10" s="1"/>
  <c r="H30" i="10"/>
  <c r="F22" i="13"/>
  <c r="G22" i="13" s="1"/>
  <c r="F21" i="13"/>
  <c r="G21" i="13" s="1"/>
  <c r="E27" i="10"/>
  <c r="E26" i="10"/>
  <c r="D27" i="10"/>
  <c r="D26" i="10"/>
  <c r="Q65" i="19" l="1"/>
  <c r="S65" i="19" s="1"/>
  <c r="Z75" i="19"/>
  <c r="Q75" i="19"/>
  <c r="Z65" i="19"/>
  <c r="AB65" i="19" s="1"/>
  <c r="I65" i="19"/>
  <c r="K65" i="19" s="1"/>
  <c r="I75" i="19"/>
  <c r="L55" i="19"/>
  <c r="L45" i="19"/>
  <c r="AD55" i="19"/>
  <c r="U55" i="19"/>
  <c r="AD45" i="19"/>
  <c r="U45" i="19"/>
  <c r="Z75" i="18"/>
  <c r="Z65" i="18"/>
  <c r="I65" i="18"/>
  <c r="I75" i="18"/>
  <c r="Q75" i="18"/>
  <c r="Q65" i="18"/>
  <c r="Z75" i="16"/>
  <c r="Z65" i="16"/>
  <c r="I65" i="16"/>
  <c r="I75" i="16"/>
  <c r="Q75" i="16"/>
  <c r="Q65" i="16"/>
  <c r="G9" i="5"/>
  <c r="H9" i="5" s="1"/>
  <c r="F20" i="5"/>
  <c r="F21" i="5"/>
  <c r="F19" i="5"/>
  <c r="F18" i="5"/>
  <c r="D19" i="5"/>
  <c r="D20" i="5"/>
  <c r="D21" i="5"/>
  <c r="D18" i="5"/>
  <c r="H19" i="5"/>
  <c r="H20" i="5"/>
  <c r="H21" i="5"/>
  <c r="H18" i="5"/>
  <c r="Z65" i="6"/>
  <c r="Q65" i="6"/>
  <c r="I65" i="6"/>
  <c r="Z75" i="6"/>
  <c r="Q75" i="6"/>
  <c r="I75" i="6"/>
  <c r="D15" i="8"/>
  <c r="D13" i="14"/>
  <c r="G10" i="5"/>
  <c r="H10" i="5" s="1"/>
  <c r="G11" i="5"/>
  <c r="H11" i="5" s="1"/>
  <c r="G7" i="5"/>
  <c r="H7" i="5" s="1"/>
  <c r="G6" i="5"/>
  <c r="H6" i="5" s="1"/>
  <c r="G8" i="5"/>
  <c r="H8" i="5" s="1"/>
  <c r="Q35" i="13"/>
  <c r="U35" i="13" s="1"/>
  <c r="U34" i="13"/>
  <c r="S34" i="13"/>
  <c r="T33" i="13"/>
  <c r="N33" i="13"/>
  <c r="S33" i="13" s="1"/>
  <c r="F14" i="13"/>
  <c r="G14" i="13" s="1"/>
  <c r="H22" i="13"/>
  <c r="L22" i="13" s="1"/>
  <c r="K22" i="13"/>
  <c r="I22" i="13"/>
  <c r="M22" i="13" s="1"/>
  <c r="F15" i="13"/>
  <c r="G15" i="13" s="1"/>
  <c r="H21" i="13"/>
  <c r="L21" i="13" s="1"/>
  <c r="I21" i="13"/>
  <c r="M21" i="13" s="1"/>
  <c r="K21" i="13"/>
  <c r="P7" i="13"/>
  <c r="N7" i="13"/>
  <c r="F11" i="12"/>
  <c r="B3" i="12"/>
  <c r="O26" i="10"/>
  <c r="L26" i="10"/>
  <c r="M26" i="10"/>
  <c r="N27" i="10"/>
  <c r="L27" i="10"/>
  <c r="M27" i="10"/>
  <c r="N26" i="10"/>
  <c r="BC44" i="19" l="1"/>
  <c r="AW45" i="19"/>
  <c r="AD88" i="19"/>
  <c r="BJ47" i="19"/>
  <c r="BI57" i="19"/>
  <c r="AP55" i="19"/>
  <c r="AS55" i="19" s="1"/>
  <c r="BI55" i="19" s="1"/>
  <c r="BC54" i="19"/>
  <c r="BJ57" i="19"/>
  <c r="AW55" i="19"/>
  <c r="AZ55" i="19" s="1"/>
  <c r="BJ55" i="19" s="1"/>
  <c r="AH65" i="19"/>
  <c r="BH66" i="19"/>
  <c r="L88" i="19"/>
  <c r="BH47" i="19"/>
  <c r="AI45" i="19"/>
  <c r="AC65" i="19"/>
  <c r="BB64" i="19"/>
  <c r="AI55" i="19"/>
  <c r="AL55" i="19" s="1"/>
  <c r="BH57" i="19"/>
  <c r="AP45" i="19"/>
  <c r="U88" i="19"/>
  <c r="BI47" i="19"/>
  <c r="T65" i="19"/>
  <c r="R64" i="12"/>
  <c r="M57" i="12"/>
  <c r="O57" i="12" s="1"/>
  <c r="M55" i="12"/>
  <c r="N55" i="12" s="1"/>
  <c r="H64" i="12"/>
  <c r="C62" i="12"/>
  <c r="F62" i="12" s="1"/>
  <c r="C54" i="12"/>
  <c r="F54" i="12" s="1"/>
  <c r="R62" i="12"/>
  <c r="T62" i="12" s="1"/>
  <c r="C57" i="12"/>
  <c r="E57" i="12" s="1"/>
  <c r="H62" i="12"/>
  <c r="J62" i="12" s="1"/>
  <c r="C55" i="12"/>
  <c r="F55" i="12" s="1"/>
  <c r="M63" i="12"/>
  <c r="N63" i="12" s="1"/>
  <c r="H56" i="12"/>
  <c r="I56" i="12" s="1"/>
  <c r="M56" i="12"/>
  <c r="N56" i="12" s="1"/>
  <c r="M64" i="12"/>
  <c r="P64" i="12" s="1"/>
  <c r="M62" i="12"/>
  <c r="N62" i="12" s="1"/>
  <c r="C56" i="12"/>
  <c r="D56" i="12" s="1"/>
  <c r="H54" i="12"/>
  <c r="K54" i="12" s="1"/>
  <c r="C63" i="12"/>
  <c r="F63" i="12" s="1"/>
  <c r="H63" i="12"/>
  <c r="I63" i="12" s="1"/>
  <c r="H55" i="12"/>
  <c r="K55" i="12" s="1"/>
  <c r="R63" i="12"/>
  <c r="H57" i="12"/>
  <c r="I57" i="12" s="1"/>
  <c r="C64" i="12"/>
  <c r="E64" i="12" s="1"/>
  <c r="M54" i="12"/>
  <c r="P54" i="12" s="1"/>
  <c r="O56" i="12"/>
  <c r="P56" i="12"/>
  <c r="T35" i="13"/>
  <c r="V35" i="13" s="1"/>
  <c r="V33" i="13"/>
  <c r="V34" i="13"/>
  <c r="P22" i="13"/>
  <c r="N22" i="13"/>
  <c r="H15" i="13"/>
  <c r="L15" i="13" s="1"/>
  <c r="K15" i="13"/>
  <c r="P21" i="13"/>
  <c r="N21" i="13"/>
  <c r="K14" i="13"/>
  <c r="H14" i="13"/>
  <c r="L14" i="13" s="1"/>
  <c r="BK57" i="19" l="1"/>
  <c r="BH55" i="19"/>
  <c r="BK55" i="19" s="1"/>
  <c r="BE54" i="19"/>
  <c r="AI88" i="19"/>
  <c r="AL45" i="19"/>
  <c r="AR65" i="19"/>
  <c r="BK47" i="19"/>
  <c r="AP88" i="19"/>
  <c r="AS45" i="19"/>
  <c r="AV65" i="19"/>
  <c r="BJ66" i="19"/>
  <c r="BI66" i="19"/>
  <c r="AO65" i="19"/>
  <c r="AY65" i="19" s="1"/>
  <c r="BK66" i="19"/>
  <c r="AW88" i="19"/>
  <c r="AZ45" i="19"/>
  <c r="E54" i="12"/>
  <c r="E56" i="12"/>
  <c r="F56" i="12"/>
  <c r="J54" i="12"/>
  <c r="O64" i="12"/>
  <c r="N64" i="12"/>
  <c r="O55" i="12"/>
  <c r="P55" i="12"/>
  <c r="E55" i="12"/>
  <c r="D55" i="12"/>
  <c r="O54" i="12"/>
  <c r="D54" i="12"/>
  <c r="I55" i="12"/>
  <c r="N54" i="12"/>
  <c r="F64" i="12"/>
  <c r="F57" i="12"/>
  <c r="U62" i="12"/>
  <c r="O63" i="12"/>
  <c r="D64" i="12"/>
  <c r="D57" i="12"/>
  <c r="E63" i="12"/>
  <c r="J56" i="12"/>
  <c r="K56" i="12"/>
  <c r="L56" i="12" s="1"/>
  <c r="P57" i="12"/>
  <c r="J55" i="12"/>
  <c r="L55" i="12" s="1"/>
  <c r="N57" i="12"/>
  <c r="K62" i="12"/>
  <c r="D62" i="12"/>
  <c r="E62" i="12"/>
  <c r="S63" i="12"/>
  <c r="U63" i="12"/>
  <c r="T63" i="12"/>
  <c r="P62" i="12"/>
  <c r="O62" i="12"/>
  <c r="I64" i="12"/>
  <c r="K64" i="12"/>
  <c r="K57" i="12"/>
  <c r="K63" i="12"/>
  <c r="J63" i="12"/>
  <c r="J57" i="12"/>
  <c r="D63" i="12"/>
  <c r="P63" i="12"/>
  <c r="I54" i="12"/>
  <c r="S62" i="12"/>
  <c r="J64" i="12"/>
  <c r="I62" i="12"/>
  <c r="U64" i="12"/>
  <c r="S64" i="12"/>
  <c r="T64" i="12"/>
  <c r="Q56" i="12"/>
  <c r="N14" i="13"/>
  <c r="P14" i="13"/>
  <c r="P15" i="13"/>
  <c r="N15" i="13"/>
  <c r="D15" i="10"/>
  <c r="G54" i="12" l="1"/>
  <c r="Q64" i="12"/>
  <c r="G56" i="12"/>
  <c r="AZ88" i="19"/>
  <c r="BJ45" i="19"/>
  <c r="Q62" i="12"/>
  <c r="AL88" i="19"/>
  <c r="BE44" i="19"/>
  <c r="BH45" i="19"/>
  <c r="BI45" i="19"/>
  <c r="AS88" i="19"/>
  <c r="Q55" i="12"/>
  <c r="L54" i="12"/>
  <c r="G64" i="12"/>
  <c r="Q57" i="12"/>
  <c r="Q54" i="12"/>
  <c r="G55" i="12"/>
  <c r="G57" i="12"/>
  <c r="Q63" i="12"/>
  <c r="G63" i="12"/>
  <c r="L57" i="12"/>
  <c r="L62" i="12"/>
  <c r="V62" i="12"/>
  <c r="V63" i="12"/>
  <c r="G62" i="12"/>
  <c r="L63" i="12"/>
  <c r="V64" i="12"/>
  <c r="L64" i="12"/>
  <c r="E15" i="8"/>
  <c r="D3" i="8"/>
  <c r="C11" i="8"/>
  <c r="C10" i="8"/>
  <c r="C9" i="8"/>
  <c r="B11" i="8"/>
  <c r="B10" i="8"/>
  <c r="B9" i="8"/>
  <c r="D48" i="7"/>
  <c r="D47" i="7"/>
  <c r="E8" i="7"/>
  <c r="E7" i="7"/>
  <c r="E6" i="7"/>
  <c r="D27" i="7"/>
  <c r="D26" i="7"/>
  <c r="D4" i="7"/>
  <c r="C8" i="7"/>
  <c r="C7" i="7"/>
  <c r="C6" i="7"/>
  <c r="W27" i="10"/>
  <c r="W26" i="10"/>
  <c r="BK45" i="19" l="1"/>
  <c r="Q55" i="18"/>
  <c r="I55" i="18"/>
  <c r="Z55" i="18"/>
  <c r="D54" i="16"/>
  <c r="Q55" i="16" s="1"/>
  <c r="C54" i="16"/>
  <c r="I55" i="16" s="1"/>
  <c r="E54" i="16"/>
  <c r="Z55" i="16" s="1"/>
  <c r="C54" i="6"/>
  <c r="E54" i="6"/>
  <c r="D54" i="6"/>
  <c r="D9" i="8"/>
  <c r="D10" i="8"/>
  <c r="D11" i="8"/>
  <c r="R27" i="10"/>
  <c r="Q27" i="10"/>
  <c r="U27" i="10" s="1"/>
  <c r="P27" i="10"/>
  <c r="T27" i="10" s="1"/>
  <c r="P26" i="10"/>
  <c r="Q26" i="10"/>
  <c r="U26" i="10" s="1"/>
  <c r="R26" i="10"/>
  <c r="V65" i="19" l="1"/>
  <c r="AE65" i="19"/>
  <c r="M65" i="19"/>
  <c r="Q55" i="6"/>
  <c r="Z55" i="6"/>
  <c r="I55" i="6"/>
  <c r="V27" i="10"/>
  <c r="E22" i="13"/>
  <c r="J22" i="13" s="1"/>
  <c r="O22" i="13" s="1"/>
  <c r="E8" i="13"/>
  <c r="J8" i="13" s="1"/>
  <c r="O8" i="13" s="1"/>
  <c r="E15" i="13"/>
  <c r="J15" i="13" s="1"/>
  <c r="O15" i="13" s="1"/>
  <c r="E14" i="13"/>
  <c r="J14" i="13" s="1"/>
  <c r="O14" i="13" s="1"/>
  <c r="E21" i="13"/>
  <c r="J21" i="13" s="1"/>
  <c r="O21" i="13" s="1"/>
  <c r="E7" i="13"/>
  <c r="J7" i="13" s="1"/>
  <c r="O7" i="13" s="1"/>
  <c r="V26" i="10"/>
  <c r="T26" i="10"/>
  <c r="E11" i="8"/>
  <c r="E10" i="8"/>
  <c r="BH68" i="19" l="1"/>
  <c r="BJ68" i="19"/>
  <c r="BD64" i="19"/>
  <c r="BI68" i="19"/>
  <c r="L65" i="19"/>
  <c r="U65" i="19"/>
  <c r="AD65" i="19"/>
  <c r="D44" i="16"/>
  <c r="C44" i="16"/>
  <c r="E44" i="16"/>
  <c r="C44" i="6"/>
  <c r="D44" i="6"/>
  <c r="Q45" i="6" s="1"/>
  <c r="E44" i="6"/>
  <c r="Q15" i="13"/>
  <c r="S15" i="13"/>
  <c r="S7" i="13"/>
  <c r="Q7" i="13"/>
  <c r="S8" i="13"/>
  <c r="Q8" i="13"/>
  <c r="Q21" i="13"/>
  <c r="S21" i="13"/>
  <c r="S22" i="13"/>
  <c r="Q22" i="13"/>
  <c r="Q14" i="13"/>
  <c r="S14" i="13"/>
  <c r="E9" i="8"/>
  <c r="D7" i="7"/>
  <c r="D8" i="7"/>
  <c r="D6" i="7"/>
  <c r="BK68" i="19" l="1"/>
  <c r="BJ67" i="19"/>
  <c r="BC64" i="19"/>
  <c r="AW65" i="19"/>
  <c r="BI67" i="19"/>
  <c r="AP65" i="19"/>
  <c r="BH67" i="19"/>
  <c r="AI65" i="19"/>
  <c r="Q45" i="18"/>
  <c r="D86" i="18"/>
  <c r="I45" i="18"/>
  <c r="C86" i="18"/>
  <c r="Z45" i="18"/>
  <c r="E86" i="18"/>
  <c r="I45" i="16"/>
  <c r="C86" i="16"/>
  <c r="Z45" i="16"/>
  <c r="E86" i="16"/>
  <c r="Q45" i="16"/>
  <c r="D86" i="16"/>
  <c r="Z45" i="6"/>
  <c r="E86" i="6"/>
  <c r="D86" i="6"/>
  <c r="C86" i="6"/>
  <c r="I45" i="6"/>
  <c r="U7" i="13"/>
  <c r="T7" i="13"/>
  <c r="T14" i="13"/>
  <c r="U14" i="13"/>
  <c r="T21" i="13"/>
  <c r="U21" i="13"/>
  <c r="T22" i="13"/>
  <c r="U22" i="13"/>
  <c r="T8" i="13"/>
  <c r="U8" i="13"/>
  <c r="T15" i="13"/>
  <c r="U15" i="13"/>
  <c r="C15" i="12"/>
  <c r="C16" i="12"/>
  <c r="C17" i="12"/>
  <c r="AL65" i="19" l="1"/>
  <c r="AS65" i="19"/>
  <c r="AZ65" i="19"/>
  <c r="BK67" i="19"/>
  <c r="V22" i="13"/>
  <c r="V8" i="13"/>
  <c r="V21" i="13"/>
  <c r="V7" i="13"/>
  <c r="V15" i="13"/>
  <c r="V14" i="13"/>
  <c r="E16" i="12"/>
  <c r="L23" i="12" s="1"/>
  <c r="F16" i="12"/>
  <c r="D16" i="12"/>
  <c r="K23" i="12" s="1"/>
  <c r="E17" i="12"/>
  <c r="L24" i="12" s="1"/>
  <c r="F17" i="12"/>
  <c r="D17" i="12"/>
  <c r="K24" i="12" s="1"/>
  <c r="E15" i="12"/>
  <c r="L22" i="12" s="1"/>
  <c r="F15" i="12"/>
  <c r="D15" i="12"/>
  <c r="K22" i="12" s="1"/>
  <c r="BJ65" i="19" l="1"/>
  <c r="BE64" i="19"/>
  <c r="BH65" i="19"/>
  <c r="BI65" i="19"/>
  <c r="N19" i="14"/>
  <c r="O19" i="14" s="1"/>
  <c r="X6" i="14" s="1"/>
  <c r="M22" i="12"/>
  <c r="N20" i="14"/>
  <c r="O20" i="14" s="1"/>
  <c r="X7" i="14" s="1"/>
  <c r="M23" i="12"/>
  <c r="N21" i="14"/>
  <c r="O21" i="14" s="1"/>
  <c r="X8" i="14" s="1"/>
  <c r="M24" i="12"/>
  <c r="N15" i="14"/>
  <c r="O15" i="14" s="1"/>
  <c r="W8" i="14" s="1"/>
  <c r="H7" i="14"/>
  <c r="N13" i="14"/>
  <c r="O13" i="14" s="1"/>
  <c r="W6" i="14" s="1"/>
  <c r="N14" i="14"/>
  <c r="O14" i="14" s="1"/>
  <c r="W7" i="14" s="1"/>
  <c r="H8" i="14"/>
  <c r="H6" i="14"/>
  <c r="H7" i="7"/>
  <c r="N28" i="7"/>
  <c r="N48" i="7"/>
  <c r="O48" i="7" s="1"/>
  <c r="N47" i="7"/>
  <c r="O47" i="7" s="1"/>
  <c r="N26" i="7"/>
  <c r="N49" i="7"/>
  <c r="O49" i="7" s="1"/>
  <c r="H6" i="7"/>
  <c r="H5" i="7"/>
  <c r="N27" i="7"/>
  <c r="G15" i="12"/>
  <c r="C75" i="18" s="1"/>
  <c r="G17" i="12"/>
  <c r="E75" i="18" s="1"/>
  <c r="G16" i="12"/>
  <c r="D75" i="18" s="1"/>
  <c r="E76" i="16" l="1"/>
  <c r="E76" i="6"/>
  <c r="E76" i="19"/>
  <c r="D76" i="16"/>
  <c r="R75" i="16" s="1"/>
  <c r="R75" i="18"/>
  <c r="D76" i="19"/>
  <c r="D76" i="6"/>
  <c r="E75" i="6"/>
  <c r="E87" i="6" s="1"/>
  <c r="E75" i="16"/>
  <c r="E87" i="18"/>
  <c r="E75" i="19"/>
  <c r="C75" i="19"/>
  <c r="C75" i="16"/>
  <c r="C75" i="6"/>
  <c r="C76" i="16"/>
  <c r="J75" i="16" s="1"/>
  <c r="J75" i="18"/>
  <c r="C76" i="19"/>
  <c r="C76" i="6"/>
  <c r="D75" i="16"/>
  <c r="D75" i="6"/>
  <c r="D75" i="19"/>
  <c r="H75" i="18"/>
  <c r="BK65" i="19"/>
  <c r="AA75" i="18"/>
  <c r="P75" i="18"/>
  <c r="D87" i="18"/>
  <c r="C87" i="18"/>
  <c r="AA75" i="16"/>
  <c r="O27" i="7"/>
  <c r="R55" i="18" s="1"/>
  <c r="S55" i="18" s="1"/>
  <c r="J39" i="7"/>
  <c r="K39" i="7" s="1"/>
  <c r="J40" i="7"/>
  <c r="K40" i="7" s="1"/>
  <c r="J41" i="7"/>
  <c r="K41" i="7" s="1"/>
  <c r="J42" i="7"/>
  <c r="K42" i="7" s="1"/>
  <c r="O26" i="7"/>
  <c r="J55" i="18" s="1"/>
  <c r="K55" i="18" s="1"/>
  <c r="H42" i="7"/>
  <c r="I42" i="7" s="1"/>
  <c r="H41" i="7"/>
  <c r="I41" i="7" s="1"/>
  <c r="H40" i="7"/>
  <c r="I40" i="7" s="1"/>
  <c r="H39" i="7"/>
  <c r="I39" i="7" s="1"/>
  <c r="O28" i="7"/>
  <c r="AA55" i="18" s="1"/>
  <c r="AB55" i="18" s="1"/>
  <c r="L42" i="7"/>
  <c r="M42" i="7" s="1"/>
  <c r="L39" i="7"/>
  <c r="M39" i="7" s="1"/>
  <c r="L41" i="7"/>
  <c r="M41" i="7" s="1"/>
  <c r="L40" i="7"/>
  <c r="M40" i="7" s="1"/>
  <c r="X18" i="7"/>
  <c r="X21" i="7"/>
  <c r="X20" i="7"/>
  <c r="X19" i="7"/>
  <c r="H21" i="7"/>
  <c r="H20" i="7"/>
  <c r="H19" i="7"/>
  <c r="H18" i="7"/>
  <c r="P18" i="7"/>
  <c r="P20" i="7"/>
  <c r="P21" i="7"/>
  <c r="P19" i="7"/>
  <c r="V5" i="7"/>
  <c r="K53" i="7"/>
  <c r="J53" i="7"/>
  <c r="I53" i="7"/>
  <c r="H53" i="7"/>
  <c r="V7" i="7"/>
  <c r="K55" i="7"/>
  <c r="I55" i="7"/>
  <c r="H55" i="7"/>
  <c r="J55" i="7"/>
  <c r="V6" i="7"/>
  <c r="K54" i="7"/>
  <c r="J54" i="7"/>
  <c r="I54" i="7"/>
  <c r="H54" i="7"/>
  <c r="J8" i="14"/>
  <c r="M8" i="14" s="1"/>
  <c r="I8" i="14"/>
  <c r="L8" i="14" s="1"/>
  <c r="K8" i="14"/>
  <c r="N8" i="14" s="1"/>
  <c r="K6" i="14"/>
  <c r="N6" i="14" s="1"/>
  <c r="J6" i="14"/>
  <c r="M6" i="14" s="1"/>
  <c r="I6" i="14"/>
  <c r="L6" i="14" s="1"/>
  <c r="Y65" i="6"/>
  <c r="K7" i="14"/>
  <c r="N7" i="14" s="1"/>
  <c r="J7" i="14"/>
  <c r="M7" i="14" s="1"/>
  <c r="I7" i="14"/>
  <c r="L7" i="14" s="1"/>
  <c r="K6" i="7"/>
  <c r="N6" i="7" s="1"/>
  <c r="J6" i="7"/>
  <c r="M6" i="7" s="1"/>
  <c r="I6" i="7"/>
  <c r="L6" i="7" s="1"/>
  <c r="K5" i="7"/>
  <c r="N5" i="7" s="1"/>
  <c r="I5" i="7"/>
  <c r="L5" i="7" s="1"/>
  <c r="J5" i="7"/>
  <c r="M5" i="7" s="1"/>
  <c r="K7" i="7"/>
  <c r="N7" i="7" s="1"/>
  <c r="I7" i="7"/>
  <c r="L7" i="7" s="1"/>
  <c r="J7" i="7"/>
  <c r="M7" i="7" s="1"/>
  <c r="K75" i="18" l="1"/>
  <c r="L75" i="18" s="1"/>
  <c r="J75" i="19"/>
  <c r="C88" i="19"/>
  <c r="C105" i="19" s="1"/>
  <c r="C163" i="19" s="1"/>
  <c r="Y75" i="18"/>
  <c r="AB75" i="18" s="1"/>
  <c r="AE75" i="18" s="1"/>
  <c r="AX75" i="18" s="1"/>
  <c r="H108" i="19"/>
  <c r="H107" i="19"/>
  <c r="H106" i="19"/>
  <c r="E88" i="19"/>
  <c r="E105" i="19" s="1"/>
  <c r="AA75" i="19"/>
  <c r="C87" i="19"/>
  <c r="H75" i="19"/>
  <c r="K75" i="19" s="1"/>
  <c r="R75" i="19"/>
  <c r="D88" i="19"/>
  <c r="D105" i="19" s="1"/>
  <c r="D163" i="19" s="1"/>
  <c r="E87" i="19"/>
  <c r="Y75" i="19"/>
  <c r="S75" i="18"/>
  <c r="V75" i="18" s="1"/>
  <c r="AQ75" i="18" s="1"/>
  <c r="I108" i="19"/>
  <c r="I106" i="19"/>
  <c r="I107" i="19"/>
  <c r="J108" i="19"/>
  <c r="J107" i="19"/>
  <c r="D87" i="19"/>
  <c r="P75" i="19"/>
  <c r="V55" i="18"/>
  <c r="AQ55" i="18" s="1"/>
  <c r="T55" i="18"/>
  <c r="H33" i="7"/>
  <c r="AH55" i="18"/>
  <c r="BH56" i="18"/>
  <c r="M55" i="18"/>
  <c r="AJ55" i="18" s="1"/>
  <c r="L55" i="18"/>
  <c r="AC55" i="18"/>
  <c r="AE55" i="18"/>
  <c r="AX55" i="18" s="1"/>
  <c r="BB54" i="18"/>
  <c r="R65" i="18"/>
  <c r="S65" i="18" s="1"/>
  <c r="I33" i="7"/>
  <c r="U6" i="7"/>
  <c r="I32" i="7"/>
  <c r="K33" i="7"/>
  <c r="J32" i="7"/>
  <c r="K32" i="7"/>
  <c r="U7" i="7"/>
  <c r="H32" i="7"/>
  <c r="C46" i="16"/>
  <c r="Y75" i="16"/>
  <c r="AB75" i="16" s="1"/>
  <c r="E87" i="16"/>
  <c r="U5" i="7"/>
  <c r="C56" i="16"/>
  <c r="J55" i="16" s="1"/>
  <c r="K55" i="16" s="1"/>
  <c r="C56" i="6"/>
  <c r="J55" i="6" s="1"/>
  <c r="K55" i="6" s="1"/>
  <c r="H75" i="16"/>
  <c r="K75" i="16" s="1"/>
  <c r="C87" i="16"/>
  <c r="K34" i="7"/>
  <c r="E56" i="16"/>
  <c r="AA55" i="16" s="1"/>
  <c r="AB55" i="16" s="1"/>
  <c r="E56" i="6"/>
  <c r="AA55" i="6" s="1"/>
  <c r="AB55" i="6" s="1"/>
  <c r="E46" i="16"/>
  <c r="E46" i="6"/>
  <c r="D46" i="16"/>
  <c r="D46" i="6"/>
  <c r="J33" i="7"/>
  <c r="D56" i="16"/>
  <c r="R55" i="16" s="1"/>
  <c r="S55" i="16" s="1"/>
  <c r="D56" i="6"/>
  <c r="R55" i="6" s="1"/>
  <c r="S55" i="6" s="1"/>
  <c r="D87" i="16"/>
  <c r="P75" i="16"/>
  <c r="S75" i="16" s="1"/>
  <c r="H34" i="7"/>
  <c r="I34" i="7"/>
  <c r="J34" i="7"/>
  <c r="S19" i="7"/>
  <c r="V19" i="7" s="1"/>
  <c r="Q19" i="7"/>
  <c r="T19" i="7" s="1"/>
  <c r="R19" i="7"/>
  <c r="U19" i="7" s="1"/>
  <c r="R20" i="7"/>
  <c r="U20" i="7" s="1"/>
  <c r="S20" i="7"/>
  <c r="V20" i="7" s="1"/>
  <c r="Q20" i="7"/>
  <c r="T20" i="7" s="1"/>
  <c r="Y19" i="7"/>
  <c r="AB19" i="7" s="1"/>
  <c r="AA19" i="7"/>
  <c r="AD19" i="7" s="1"/>
  <c r="Z19" i="7"/>
  <c r="AC19" i="7" s="1"/>
  <c r="Q18" i="7"/>
  <c r="T18" i="7" s="1"/>
  <c r="R18" i="7"/>
  <c r="U18" i="7" s="1"/>
  <c r="S18" i="7"/>
  <c r="V18" i="7" s="1"/>
  <c r="K19" i="7"/>
  <c r="N19" i="7" s="1"/>
  <c r="J19" i="7"/>
  <c r="M19" i="7" s="1"/>
  <c r="I19" i="7"/>
  <c r="L19" i="7" s="1"/>
  <c r="O19" i="7" s="1"/>
  <c r="K21" i="7"/>
  <c r="N21" i="7" s="1"/>
  <c r="J21" i="7"/>
  <c r="M21" i="7" s="1"/>
  <c r="I21" i="7"/>
  <c r="L21" i="7" s="1"/>
  <c r="AA20" i="7"/>
  <c r="AD20" i="7" s="1"/>
  <c r="Z20" i="7"/>
  <c r="AC20" i="7" s="1"/>
  <c r="Y20" i="7"/>
  <c r="AB20" i="7" s="1"/>
  <c r="J20" i="7"/>
  <c r="M20" i="7" s="1"/>
  <c r="I20" i="7"/>
  <c r="L20" i="7" s="1"/>
  <c r="K20" i="7"/>
  <c r="N20" i="7" s="1"/>
  <c r="AA21" i="7"/>
  <c r="AD21" i="7" s="1"/>
  <c r="Y21" i="7"/>
  <c r="AB21" i="7" s="1"/>
  <c r="Z21" i="7"/>
  <c r="AC21" i="7" s="1"/>
  <c r="R21" i="7"/>
  <c r="U21" i="7" s="1"/>
  <c r="Q21" i="7"/>
  <c r="T21" i="7" s="1"/>
  <c r="S21" i="7"/>
  <c r="V21" i="7" s="1"/>
  <c r="I18" i="7"/>
  <c r="L18" i="7" s="1"/>
  <c r="K18" i="7"/>
  <c r="N18" i="7" s="1"/>
  <c r="J18" i="7"/>
  <c r="M18" i="7" s="1"/>
  <c r="AA18" i="7"/>
  <c r="AD18" i="7" s="1"/>
  <c r="Z18" i="7"/>
  <c r="AC18" i="7" s="1"/>
  <c r="Y18" i="7"/>
  <c r="AB18" i="7" s="1"/>
  <c r="L53" i="7"/>
  <c r="L55" i="7"/>
  <c r="L54" i="7"/>
  <c r="O7" i="14"/>
  <c r="O26" i="14" s="1"/>
  <c r="O6" i="14"/>
  <c r="V6" i="14" s="1"/>
  <c r="O8" i="14"/>
  <c r="R75" i="6"/>
  <c r="H75" i="6"/>
  <c r="C87" i="6"/>
  <c r="AA75" i="6"/>
  <c r="P75" i="6"/>
  <c r="J75" i="6"/>
  <c r="Y75" i="6"/>
  <c r="D87" i="6"/>
  <c r="O6" i="7"/>
  <c r="D105" i="16" s="1"/>
  <c r="D163" i="16" s="1"/>
  <c r="O5" i="7"/>
  <c r="C105" i="16" s="1"/>
  <c r="C163" i="16" s="1"/>
  <c r="O7" i="7"/>
  <c r="M75" i="18" l="1"/>
  <c r="AJ75" i="18" s="1"/>
  <c r="AH75" i="18"/>
  <c r="BH76" i="18"/>
  <c r="J106" i="19"/>
  <c r="E163" i="19"/>
  <c r="AA65" i="18"/>
  <c r="AB65" i="18" s="1"/>
  <c r="E105" i="16"/>
  <c r="E163" i="16" s="1"/>
  <c r="I125" i="19"/>
  <c r="N125" i="19" s="1"/>
  <c r="D147" i="19"/>
  <c r="D148" i="19" s="1"/>
  <c r="H125" i="19"/>
  <c r="M125" i="19" s="1"/>
  <c r="C147" i="19"/>
  <c r="C148" i="19" s="1"/>
  <c r="J125" i="19"/>
  <c r="O125" i="19" s="1"/>
  <c r="E147" i="19"/>
  <c r="E148" i="19" s="1"/>
  <c r="E66" i="6"/>
  <c r="AC75" i="18"/>
  <c r="AD75" i="18" s="1"/>
  <c r="BB74" i="18"/>
  <c r="D117" i="18"/>
  <c r="I118" i="18" s="1"/>
  <c r="I124" i="18" s="1"/>
  <c r="N124" i="18" s="1"/>
  <c r="T75" i="18"/>
  <c r="AO75" i="18" s="1"/>
  <c r="AY75" i="18" s="1"/>
  <c r="S75" i="19"/>
  <c r="T75" i="19" s="1"/>
  <c r="Q125" i="19"/>
  <c r="W125" i="19"/>
  <c r="P125" i="19"/>
  <c r="V125" i="19"/>
  <c r="X125" i="19"/>
  <c r="R125" i="19"/>
  <c r="AB75" i="19"/>
  <c r="O21" i="7"/>
  <c r="C117" i="19"/>
  <c r="H118" i="19" s="1"/>
  <c r="H124" i="19" s="1"/>
  <c r="AH75" i="19"/>
  <c r="BH76" i="19"/>
  <c r="M75" i="19"/>
  <c r="AJ75" i="19" s="1"/>
  <c r="L75" i="19"/>
  <c r="K87" i="19"/>
  <c r="BB64" i="18"/>
  <c r="AC65" i="18"/>
  <c r="AB87" i="18"/>
  <c r="AE65" i="18"/>
  <c r="E117" i="18"/>
  <c r="J118" i="18" s="1"/>
  <c r="J124" i="18" s="1"/>
  <c r="BH77" i="18"/>
  <c r="AI75" i="18"/>
  <c r="BD54" i="18"/>
  <c r="BJ58" i="18"/>
  <c r="BH57" i="18"/>
  <c r="AI55" i="18"/>
  <c r="J45" i="18"/>
  <c r="K45" i="18" s="1"/>
  <c r="AL55" i="18"/>
  <c r="BH58" i="18"/>
  <c r="J65" i="18"/>
  <c r="K65" i="18" s="1"/>
  <c r="L32" i="7"/>
  <c r="AO55" i="18"/>
  <c r="U55" i="18"/>
  <c r="BI56" i="18"/>
  <c r="AR55" i="18"/>
  <c r="BI58" i="18"/>
  <c r="AR75" i="18"/>
  <c r="BI78" i="18"/>
  <c r="AA45" i="18"/>
  <c r="AB45" i="18" s="1"/>
  <c r="E88" i="18"/>
  <c r="E105" i="18" s="1"/>
  <c r="E163" i="18" s="1"/>
  <c r="BD74" i="18"/>
  <c r="BJ78" i="18"/>
  <c r="S87" i="18"/>
  <c r="V65" i="18"/>
  <c r="BJ56" i="18"/>
  <c r="AD55" i="18"/>
  <c r="AV55" i="18"/>
  <c r="E66" i="16"/>
  <c r="E88" i="16" s="1"/>
  <c r="R45" i="18"/>
  <c r="S45" i="18" s="1"/>
  <c r="D88" i="18"/>
  <c r="D105" i="18" s="1"/>
  <c r="D163" i="18" s="1"/>
  <c r="BH78" i="18"/>
  <c r="C66" i="16"/>
  <c r="C88" i="16" s="1"/>
  <c r="D66" i="16"/>
  <c r="R65" i="16" s="1"/>
  <c r="S65" i="16" s="1"/>
  <c r="D117" i="16" s="1"/>
  <c r="I118" i="16" s="1"/>
  <c r="I124" i="16" s="1"/>
  <c r="AC55" i="6"/>
  <c r="L33" i="7"/>
  <c r="C66" i="6"/>
  <c r="L34" i="7"/>
  <c r="D66" i="6"/>
  <c r="AH55" i="16"/>
  <c r="M55" i="16"/>
  <c r="AJ55" i="16" s="1"/>
  <c r="L55" i="16"/>
  <c r="BH56" i="16"/>
  <c r="BB74" i="16"/>
  <c r="AC75" i="16"/>
  <c r="AE75" i="16"/>
  <c r="AX75" i="16" s="1"/>
  <c r="BH76" i="16"/>
  <c r="M75" i="16"/>
  <c r="AJ75" i="16" s="1"/>
  <c r="L75" i="16"/>
  <c r="AH75" i="16"/>
  <c r="R45" i="16"/>
  <c r="S45" i="16" s="1"/>
  <c r="V75" i="16"/>
  <c r="AQ75" i="16" s="1"/>
  <c r="T75" i="16"/>
  <c r="AA45" i="16"/>
  <c r="AB45" i="16" s="1"/>
  <c r="T55" i="16"/>
  <c r="V55" i="16"/>
  <c r="AQ55" i="16" s="1"/>
  <c r="J45" i="16"/>
  <c r="K45" i="16" s="1"/>
  <c r="E105" i="6"/>
  <c r="E163" i="6" s="1"/>
  <c r="C105" i="6"/>
  <c r="C163" i="6" s="1"/>
  <c r="D105" i="6"/>
  <c r="D163" i="6" s="1"/>
  <c r="AE55" i="16"/>
  <c r="AX55" i="16" s="1"/>
  <c r="AC55" i="16"/>
  <c r="BB54" i="16"/>
  <c r="W20" i="7"/>
  <c r="AE18" i="7"/>
  <c r="K75" i="6"/>
  <c r="O20" i="7"/>
  <c r="O18" i="7"/>
  <c r="AE20" i="7"/>
  <c r="W18" i="7"/>
  <c r="AE19" i="7"/>
  <c r="W21" i="7"/>
  <c r="W19" i="7"/>
  <c r="AE21" i="7"/>
  <c r="K13" i="7"/>
  <c r="I13" i="7"/>
  <c r="H13" i="7"/>
  <c r="J13" i="7"/>
  <c r="H11" i="7"/>
  <c r="K11" i="7"/>
  <c r="J11" i="7"/>
  <c r="I11" i="7"/>
  <c r="K12" i="7"/>
  <c r="H12" i="7"/>
  <c r="J12" i="7"/>
  <c r="I12" i="7"/>
  <c r="AB75" i="6"/>
  <c r="BB74" i="6" s="1"/>
  <c r="O25" i="14"/>
  <c r="V7" i="14"/>
  <c r="T5" i="7"/>
  <c r="T6" i="7"/>
  <c r="T7" i="7"/>
  <c r="O27" i="14"/>
  <c r="V8" i="14"/>
  <c r="S75" i="6"/>
  <c r="AE55" i="6"/>
  <c r="AX55" i="6" s="1"/>
  <c r="BB54" i="6"/>
  <c r="AH55" i="6"/>
  <c r="M55" i="6"/>
  <c r="AJ55" i="6" s="1"/>
  <c r="L55" i="6"/>
  <c r="BH56" i="6"/>
  <c r="V55" i="6"/>
  <c r="AQ55" i="6" s="1"/>
  <c r="T55" i="6"/>
  <c r="O93" i="7"/>
  <c r="P49" i="7" s="1"/>
  <c r="O91" i="7"/>
  <c r="P47" i="7" s="1"/>
  <c r="O92" i="7"/>
  <c r="P48" i="7" s="1"/>
  <c r="E149" i="19" l="1"/>
  <c r="E150" i="19" s="1"/>
  <c r="E151" i="19"/>
  <c r="C149" i="19"/>
  <c r="C150" i="19" s="1"/>
  <c r="C151" i="19"/>
  <c r="D149" i="19"/>
  <c r="D150" i="19" s="1"/>
  <c r="D151" i="19"/>
  <c r="BJ76" i="18"/>
  <c r="AV75" i="18"/>
  <c r="I108" i="18"/>
  <c r="I107" i="18"/>
  <c r="BI76" i="18"/>
  <c r="BK76" i="18" s="1"/>
  <c r="U75" i="18"/>
  <c r="AP75" i="18" s="1"/>
  <c r="AS75" i="18" s="1"/>
  <c r="S87" i="19"/>
  <c r="J65" i="16"/>
  <c r="K65" i="16" s="1"/>
  <c r="C117" i="16" s="1"/>
  <c r="H118" i="16" s="1"/>
  <c r="H124" i="16" s="1"/>
  <c r="M124" i="16" s="1"/>
  <c r="I106" i="18"/>
  <c r="V75" i="19"/>
  <c r="D117" i="19"/>
  <c r="I118" i="19" s="1"/>
  <c r="I124" i="19" s="1"/>
  <c r="N124" i="19" s="1"/>
  <c r="U75" i="19"/>
  <c r="AO75" i="19"/>
  <c r="BI76" i="19"/>
  <c r="BI88" i="19" s="1"/>
  <c r="T87" i="19"/>
  <c r="AE75" i="19"/>
  <c r="AX75" i="19" s="1"/>
  <c r="E117" i="19"/>
  <c r="J118" i="19" s="1"/>
  <c r="J124" i="19" s="1"/>
  <c r="AC75" i="19"/>
  <c r="BB74" i="19"/>
  <c r="AB87" i="19"/>
  <c r="BH77" i="19"/>
  <c r="AI75" i="19"/>
  <c r="L87" i="19"/>
  <c r="AJ87" i="19"/>
  <c r="BH78" i="19"/>
  <c r="M87" i="19"/>
  <c r="BH88" i="19"/>
  <c r="AR75" i="19"/>
  <c r="AR87" i="19" s="1"/>
  <c r="AH87" i="19"/>
  <c r="C24" i="19" s="1"/>
  <c r="I16" i="1" s="1"/>
  <c r="M124" i="19"/>
  <c r="H127" i="19"/>
  <c r="BK78" i="18"/>
  <c r="AL75" i="18"/>
  <c r="BH75" i="18" s="1"/>
  <c r="BK56" i="18"/>
  <c r="BI57" i="18"/>
  <c r="AP55" i="18"/>
  <c r="AS55" i="18" s="1"/>
  <c r="BI55" i="18" s="1"/>
  <c r="AC45" i="18"/>
  <c r="AE45" i="18"/>
  <c r="AX45" i="18" s="1"/>
  <c r="AB88" i="18"/>
  <c r="E118" i="18" s="1"/>
  <c r="J119" i="18" s="1"/>
  <c r="J126" i="18" s="1"/>
  <c r="O126" i="18" s="1"/>
  <c r="BB44" i="18"/>
  <c r="M65" i="18"/>
  <c r="BD64" i="18" s="1"/>
  <c r="K87" i="18"/>
  <c r="BH66" i="18"/>
  <c r="AH65" i="18"/>
  <c r="L65" i="18"/>
  <c r="C117" i="18"/>
  <c r="H118" i="18" s="1"/>
  <c r="H124" i="18" s="1"/>
  <c r="V65" i="16"/>
  <c r="BK58" i="18"/>
  <c r="O124" i="18"/>
  <c r="J107" i="18"/>
  <c r="J106" i="18"/>
  <c r="J108" i="18"/>
  <c r="S87" i="16"/>
  <c r="BJ57" i="18"/>
  <c r="AW55" i="18"/>
  <c r="BC54" i="18"/>
  <c r="BH55" i="18"/>
  <c r="BJ68" i="18"/>
  <c r="AE87" i="18"/>
  <c r="AX87" i="18"/>
  <c r="AW75" i="18"/>
  <c r="BJ77" i="18"/>
  <c r="D88" i="16"/>
  <c r="AA65" i="16"/>
  <c r="AB65" i="16" s="1"/>
  <c r="AY55" i="18"/>
  <c r="L45" i="18"/>
  <c r="BH46" i="18"/>
  <c r="AH45" i="18"/>
  <c r="M45" i="18"/>
  <c r="AJ45" i="18" s="1"/>
  <c r="K88" i="18"/>
  <c r="C118" i="18" s="1"/>
  <c r="H119" i="18" s="1"/>
  <c r="H126" i="18" s="1"/>
  <c r="M126" i="18" s="1"/>
  <c r="BI68" i="18"/>
  <c r="AQ87" i="18"/>
  <c r="V87" i="18"/>
  <c r="C88" i="18"/>
  <c r="C105" i="18" s="1"/>
  <c r="C163" i="18" s="1"/>
  <c r="AV65" i="18"/>
  <c r="AD65" i="18"/>
  <c r="AC87" i="18"/>
  <c r="BJ66" i="18"/>
  <c r="T65" i="18"/>
  <c r="S88" i="18"/>
  <c r="D118" i="18" s="1"/>
  <c r="I119" i="18" s="1"/>
  <c r="I126" i="18" s="1"/>
  <c r="N126" i="18" s="1"/>
  <c r="V45" i="18"/>
  <c r="AQ45" i="18" s="1"/>
  <c r="T45" i="18"/>
  <c r="Q124" i="18"/>
  <c r="W124" i="18"/>
  <c r="J106" i="16"/>
  <c r="J108" i="16"/>
  <c r="J107" i="16"/>
  <c r="E147" i="16" s="1"/>
  <c r="E148" i="16" s="1"/>
  <c r="BH57" i="16"/>
  <c r="AI55" i="16"/>
  <c r="AR55" i="16"/>
  <c r="J108" i="6"/>
  <c r="J107" i="6"/>
  <c r="J106" i="6"/>
  <c r="H107" i="16"/>
  <c r="H106" i="16"/>
  <c r="H108" i="16"/>
  <c r="L75" i="6"/>
  <c r="AI75" i="6" s="1"/>
  <c r="AR75" i="16"/>
  <c r="BI58" i="16"/>
  <c r="BD74" i="16"/>
  <c r="BJ78" i="16"/>
  <c r="BI78" i="16"/>
  <c r="BH77" i="16"/>
  <c r="AI75" i="16"/>
  <c r="U55" i="16"/>
  <c r="BI56" i="16"/>
  <c r="AO55" i="16"/>
  <c r="AY55" i="16" s="1"/>
  <c r="AC45" i="16"/>
  <c r="AE45" i="16"/>
  <c r="AX45" i="16" s="1"/>
  <c r="AB88" i="16"/>
  <c r="E118" i="16" s="1"/>
  <c r="J119" i="16" s="1"/>
  <c r="J126" i="16" s="1"/>
  <c r="O126" i="16" s="1"/>
  <c r="BB44" i="16"/>
  <c r="BJ76" i="16"/>
  <c r="AD75" i="16"/>
  <c r="AV75" i="16"/>
  <c r="BH78" i="16"/>
  <c r="I106" i="16"/>
  <c r="I107" i="16"/>
  <c r="I108" i="16"/>
  <c r="AO75" i="16"/>
  <c r="AY75" i="16" s="1"/>
  <c r="U75" i="16"/>
  <c r="BI76" i="16"/>
  <c r="S88" i="16"/>
  <c r="D118" i="16" s="1"/>
  <c r="I119" i="16" s="1"/>
  <c r="I126" i="16" s="1"/>
  <c r="N126" i="16" s="1"/>
  <c r="V45" i="16"/>
  <c r="AQ45" i="16" s="1"/>
  <c r="T45" i="16"/>
  <c r="L45" i="16"/>
  <c r="BH46" i="16"/>
  <c r="M45" i="16"/>
  <c r="AJ45" i="16" s="1"/>
  <c r="K88" i="16"/>
  <c r="C118" i="16" s="1"/>
  <c r="H119" i="16" s="1"/>
  <c r="H126" i="16" s="1"/>
  <c r="M126" i="16" s="1"/>
  <c r="AH45" i="16"/>
  <c r="BH58" i="16"/>
  <c r="BJ56" i="16"/>
  <c r="AD55" i="16"/>
  <c r="AV55" i="16"/>
  <c r="BJ58" i="16"/>
  <c r="BD54" i="16"/>
  <c r="I108" i="6"/>
  <c r="I107" i="6"/>
  <c r="D147" i="6" s="1"/>
  <c r="D148" i="6" s="1"/>
  <c r="I106" i="6"/>
  <c r="H106" i="6"/>
  <c r="H108" i="6"/>
  <c r="H107" i="6"/>
  <c r="C147" i="6" s="1"/>
  <c r="C148" i="6" s="1"/>
  <c r="N124" i="16"/>
  <c r="AE75" i="6"/>
  <c r="AX75" i="6" s="1"/>
  <c r="K98" i="7"/>
  <c r="J98" i="7"/>
  <c r="I98" i="7"/>
  <c r="H98" i="7"/>
  <c r="AA45" i="6"/>
  <c r="AB45" i="6" s="1"/>
  <c r="K97" i="7"/>
  <c r="J97" i="7"/>
  <c r="I97" i="7"/>
  <c r="H97" i="7"/>
  <c r="K99" i="7"/>
  <c r="I99" i="7"/>
  <c r="H99" i="7"/>
  <c r="J99" i="7"/>
  <c r="R45" i="6"/>
  <c r="S45" i="6" s="1"/>
  <c r="L13" i="7"/>
  <c r="L12" i="7"/>
  <c r="L11" i="7"/>
  <c r="BH76" i="6"/>
  <c r="AH75" i="6"/>
  <c r="AR75" i="6" s="1"/>
  <c r="M75" i="6"/>
  <c r="T75" i="6"/>
  <c r="U75" i="6" s="1"/>
  <c r="V75" i="6"/>
  <c r="AC75" i="6"/>
  <c r="BJ76" i="6" s="1"/>
  <c r="AV55" i="6"/>
  <c r="BJ56" i="6"/>
  <c r="AD55" i="6"/>
  <c r="AI55" i="6"/>
  <c r="BH57" i="6"/>
  <c r="R65" i="6"/>
  <c r="S65" i="6" s="1"/>
  <c r="BI56" i="6"/>
  <c r="AO55" i="6"/>
  <c r="AY55" i="6" s="1"/>
  <c r="U55" i="6"/>
  <c r="BH58" i="6"/>
  <c r="BI58" i="6"/>
  <c r="AR55" i="6"/>
  <c r="BH77" i="6"/>
  <c r="BJ58" i="6"/>
  <c r="BD54" i="6"/>
  <c r="AA65" i="6"/>
  <c r="AB65" i="6" s="1"/>
  <c r="J65" i="6"/>
  <c r="K65" i="6" s="1"/>
  <c r="K87" i="6" s="1"/>
  <c r="AZ75" i="18" l="1"/>
  <c r="BJ75" i="18" s="1"/>
  <c r="D152" i="19"/>
  <c r="V87" i="19"/>
  <c r="AQ75" i="19"/>
  <c r="C151" i="6"/>
  <c r="C149" i="6"/>
  <c r="C150" i="6" s="1"/>
  <c r="C152" i="6" s="1"/>
  <c r="C152" i="19"/>
  <c r="D151" i="6"/>
  <c r="D149" i="6"/>
  <c r="D150" i="6" s="1"/>
  <c r="D152" i="6" s="1"/>
  <c r="BI78" i="6"/>
  <c r="AQ75" i="6"/>
  <c r="E147" i="6"/>
  <c r="E148" i="6" s="1"/>
  <c r="BH78" i="6"/>
  <c r="AJ75" i="6"/>
  <c r="E152" i="19"/>
  <c r="E147" i="18"/>
  <c r="E148" i="18" s="1"/>
  <c r="V87" i="16"/>
  <c r="AQ65" i="16"/>
  <c r="AQ87" i="16" s="1"/>
  <c r="E149" i="16"/>
  <c r="E150" i="16" s="1"/>
  <c r="E151" i="16"/>
  <c r="D16" i="19"/>
  <c r="C16" i="19"/>
  <c r="H125" i="16"/>
  <c r="M125" i="16" s="1"/>
  <c r="P125" i="16" s="1"/>
  <c r="C147" i="16"/>
  <c r="I125" i="16"/>
  <c r="N125" i="16" s="1"/>
  <c r="Q125" i="16" s="1"/>
  <c r="D147" i="16"/>
  <c r="D148" i="16" s="1"/>
  <c r="BI77" i="18"/>
  <c r="BC74" i="18"/>
  <c r="I125" i="18"/>
  <c r="AQ87" i="19"/>
  <c r="AY75" i="19"/>
  <c r="AY87" i="19" s="1"/>
  <c r="AI87" i="19"/>
  <c r="BI78" i="19"/>
  <c r="BI90" i="19" s="1"/>
  <c r="L65" i="16"/>
  <c r="BH67" i="16" s="1"/>
  <c r="BH66" i="16"/>
  <c r="T65" i="16"/>
  <c r="BI66" i="16" s="1"/>
  <c r="AZ55" i="18"/>
  <c r="BJ55" i="18" s="1"/>
  <c r="BK55" i="18" s="1"/>
  <c r="M65" i="16"/>
  <c r="AH65" i="16"/>
  <c r="AR65" i="16" s="1"/>
  <c r="AR87" i="16" s="1"/>
  <c r="K87" i="16"/>
  <c r="H106" i="18"/>
  <c r="H107" i="18"/>
  <c r="C147" i="18" s="1"/>
  <c r="C148" i="18" s="1"/>
  <c r="H108" i="18"/>
  <c r="I127" i="19"/>
  <c r="AL75" i="19"/>
  <c r="BH75" i="19" s="1"/>
  <c r="BI68" i="16"/>
  <c r="J127" i="19"/>
  <c r="O124" i="19"/>
  <c r="BJ78" i="19"/>
  <c r="BJ90" i="19" s="1"/>
  <c r="AX87" i="19"/>
  <c r="BD74" i="19"/>
  <c r="AE87" i="19"/>
  <c r="BJ76" i="19"/>
  <c r="AD75" i="19"/>
  <c r="AV75" i="19"/>
  <c r="AC87" i="19"/>
  <c r="W124" i="19"/>
  <c r="Q124" i="19"/>
  <c r="Q128" i="19" s="1"/>
  <c r="BH90" i="19"/>
  <c r="AO87" i="19"/>
  <c r="D24" i="19" s="1"/>
  <c r="J16" i="1" s="1"/>
  <c r="BI77" i="19"/>
  <c r="BI89" i="19" s="1"/>
  <c r="AP75" i="19"/>
  <c r="U87" i="19"/>
  <c r="V124" i="19"/>
  <c r="P124" i="19"/>
  <c r="P128" i="19" s="1"/>
  <c r="BH89" i="19"/>
  <c r="AL55" i="16"/>
  <c r="BH55" i="16" s="1"/>
  <c r="BK77" i="18"/>
  <c r="BK57" i="18"/>
  <c r="BI75" i="18"/>
  <c r="BK75" i="18" s="1"/>
  <c r="BE74" i="18"/>
  <c r="T87" i="18"/>
  <c r="AO65" i="18"/>
  <c r="AY65" i="18" s="1"/>
  <c r="AY87" i="18" s="1"/>
  <c r="U65" i="18"/>
  <c r="BI66" i="18"/>
  <c r="BK66" i="18" s="1"/>
  <c r="AR45" i="18"/>
  <c r="AR88" i="18" s="1"/>
  <c r="AH88" i="18"/>
  <c r="BI46" i="18"/>
  <c r="T88" i="18"/>
  <c r="AO45" i="18"/>
  <c r="AY45" i="18" s="1"/>
  <c r="AY88" i="18" s="1"/>
  <c r="U45" i="18"/>
  <c r="BH88" i="18"/>
  <c r="V88" i="18"/>
  <c r="BI48" i="18"/>
  <c r="BI90" i="18" s="1"/>
  <c r="AQ88" i="18"/>
  <c r="BH47" i="18"/>
  <c r="L88" i="18"/>
  <c r="AI45" i="18"/>
  <c r="AI88" i="18" s="1"/>
  <c r="R124" i="18"/>
  <c r="X124" i="18"/>
  <c r="W126" i="18"/>
  <c r="Q126" i="18"/>
  <c r="X126" i="18"/>
  <c r="R126" i="18"/>
  <c r="AW65" i="18"/>
  <c r="AW87" i="18" s="1"/>
  <c r="BJ67" i="18"/>
  <c r="AD87" i="18"/>
  <c r="BB64" i="16"/>
  <c r="AC65" i="16"/>
  <c r="E117" i="16"/>
  <c r="J118" i="16" s="1"/>
  <c r="J124" i="16" s="1"/>
  <c r="O124" i="16" s="1"/>
  <c r="X124" i="16" s="1"/>
  <c r="BJ48" i="18"/>
  <c r="BJ90" i="18" s="1"/>
  <c r="BD44" i="18"/>
  <c r="AE88" i="18"/>
  <c r="AX88" i="18"/>
  <c r="AV87" i="18"/>
  <c r="E24" i="18" s="1"/>
  <c r="E6" i="1" s="1"/>
  <c r="M124" i="18"/>
  <c r="AD45" i="18"/>
  <c r="AV45" i="18"/>
  <c r="BJ46" i="18"/>
  <c r="BJ88" i="18" s="1"/>
  <c r="AC88" i="18"/>
  <c r="AJ88" i="18"/>
  <c r="M88" i="18"/>
  <c r="BH48" i="18"/>
  <c r="L87" i="18"/>
  <c r="BH67" i="18"/>
  <c r="AI65" i="18"/>
  <c r="AI87" i="18" s="1"/>
  <c r="AB87" i="16"/>
  <c r="AR65" i="18"/>
  <c r="AR87" i="18" s="1"/>
  <c r="AH87" i="18"/>
  <c r="C24" i="18" s="1"/>
  <c r="C6" i="1" s="1"/>
  <c r="L98" i="7"/>
  <c r="AE65" i="16"/>
  <c r="BJ78" i="6"/>
  <c r="BK56" i="16"/>
  <c r="AL75" i="16"/>
  <c r="BH75" i="16" s="1"/>
  <c r="P126" i="18"/>
  <c r="V126" i="18"/>
  <c r="J125" i="18"/>
  <c r="M87" i="18"/>
  <c r="BH68" i="18"/>
  <c r="BK68" i="18" s="1"/>
  <c r="AJ87" i="18"/>
  <c r="BK58" i="16"/>
  <c r="BK56" i="6"/>
  <c r="BK76" i="16"/>
  <c r="AH87" i="16"/>
  <c r="C24" i="16" s="1"/>
  <c r="C16" i="1" s="1"/>
  <c r="W126" i="16"/>
  <c r="Q126" i="16"/>
  <c r="AD45" i="16"/>
  <c r="AV45" i="16"/>
  <c r="BJ46" i="16"/>
  <c r="AC88" i="16"/>
  <c r="C148" i="16"/>
  <c r="J125" i="16"/>
  <c r="AP75" i="16"/>
  <c r="AS75" i="16" s="1"/>
  <c r="BI77" i="16"/>
  <c r="AC45" i="6"/>
  <c r="AC88" i="6" s="1"/>
  <c r="AB88" i="6"/>
  <c r="AR45" i="16"/>
  <c r="AR88" i="16" s="1"/>
  <c r="AH88" i="16"/>
  <c r="BD44" i="16"/>
  <c r="BJ48" i="16"/>
  <c r="AX88" i="16"/>
  <c r="AE88" i="16"/>
  <c r="P126" i="16"/>
  <c r="V126" i="16"/>
  <c r="BI57" i="16"/>
  <c r="AP55" i="16"/>
  <c r="AS55" i="16" s="1"/>
  <c r="BI55" i="16" s="1"/>
  <c r="X126" i="16"/>
  <c r="R126" i="16"/>
  <c r="C117" i="6"/>
  <c r="H118" i="6" s="1"/>
  <c r="H124" i="6" s="1"/>
  <c r="V88" i="16"/>
  <c r="BI48" i="16"/>
  <c r="AQ88" i="16"/>
  <c r="BH48" i="16"/>
  <c r="M88" i="16"/>
  <c r="AJ88" i="16"/>
  <c r="BH88" i="16"/>
  <c r="AW55" i="16"/>
  <c r="AZ55" i="16" s="1"/>
  <c r="BJ55" i="16" s="1"/>
  <c r="BC54" i="16"/>
  <c r="BJ57" i="16"/>
  <c r="V45" i="6"/>
  <c r="S88" i="6"/>
  <c r="D118" i="6" s="1"/>
  <c r="I119" i="6" s="1"/>
  <c r="I126" i="6" s="1"/>
  <c r="N126" i="6" s="1"/>
  <c r="Q126" i="6" s="1"/>
  <c r="BH47" i="16"/>
  <c r="L88" i="16"/>
  <c r="AI45" i="16"/>
  <c r="AI88" i="16" s="1"/>
  <c r="H127" i="16"/>
  <c r="L87" i="16"/>
  <c r="AC65" i="6"/>
  <c r="AC87" i="6" s="1"/>
  <c r="AB87" i="6"/>
  <c r="S87" i="6"/>
  <c r="T65" i="6"/>
  <c r="T87" i="6" s="1"/>
  <c r="Q124" i="16"/>
  <c r="W124" i="16"/>
  <c r="BI46" i="16"/>
  <c r="T88" i="16"/>
  <c r="AO45" i="16"/>
  <c r="AY45" i="16" s="1"/>
  <c r="AY88" i="16" s="1"/>
  <c r="U45" i="16"/>
  <c r="BK78" i="16"/>
  <c r="BJ77" i="16"/>
  <c r="AW75" i="16"/>
  <c r="AZ75" i="16" s="1"/>
  <c r="BJ75" i="16" s="1"/>
  <c r="BC74" i="16"/>
  <c r="V124" i="16"/>
  <c r="P124" i="16"/>
  <c r="D88" i="6"/>
  <c r="L99" i="7"/>
  <c r="J45" i="6"/>
  <c r="K45" i="6" s="1"/>
  <c r="K88" i="6" s="1"/>
  <c r="C88" i="6"/>
  <c r="E88" i="6"/>
  <c r="E118" i="6"/>
  <c r="J119" i="6" s="1"/>
  <c r="J126" i="6" s="1"/>
  <c r="O126" i="6" s="1"/>
  <c r="X126" i="6" s="1"/>
  <c r="AE45" i="6"/>
  <c r="BB44" i="6"/>
  <c r="L97" i="7"/>
  <c r="BD74" i="6"/>
  <c r="AO75" i="6"/>
  <c r="AY75" i="6" s="1"/>
  <c r="BI76" i="6"/>
  <c r="BK76" i="6" s="1"/>
  <c r="AD75" i="6"/>
  <c r="BJ77" i="6" s="1"/>
  <c r="AV75" i="6"/>
  <c r="AL75" i="6"/>
  <c r="BH75" i="6" s="1"/>
  <c r="H125" i="6"/>
  <c r="M125" i="6" s="1"/>
  <c r="BB64" i="6"/>
  <c r="AE65" i="6"/>
  <c r="E117" i="6"/>
  <c r="J118" i="6" s="1"/>
  <c r="J124" i="6" s="1"/>
  <c r="BI57" i="6"/>
  <c r="AP55" i="6"/>
  <c r="AS55" i="6" s="1"/>
  <c r="BI55" i="6" s="1"/>
  <c r="V65" i="6"/>
  <c r="D117" i="6"/>
  <c r="I118" i="6" s="1"/>
  <c r="I124" i="6" s="1"/>
  <c r="BJ57" i="6"/>
  <c r="AW55" i="6"/>
  <c r="AZ55" i="6" s="1"/>
  <c r="BC54" i="6"/>
  <c r="I125" i="6"/>
  <c r="N125" i="6" s="1"/>
  <c r="M65" i="6"/>
  <c r="L65" i="6"/>
  <c r="L87" i="6" s="1"/>
  <c r="BH66" i="6"/>
  <c r="AH65" i="6"/>
  <c r="AH87" i="6" s="1"/>
  <c r="C24" i="6" s="1"/>
  <c r="I6" i="1" s="1"/>
  <c r="AL55" i="6"/>
  <c r="BK58" i="6"/>
  <c r="BI77" i="6"/>
  <c r="AP75" i="6"/>
  <c r="AL87" i="19" l="1"/>
  <c r="E151" i="6"/>
  <c r="E149" i="6"/>
  <c r="E150" i="6" s="1"/>
  <c r="E152" i="6" s="1"/>
  <c r="AE87" i="6"/>
  <c r="AX65" i="6"/>
  <c r="V87" i="6"/>
  <c r="AQ65" i="6"/>
  <c r="AQ87" i="6" s="1"/>
  <c r="M87" i="6"/>
  <c r="AJ65" i="6"/>
  <c r="BK78" i="6"/>
  <c r="U65" i="16"/>
  <c r="AP65" i="16" s="1"/>
  <c r="AE88" i="6"/>
  <c r="AX45" i="6"/>
  <c r="V88" i="6"/>
  <c r="AQ45" i="6"/>
  <c r="AQ88" i="6" s="1"/>
  <c r="C149" i="18"/>
  <c r="C150" i="18" s="1"/>
  <c r="C151" i="18"/>
  <c r="E149" i="18"/>
  <c r="E150" i="18" s="1"/>
  <c r="E151" i="18"/>
  <c r="D147" i="18"/>
  <c r="D148" i="18" s="1"/>
  <c r="BH68" i="16"/>
  <c r="BH90" i="16" s="1"/>
  <c r="AJ65" i="16"/>
  <c r="AJ87" i="16" s="1"/>
  <c r="BI88" i="16"/>
  <c r="D16" i="16" s="1"/>
  <c r="V125" i="16"/>
  <c r="AO65" i="16"/>
  <c r="AO87" i="16" s="1"/>
  <c r="D24" i="16" s="1"/>
  <c r="D16" i="1" s="1"/>
  <c r="E152" i="16"/>
  <c r="AX65" i="16"/>
  <c r="AX87" i="16" s="1"/>
  <c r="W125" i="16"/>
  <c r="I127" i="16"/>
  <c r="C149" i="16"/>
  <c r="C150" i="16" s="1"/>
  <c r="C151" i="16"/>
  <c r="D149" i="16"/>
  <c r="D150" i="16" s="1"/>
  <c r="D151" i="16"/>
  <c r="H125" i="18"/>
  <c r="C16" i="18"/>
  <c r="N125" i="18"/>
  <c r="I127" i="18"/>
  <c r="N127" i="19"/>
  <c r="D18" i="19"/>
  <c r="AI65" i="16"/>
  <c r="AI87" i="16" s="1"/>
  <c r="BE54" i="18"/>
  <c r="M127" i="19"/>
  <c r="C18" i="19"/>
  <c r="AP87" i="19"/>
  <c r="T87" i="16"/>
  <c r="BI90" i="16"/>
  <c r="M87" i="16"/>
  <c r="BI67" i="16"/>
  <c r="U87" i="16"/>
  <c r="BD64" i="16"/>
  <c r="AY65" i="16"/>
  <c r="AY87" i="16" s="1"/>
  <c r="BK78" i="19"/>
  <c r="T128" i="19"/>
  <c r="AW126" i="19"/>
  <c r="AV126" i="19"/>
  <c r="AA124" i="19"/>
  <c r="AH124" i="19" s="1"/>
  <c r="S128" i="19"/>
  <c r="BI48" i="6"/>
  <c r="X124" i="19"/>
  <c r="R124" i="19"/>
  <c r="R128" i="19" s="1"/>
  <c r="BK90" i="19"/>
  <c r="AV87" i="19"/>
  <c r="E24" i="19" s="1"/>
  <c r="K16" i="1" s="1"/>
  <c r="BJ77" i="19"/>
  <c r="AW75" i="19"/>
  <c r="BC74" i="19"/>
  <c r="AD87" i="19"/>
  <c r="BI88" i="18"/>
  <c r="BK88" i="18" s="1"/>
  <c r="BJ88" i="19"/>
  <c r="E16" i="19" s="1"/>
  <c r="BK76" i="19"/>
  <c r="AS75" i="19"/>
  <c r="BH87" i="19"/>
  <c r="BK77" i="16"/>
  <c r="V124" i="18"/>
  <c r="P124" i="18"/>
  <c r="AZ65" i="18"/>
  <c r="AL45" i="18"/>
  <c r="BH89" i="18"/>
  <c r="BK48" i="18"/>
  <c r="BH90" i="18"/>
  <c r="AE87" i="16"/>
  <c r="BJ68" i="16"/>
  <c r="BJ90" i="16" s="1"/>
  <c r="AP65" i="18"/>
  <c r="AP87" i="18" s="1"/>
  <c r="BI67" i="18"/>
  <c r="BK67" i="18" s="1"/>
  <c r="U87" i="18"/>
  <c r="AC87" i="16"/>
  <c r="AD65" i="16"/>
  <c r="BJ66" i="16"/>
  <c r="BK66" i="16" s="1"/>
  <c r="AV65" i="16"/>
  <c r="AV87" i="16" s="1"/>
  <c r="E24" i="16" s="1"/>
  <c r="E16" i="1" s="1"/>
  <c r="F16" i="1" s="1"/>
  <c r="AO87" i="18"/>
  <c r="D24" i="18" s="1"/>
  <c r="D6" i="1" s="1"/>
  <c r="F6" i="1" s="1"/>
  <c r="R124" i="16"/>
  <c r="O125" i="18"/>
  <c r="J127" i="18"/>
  <c r="AL65" i="18"/>
  <c r="AV88" i="18"/>
  <c r="BK46" i="18"/>
  <c r="AW45" i="18"/>
  <c r="AW88" i="18" s="1"/>
  <c r="AD88" i="18"/>
  <c r="BC44" i="18"/>
  <c r="BJ47" i="18"/>
  <c r="BJ89" i="18" s="1"/>
  <c r="BI47" i="18"/>
  <c r="U88" i="18"/>
  <c r="AP45" i="18"/>
  <c r="AP88" i="18" s="1"/>
  <c r="BC64" i="18"/>
  <c r="AO88" i="18"/>
  <c r="Q128" i="16"/>
  <c r="T45" i="6"/>
  <c r="T88" i="6" s="1"/>
  <c r="AS65" i="16"/>
  <c r="BI65" i="16" s="1"/>
  <c r="AL45" i="16"/>
  <c r="BH45" i="16" s="1"/>
  <c r="BK57" i="16"/>
  <c r="BI75" i="16"/>
  <c r="BK75" i="16" s="1"/>
  <c r="BE74" i="16"/>
  <c r="C16" i="16"/>
  <c r="AV88" i="16"/>
  <c r="AW45" i="16"/>
  <c r="AW88" i="16" s="1"/>
  <c r="BC44" i="16"/>
  <c r="BJ47" i="16"/>
  <c r="AD88" i="16"/>
  <c r="BH89" i="16"/>
  <c r="AO88" i="16"/>
  <c r="BK48" i="16"/>
  <c r="BK46" i="16"/>
  <c r="BE54" i="16"/>
  <c r="O125" i="16"/>
  <c r="J127" i="16"/>
  <c r="BK55" i="16"/>
  <c r="AP87" i="16"/>
  <c r="U88" i="16"/>
  <c r="AP45" i="16"/>
  <c r="AP88" i="16" s="1"/>
  <c r="BI47" i="16"/>
  <c r="P128" i="16"/>
  <c r="R126" i="6"/>
  <c r="W126" i="6"/>
  <c r="BJ48" i="6"/>
  <c r="AX88" i="6"/>
  <c r="C118" i="6"/>
  <c r="H119" i="6" s="1"/>
  <c r="H126" i="6" s="1"/>
  <c r="M126" i="6" s="1"/>
  <c r="M45" i="6"/>
  <c r="AJ45" i="6" s="1"/>
  <c r="BH46" i="6"/>
  <c r="L45" i="6"/>
  <c r="L88" i="6" s="1"/>
  <c r="AH45" i="6"/>
  <c r="AW75" i="6"/>
  <c r="AZ75" i="6" s="1"/>
  <c r="BJ75" i="6" s="1"/>
  <c r="BC74" i="6"/>
  <c r="AS75" i="6"/>
  <c r="BI75" i="6" s="1"/>
  <c r="BK77" i="6"/>
  <c r="BK57" i="6"/>
  <c r="AI65" i="6"/>
  <c r="AI87" i="6" s="1"/>
  <c r="BH67" i="6"/>
  <c r="Q125" i="6"/>
  <c r="W125" i="6"/>
  <c r="AD65" i="6"/>
  <c r="AD87" i="6" s="1"/>
  <c r="AV65" i="6"/>
  <c r="AV87" i="6" s="1"/>
  <c r="E24" i="6" s="1"/>
  <c r="K6" i="1" s="1"/>
  <c r="BJ66" i="6"/>
  <c r="BJ55" i="6"/>
  <c r="BH55" i="6"/>
  <c r="BE54" i="6"/>
  <c r="M124" i="6"/>
  <c r="H127" i="6"/>
  <c r="BH68" i="6"/>
  <c r="AJ87" i="6"/>
  <c r="I127" i="6"/>
  <c r="N124" i="6"/>
  <c r="BD64" i="6"/>
  <c r="AX87" i="6"/>
  <c r="BJ68" i="6"/>
  <c r="AR65" i="6"/>
  <c r="AR87" i="6" s="1"/>
  <c r="BI68" i="6"/>
  <c r="BI66" i="6"/>
  <c r="U65" i="6"/>
  <c r="U87" i="6" s="1"/>
  <c r="AO65" i="6"/>
  <c r="AO87" i="6" s="1"/>
  <c r="D24" i="6" s="1"/>
  <c r="J6" i="1" s="1"/>
  <c r="L6" i="1" s="1"/>
  <c r="O124" i="6"/>
  <c r="V125" i="6"/>
  <c r="P125" i="6"/>
  <c r="J125" i="6"/>
  <c r="O125" i="6" s="1"/>
  <c r="D16" i="18" l="1"/>
  <c r="E152" i="18"/>
  <c r="D149" i="18"/>
  <c r="D150" i="18" s="1"/>
  <c r="D151" i="18"/>
  <c r="C152" i="18"/>
  <c r="D152" i="16"/>
  <c r="C152" i="16"/>
  <c r="BI89" i="16"/>
  <c r="Q125" i="18"/>
  <c r="Q128" i="18" s="1"/>
  <c r="W125" i="18"/>
  <c r="AL65" i="16"/>
  <c r="AL87" i="16" s="1"/>
  <c r="O127" i="19"/>
  <c r="E18" i="19"/>
  <c r="E16" i="18"/>
  <c r="M125" i="18"/>
  <c r="H127" i="18"/>
  <c r="AW87" i="19"/>
  <c r="AW126" i="16"/>
  <c r="AZ75" i="19"/>
  <c r="BE74" i="19" s="1"/>
  <c r="V127" i="19"/>
  <c r="V128" i="19" s="1"/>
  <c r="AC124" i="19" s="1"/>
  <c r="Z124" i="19"/>
  <c r="C25" i="19" s="1"/>
  <c r="M128" i="19"/>
  <c r="C17" i="19" s="1"/>
  <c r="BI75" i="19"/>
  <c r="AS87" i="19"/>
  <c r="AV127" i="19"/>
  <c r="AB124" i="19"/>
  <c r="C26" i="19" s="1"/>
  <c r="I18" i="1" s="1"/>
  <c r="AO124" i="19"/>
  <c r="U128" i="19"/>
  <c r="AX126" i="19"/>
  <c r="AY126" i="19" s="1"/>
  <c r="BK88" i="19"/>
  <c r="T128" i="16"/>
  <c r="W127" i="19"/>
  <c r="W128" i="19" s="1"/>
  <c r="AJ124" i="19" s="1"/>
  <c r="N128" i="19"/>
  <c r="D17" i="19" s="1"/>
  <c r="BJ89" i="19"/>
  <c r="BK77" i="19"/>
  <c r="BJ88" i="16"/>
  <c r="BK88" i="16" s="1"/>
  <c r="N127" i="16"/>
  <c r="N128" i="16" s="1"/>
  <c r="D18" i="16"/>
  <c r="AL88" i="16"/>
  <c r="AS87" i="16"/>
  <c r="AW127" i="19"/>
  <c r="AS65" i="18"/>
  <c r="AS87" i="18" s="1"/>
  <c r="BI89" i="18"/>
  <c r="BK89" i="18" s="1"/>
  <c r="AZ45" i="18"/>
  <c r="AZ88" i="18" s="1"/>
  <c r="BK90" i="18"/>
  <c r="R125" i="18"/>
  <c r="R128" i="18" s="1"/>
  <c r="X125" i="18"/>
  <c r="BK47" i="18"/>
  <c r="BH45" i="18"/>
  <c r="AL88" i="18"/>
  <c r="AZ87" i="18"/>
  <c r="BJ65" i="18"/>
  <c r="AL87" i="18"/>
  <c r="BH65" i="18"/>
  <c r="BK68" i="16"/>
  <c r="AW65" i="16"/>
  <c r="AW87" i="16" s="1"/>
  <c r="BJ67" i="16"/>
  <c r="BK67" i="16" s="1"/>
  <c r="BC64" i="16"/>
  <c r="AD87" i="16"/>
  <c r="BK47" i="16"/>
  <c r="AS45" i="18"/>
  <c r="BI46" i="6"/>
  <c r="BI88" i="6" s="1"/>
  <c r="AO45" i="6"/>
  <c r="AO88" i="6" s="1"/>
  <c r="U45" i="6"/>
  <c r="AS45" i="16"/>
  <c r="BI45" i="16" s="1"/>
  <c r="BI87" i="16" s="1"/>
  <c r="BK90" i="16"/>
  <c r="AV126" i="16"/>
  <c r="AA124" i="16"/>
  <c r="AH124" i="16" s="1"/>
  <c r="S128" i="16"/>
  <c r="C18" i="16"/>
  <c r="M127" i="16"/>
  <c r="AZ45" i="16"/>
  <c r="R125" i="16"/>
  <c r="R128" i="16" s="1"/>
  <c r="X125" i="16"/>
  <c r="BJ90" i="6"/>
  <c r="P126" i="6"/>
  <c r="V126" i="6"/>
  <c r="AD45" i="6"/>
  <c r="AD88" i="6" s="1"/>
  <c r="BJ46" i="6"/>
  <c r="AV45" i="6"/>
  <c r="AV88" i="6" s="1"/>
  <c r="AH88" i="6"/>
  <c r="AR45" i="6"/>
  <c r="AR88" i="6" s="1"/>
  <c r="BH88" i="6"/>
  <c r="BK75" i="6"/>
  <c r="AJ88" i="6"/>
  <c r="BH48" i="6"/>
  <c r="BK48" i="6" s="1"/>
  <c r="M88" i="6"/>
  <c r="AI45" i="6"/>
  <c r="AI88" i="6" s="1"/>
  <c r="BH47" i="6"/>
  <c r="BH89" i="6" s="1"/>
  <c r="BD44" i="6"/>
  <c r="BE74" i="6"/>
  <c r="BK68" i="6"/>
  <c r="AL65" i="6"/>
  <c r="AL87" i="6" s="1"/>
  <c r="BI90" i="6"/>
  <c r="J127" i="6"/>
  <c r="Q124" i="6"/>
  <c r="Q128" i="6" s="1"/>
  <c r="D18" i="6" s="1"/>
  <c r="W124" i="6"/>
  <c r="X125" i="6"/>
  <c r="R125" i="6"/>
  <c r="BI67" i="6"/>
  <c r="AP65" i="6"/>
  <c r="R124" i="6"/>
  <c r="X124" i="6"/>
  <c r="BK66" i="6"/>
  <c r="BC64" i="6"/>
  <c r="AW65" i="6"/>
  <c r="AW87" i="6" s="1"/>
  <c r="BJ67" i="6"/>
  <c r="AY65" i="6"/>
  <c r="AY87" i="6" s="1"/>
  <c r="V124" i="6"/>
  <c r="P124" i="6"/>
  <c r="BK55" i="6"/>
  <c r="BH65" i="16" l="1"/>
  <c r="BH87" i="16" s="1"/>
  <c r="C27" i="19"/>
  <c r="I17" i="1"/>
  <c r="D152" i="18"/>
  <c r="AZ87" i="19"/>
  <c r="BJ75" i="19"/>
  <c r="BJ87" i="19" s="1"/>
  <c r="N127" i="18"/>
  <c r="D18" i="18"/>
  <c r="T128" i="18"/>
  <c r="D16" i="6"/>
  <c r="C16" i="6"/>
  <c r="O127" i="18"/>
  <c r="E18" i="18"/>
  <c r="D19" i="19"/>
  <c r="D140" i="19" s="1"/>
  <c r="C19" i="19"/>
  <c r="C140" i="19" s="1"/>
  <c r="V125" i="18"/>
  <c r="P125" i="18"/>
  <c r="P128" i="18" s="1"/>
  <c r="BI65" i="18"/>
  <c r="BK65" i="18" s="1"/>
  <c r="AG124" i="19"/>
  <c r="D25" i="19" s="1"/>
  <c r="J17" i="1" s="1"/>
  <c r="BE64" i="18"/>
  <c r="BJ45" i="18"/>
  <c r="BJ87" i="18" s="1"/>
  <c r="BJ89" i="16"/>
  <c r="BK89" i="16" s="1"/>
  <c r="AS88" i="16"/>
  <c r="AW127" i="16"/>
  <c r="W127" i="16"/>
  <c r="W128" i="16" s="1"/>
  <c r="X127" i="19"/>
  <c r="X128" i="19" s="1"/>
  <c r="AQ124" i="19" s="1"/>
  <c r="O128" i="19"/>
  <c r="E17" i="19" s="1"/>
  <c r="BI87" i="19"/>
  <c r="AW128" i="19"/>
  <c r="D159" i="19" s="1"/>
  <c r="AI124" i="19"/>
  <c r="D26" i="19" s="1"/>
  <c r="AV125" i="19"/>
  <c r="AW125" i="19"/>
  <c r="AR124" i="19"/>
  <c r="E164" i="19" s="1"/>
  <c r="AK124" i="19"/>
  <c r="D164" i="19" s="1"/>
  <c r="AV128" i="19"/>
  <c r="C159" i="19" s="1"/>
  <c r="C160" i="19" s="1"/>
  <c r="AE124" i="19"/>
  <c r="AV124" i="19" s="1"/>
  <c r="E16" i="16"/>
  <c r="AX127" i="19"/>
  <c r="E19" i="19" s="1"/>
  <c r="E140" i="19" s="1"/>
  <c r="AZ65" i="16"/>
  <c r="AZ87" i="16" s="1"/>
  <c r="BK89" i="19"/>
  <c r="AS88" i="18"/>
  <c r="BI45" i="18"/>
  <c r="BE44" i="18"/>
  <c r="BH87" i="18"/>
  <c r="AX126" i="18"/>
  <c r="U128" i="18"/>
  <c r="AY45" i="6"/>
  <c r="AY88" i="6" s="1"/>
  <c r="U88" i="6"/>
  <c r="BI47" i="6"/>
  <c r="AP45" i="6"/>
  <c r="AP88" i="6" s="1"/>
  <c r="D17" i="16"/>
  <c r="AZ88" i="16"/>
  <c r="BJ45" i="16"/>
  <c r="BE44" i="16"/>
  <c r="AX126" i="16"/>
  <c r="AY126" i="16" s="1"/>
  <c r="U128" i="16"/>
  <c r="E18" i="16"/>
  <c r="AO124" i="16"/>
  <c r="O127" i="16"/>
  <c r="AV127" i="16"/>
  <c r="AB124" i="16"/>
  <c r="AL45" i="6"/>
  <c r="BH45" i="6" s="1"/>
  <c r="V127" i="16"/>
  <c r="V128" i="16" s="1"/>
  <c r="AC124" i="16" s="1"/>
  <c r="Z124" i="16"/>
  <c r="M128" i="16"/>
  <c r="P128" i="6"/>
  <c r="BK46" i="6"/>
  <c r="BJ88" i="6"/>
  <c r="E16" i="6" s="1"/>
  <c r="D29" i="1" s="1"/>
  <c r="BC44" i="6"/>
  <c r="BJ47" i="6"/>
  <c r="BJ89" i="6" s="1"/>
  <c r="AW45" i="6"/>
  <c r="AW88" i="6" s="1"/>
  <c r="BH90" i="6"/>
  <c r="AS65" i="6"/>
  <c r="AS87" i="6" s="1"/>
  <c r="AP87" i="6"/>
  <c r="BH65" i="6"/>
  <c r="R128" i="6"/>
  <c r="BK67" i="6"/>
  <c r="AZ65" i="6"/>
  <c r="T128" i="6"/>
  <c r="N127" i="6"/>
  <c r="BK75" i="19" l="1"/>
  <c r="D160" i="19"/>
  <c r="D161" i="19" s="1"/>
  <c r="C143" i="19"/>
  <c r="C153" i="19"/>
  <c r="D27" i="19"/>
  <c r="J18" i="1"/>
  <c r="D153" i="19"/>
  <c r="D143" i="19"/>
  <c r="J15" i="1"/>
  <c r="E153" i="19"/>
  <c r="C141" i="19"/>
  <c r="E143" i="19"/>
  <c r="AW128" i="16"/>
  <c r="D159" i="16" s="1"/>
  <c r="D160" i="16" s="1"/>
  <c r="AJ124" i="16"/>
  <c r="BK87" i="19"/>
  <c r="C161" i="19"/>
  <c r="C162" i="19" s="1"/>
  <c r="C29" i="19" s="1"/>
  <c r="AX126" i="6"/>
  <c r="E18" i="6"/>
  <c r="D31" i="1" s="1"/>
  <c r="BK90" i="6"/>
  <c r="BI87" i="18"/>
  <c r="BK87" i="18" s="1"/>
  <c r="C172" i="19"/>
  <c r="D172" i="19" s="1"/>
  <c r="E172" i="19" s="1"/>
  <c r="M127" i="18"/>
  <c r="C18" i="18"/>
  <c r="AV126" i="18"/>
  <c r="AA124" i="18"/>
  <c r="AH124" i="18" s="1"/>
  <c r="AO124" i="18" s="1"/>
  <c r="S128" i="18"/>
  <c r="AW126" i="18"/>
  <c r="W127" i="18"/>
  <c r="W128" i="18" s="1"/>
  <c r="AJ124" i="18" s="1"/>
  <c r="N128" i="18"/>
  <c r="D17" i="18" s="1"/>
  <c r="AW126" i="6"/>
  <c r="C18" i="6"/>
  <c r="BE64" i="16"/>
  <c r="BJ65" i="16"/>
  <c r="BK65" i="16" s="1"/>
  <c r="AN124" i="19"/>
  <c r="E25" i="19" s="1"/>
  <c r="K17" i="1" s="1"/>
  <c r="AY127" i="19"/>
  <c r="AP124" i="19"/>
  <c r="E26" i="19" s="1"/>
  <c r="AL124" i="19"/>
  <c r="AW124" i="19" s="1"/>
  <c r="AX128" i="19"/>
  <c r="E159" i="19" s="1"/>
  <c r="AX125" i="19"/>
  <c r="AY125" i="19"/>
  <c r="BK45" i="18"/>
  <c r="X127" i="18"/>
  <c r="X128" i="18" s="1"/>
  <c r="AQ124" i="18" s="1"/>
  <c r="O128" i="18"/>
  <c r="E17" i="18" s="1"/>
  <c r="AX127" i="18"/>
  <c r="AS45" i="6"/>
  <c r="BK47" i="6"/>
  <c r="BI89" i="6"/>
  <c r="AL88" i="6"/>
  <c r="M127" i="6"/>
  <c r="Z124" i="6" s="1"/>
  <c r="AX127" i="16"/>
  <c r="AY127" i="16" s="1"/>
  <c r="AV126" i="6"/>
  <c r="X127" i="16"/>
  <c r="X128" i="16" s="1"/>
  <c r="AQ124" i="16" s="1"/>
  <c r="O128" i="16"/>
  <c r="C17" i="16"/>
  <c r="AV125" i="16"/>
  <c r="BK45" i="16"/>
  <c r="BI65" i="6"/>
  <c r="S128" i="6"/>
  <c r="AW127" i="6" s="1"/>
  <c r="AA124" i="6"/>
  <c r="AH124" i="6" s="1"/>
  <c r="AO124" i="6" s="1"/>
  <c r="AV128" i="16"/>
  <c r="C26" i="16"/>
  <c r="C18" i="1" s="1"/>
  <c r="AI124" i="16"/>
  <c r="D26" i="16" s="1"/>
  <c r="D18" i="1" s="1"/>
  <c r="AW125" i="16"/>
  <c r="AE124" i="16"/>
  <c r="AV124" i="16" s="1"/>
  <c r="C25" i="16"/>
  <c r="AK124" i="16"/>
  <c r="D164" i="16" s="1"/>
  <c r="AG124" i="16"/>
  <c r="AR124" i="16" s="1"/>
  <c r="E164" i="16" s="1"/>
  <c r="D161" i="16"/>
  <c r="D162" i="16" s="1"/>
  <c r="BH87" i="6"/>
  <c r="C19" i="16"/>
  <c r="C140" i="16" s="1"/>
  <c r="D19" i="16"/>
  <c r="D140" i="16" s="1"/>
  <c r="C141" i="16" s="1"/>
  <c r="BK88" i="6"/>
  <c r="AZ45" i="6"/>
  <c r="BJ45" i="6" s="1"/>
  <c r="BJ65" i="6"/>
  <c r="AZ87" i="6"/>
  <c r="L16" i="1"/>
  <c r="D36" i="1" s="1"/>
  <c r="O127" i="6"/>
  <c r="O128" i="6" s="1"/>
  <c r="E17" i="6" s="1"/>
  <c r="BE64" i="6"/>
  <c r="U128" i="6"/>
  <c r="AX127" i="6" s="1"/>
  <c r="W127" i="6"/>
  <c r="W128" i="6" s="1"/>
  <c r="AJ124" i="6" s="1"/>
  <c r="N128" i="6"/>
  <c r="D17" i="6" s="1"/>
  <c r="M128" i="6"/>
  <c r="C17" i="6" s="1"/>
  <c r="C25" i="6" l="1"/>
  <c r="I7" i="1"/>
  <c r="D162" i="19"/>
  <c r="D29" i="19" s="1"/>
  <c r="D158" i="19"/>
  <c r="D142" i="19" s="1"/>
  <c r="D145" i="19" s="1"/>
  <c r="D141" i="19"/>
  <c r="E141" i="19"/>
  <c r="C27" i="16"/>
  <c r="C17" i="1"/>
  <c r="I20" i="1"/>
  <c r="E160" i="19"/>
  <c r="E161" i="19" s="1"/>
  <c r="D30" i="1"/>
  <c r="E27" i="19"/>
  <c r="R13" i="20" s="1"/>
  <c r="K18" i="1"/>
  <c r="V127" i="6"/>
  <c r="V128" i="6" s="1"/>
  <c r="AC124" i="6" s="1"/>
  <c r="AY126" i="18"/>
  <c r="K15" i="1"/>
  <c r="BK89" i="6"/>
  <c r="V127" i="18"/>
  <c r="V128" i="18" s="1"/>
  <c r="AC124" i="18" s="1"/>
  <c r="M128" i="18"/>
  <c r="Z124" i="18"/>
  <c r="C25" i="18" s="1"/>
  <c r="C7" i="1" s="1"/>
  <c r="C158" i="19"/>
  <c r="C142" i="19" s="1"/>
  <c r="C165" i="19" s="1"/>
  <c r="C32" i="19" s="1"/>
  <c r="I23" i="1" s="1"/>
  <c r="AW128" i="18"/>
  <c r="D159" i="18" s="1"/>
  <c r="D160" i="18" s="1"/>
  <c r="D161" i="18" s="1"/>
  <c r="AW127" i="18"/>
  <c r="AV127" i="18"/>
  <c r="AB124" i="18"/>
  <c r="C26" i="18" s="1"/>
  <c r="BJ87" i="16"/>
  <c r="BK87" i="16" s="1"/>
  <c r="C172" i="16"/>
  <c r="D172" i="16" s="1"/>
  <c r="E172" i="16" s="1"/>
  <c r="C143" i="16"/>
  <c r="C153" i="16"/>
  <c r="AS124" i="19"/>
  <c r="AX124" i="19" s="1"/>
  <c r="AY124" i="19" s="1"/>
  <c r="AV127" i="6"/>
  <c r="C19" i="6" s="1"/>
  <c r="C140" i="6" s="1"/>
  <c r="AY126" i="6"/>
  <c r="D143" i="16"/>
  <c r="D153" i="16"/>
  <c r="AY128" i="19"/>
  <c r="BI45" i="6"/>
  <c r="BI87" i="6" s="1"/>
  <c r="AS88" i="6"/>
  <c r="AX125" i="18"/>
  <c r="AX128" i="18"/>
  <c r="E159" i="18" s="1"/>
  <c r="E160" i="18" s="1"/>
  <c r="E161" i="18" s="1"/>
  <c r="E19" i="16"/>
  <c r="E140" i="16" s="1"/>
  <c r="E153" i="16" s="1"/>
  <c r="AB124" i="6"/>
  <c r="C26" i="6" s="1"/>
  <c r="I8" i="1" s="1"/>
  <c r="D158" i="16"/>
  <c r="AX128" i="16"/>
  <c r="E159" i="16" s="1"/>
  <c r="E160" i="16" s="1"/>
  <c r="D25" i="16"/>
  <c r="AL124" i="16"/>
  <c r="AW124" i="16" s="1"/>
  <c r="AN124" i="16"/>
  <c r="E17" i="16"/>
  <c r="AX125" i="16"/>
  <c r="AY125" i="16" s="1"/>
  <c r="C159" i="16"/>
  <c r="C160" i="16" s="1"/>
  <c r="AP124" i="16"/>
  <c r="E26" i="16" s="1"/>
  <c r="E18" i="1" s="1"/>
  <c r="F18" i="1" s="1"/>
  <c r="BJ87" i="6"/>
  <c r="AZ88" i="6"/>
  <c r="BE44" i="6"/>
  <c r="BK65" i="6"/>
  <c r="X127" i="6"/>
  <c r="X128" i="6" s="1"/>
  <c r="AG124" i="6"/>
  <c r="D25" i="6" s="1"/>
  <c r="J7" i="1" s="1"/>
  <c r="AK124" i="6"/>
  <c r="D164" i="6" s="1"/>
  <c r="AW128" i="6"/>
  <c r="D159" i="6" s="1"/>
  <c r="D160" i="6" s="1"/>
  <c r="D161" i="6" s="1"/>
  <c r="AV125" i="6"/>
  <c r="AX125" i="6"/>
  <c r="AW125" i="6"/>
  <c r="E162" i="19" l="1"/>
  <c r="E29" i="19" s="1"/>
  <c r="E158" i="19"/>
  <c r="E142" i="19" s="1"/>
  <c r="E145" i="19" s="1"/>
  <c r="C145" i="19"/>
  <c r="C15" i="1"/>
  <c r="E165" i="19"/>
  <c r="E32" i="19" s="1"/>
  <c r="K23" i="1" s="1"/>
  <c r="AV128" i="6"/>
  <c r="C159" i="6" s="1"/>
  <c r="C160" i="6" s="1"/>
  <c r="C161" i="6" s="1"/>
  <c r="R16" i="20"/>
  <c r="AX128" i="6"/>
  <c r="E159" i="6" s="1"/>
  <c r="AQ124" i="6"/>
  <c r="D165" i="19"/>
  <c r="D32" i="19" s="1"/>
  <c r="J23" i="1" s="1"/>
  <c r="R15" i="20"/>
  <c r="J20" i="1"/>
  <c r="R14" i="20"/>
  <c r="AY127" i="6"/>
  <c r="AY127" i="18"/>
  <c r="C27" i="6"/>
  <c r="D27" i="16"/>
  <c r="D17" i="1"/>
  <c r="D15" i="1" s="1"/>
  <c r="C172" i="6"/>
  <c r="D172" i="6" s="1"/>
  <c r="E172" i="6" s="1"/>
  <c r="C153" i="6"/>
  <c r="C143" i="6"/>
  <c r="D19" i="6"/>
  <c r="D140" i="6" s="1"/>
  <c r="C27" i="18"/>
  <c r="C8" i="1"/>
  <c r="C5" i="1" s="1"/>
  <c r="D162" i="6"/>
  <c r="D158" i="6"/>
  <c r="I5" i="1"/>
  <c r="D162" i="18"/>
  <c r="D29" i="18" s="1"/>
  <c r="D10" i="1" s="1"/>
  <c r="D158" i="18"/>
  <c r="D142" i="18" s="1"/>
  <c r="E162" i="18"/>
  <c r="E29" i="18" s="1"/>
  <c r="E10" i="1" s="1"/>
  <c r="E158" i="18"/>
  <c r="E142" i="18" s="1"/>
  <c r="D141" i="16"/>
  <c r="E141" i="16"/>
  <c r="AK124" i="18"/>
  <c r="D164" i="18" s="1"/>
  <c r="AG124" i="18"/>
  <c r="D25" i="18" s="1"/>
  <c r="D7" i="1" s="1"/>
  <c r="C17" i="18"/>
  <c r="AW125" i="18"/>
  <c r="AV125" i="18"/>
  <c r="AY125" i="18" s="1"/>
  <c r="AI124" i="18"/>
  <c r="D26" i="18" s="1"/>
  <c r="C19" i="18"/>
  <c r="C140" i="18" s="1"/>
  <c r="D19" i="18"/>
  <c r="D140" i="18" s="1"/>
  <c r="E19" i="18"/>
  <c r="E140" i="18" s="1"/>
  <c r="AE124" i="18"/>
  <c r="AV124" i="18" s="1"/>
  <c r="AV128" i="18"/>
  <c r="C159" i="18" s="1"/>
  <c r="C160" i="18" s="1"/>
  <c r="C161" i="18" s="1"/>
  <c r="E19" i="6"/>
  <c r="C155" i="19"/>
  <c r="C31" i="19" s="1"/>
  <c r="E143" i="16"/>
  <c r="BK45" i="6"/>
  <c r="E155" i="19"/>
  <c r="E31" i="19" s="1"/>
  <c r="K22" i="1" s="1"/>
  <c r="AI124" i="6"/>
  <c r="D26" i="6" s="1"/>
  <c r="BK87" i="6"/>
  <c r="AE124" i="6"/>
  <c r="AV124" i="6" s="1"/>
  <c r="E161" i="16"/>
  <c r="E162" i="16" s="1"/>
  <c r="AY128" i="16"/>
  <c r="D29" i="16"/>
  <c r="D20" i="1" s="1"/>
  <c r="AS124" i="16"/>
  <c r="AX124" i="16" s="1"/>
  <c r="AY124" i="16" s="1"/>
  <c r="E25" i="16"/>
  <c r="C161" i="16"/>
  <c r="C162" i="16" s="1"/>
  <c r="AN124" i="6"/>
  <c r="E25" i="6" s="1"/>
  <c r="AR124" i="6"/>
  <c r="E164" i="6" s="1"/>
  <c r="AY125" i="6"/>
  <c r="E160" i="6" l="1"/>
  <c r="E161" i="6" s="1"/>
  <c r="AY128" i="6"/>
  <c r="K7" i="1"/>
  <c r="L7" i="1" s="1"/>
  <c r="D27" i="18"/>
  <c r="D8" i="1"/>
  <c r="C141" i="6"/>
  <c r="D143" i="6"/>
  <c r="D153" i="6"/>
  <c r="C162" i="6"/>
  <c r="C158" i="6"/>
  <c r="C142" i="6" s="1"/>
  <c r="C165" i="6" s="1"/>
  <c r="C32" i="6" s="1"/>
  <c r="E140" i="6"/>
  <c r="D32" i="1"/>
  <c r="D29" i="6"/>
  <c r="J10" i="1" s="1"/>
  <c r="D27" i="6"/>
  <c r="J8" i="1"/>
  <c r="AP124" i="6"/>
  <c r="E26" i="6" s="1"/>
  <c r="K8" i="1" s="1"/>
  <c r="I22" i="1"/>
  <c r="C33" i="19"/>
  <c r="C34" i="19" s="1"/>
  <c r="E27" i="16"/>
  <c r="I16" i="20" s="1"/>
  <c r="E17" i="1"/>
  <c r="K20" i="1"/>
  <c r="K19" i="1" s="1"/>
  <c r="E33" i="19"/>
  <c r="E34" i="19" s="1"/>
  <c r="C141" i="18"/>
  <c r="E153" i="18"/>
  <c r="E143" i="18"/>
  <c r="C172" i="18"/>
  <c r="D172" i="18" s="1"/>
  <c r="E172" i="18" s="1"/>
  <c r="C153" i="18"/>
  <c r="C143" i="18"/>
  <c r="D143" i="18"/>
  <c r="D153" i="18"/>
  <c r="C162" i="18"/>
  <c r="C29" i="18" s="1"/>
  <c r="C10" i="1" s="1"/>
  <c r="C158" i="18"/>
  <c r="C142" i="18" s="1"/>
  <c r="I13" i="20"/>
  <c r="I15" i="1"/>
  <c r="AY128" i="18"/>
  <c r="D155" i="19"/>
  <c r="D31" i="19" s="1"/>
  <c r="AR124" i="18"/>
  <c r="E164" i="18" s="1"/>
  <c r="AN124" i="18"/>
  <c r="E25" i="18" s="1"/>
  <c r="E7" i="1" s="1"/>
  <c r="AL124" i="18"/>
  <c r="AW124" i="18" s="1"/>
  <c r="AL124" i="6"/>
  <c r="AW124" i="6" s="1"/>
  <c r="AP124" i="18"/>
  <c r="E26" i="18" s="1"/>
  <c r="C158" i="16"/>
  <c r="C142" i="16" s="1"/>
  <c r="E158" i="16"/>
  <c r="E142" i="16" s="1"/>
  <c r="E145" i="16" s="1"/>
  <c r="AS124" i="6"/>
  <c r="AX124" i="6" s="1"/>
  <c r="E27" i="6" l="1"/>
  <c r="D142" i="6"/>
  <c r="E162" i="6"/>
  <c r="E158" i="6"/>
  <c r="E142" i="6" s="1"/>
  <c r="L8" i="1"/>
  <c r="L5" i="1" s="1"/>
  <c r="J5" i="1"/>
  <c r="I13" i="1"/>
  <c r="E27" i="18"/>
  <c r="I8" i="20" s="1"/>
  <c r="E8" i="1"/>
  <c r="E5" i="1" s="1"/>
  <c r="D145" i="6"/>
  <c r="E15" i="1"/>
  <c r="F17" i="1"/>
  <c r="F15" i="1" s="1"/>
  <c r="D5" i="1"/>
  <c r="C165" i="16"/>
  <c r="C32" i="16" s="1"/>
  <c r="C23" i="1" s="1"/>
  <c r="J22" i="1"/>
  <c r="J19" i="1" s="1"/>
  <c r="D33" i="19"/>
  <c r="D34" i="19" s="1"/>
  <c r="B34" i="19" s="1"/>
  <c r="I14" i="20"/>
  <c r="C145" i="6"/>
  <c r="C155" i="6" s="1"/>
  <c r="E165" i="6"/>
  <c r="E32" i="6" s="1"/>
  <c r="K13" i="1" s="1"/>
  <c r="D165" i="6"/>
  <c r="F10" i="1"/>
  <c r="E141" i="6"/>
  <c r="D141" i="6"/>
  <c r="E143" i="6"/>
  <c r="E153" i="6"/>
  <c r="R6" i="20"/>
  <c r="R7" i="20"/>
  <c r="R8" i="20"/>
  <c r="R5" i="20"/>
  <c r="I15" i="20"/>
  <c r="K5" i="1"/>
  <c r="C29" i="6"/>
  <c r="I10" i="1" s="1"/>
  <c r="C166" i="6"/>
  <c r="F7" i="1"/>
  <c r="AY124" i="6"/>
  <c r="C155" i="18"/>
  <c r="C31" i="18" s="1"/>
  <c r="C12" i="1" s="1"/>
  <c r="D165" i="18"/>
  <c r="C165" i="18"/>
  <c r="E141" i="18"/>
  <c r="E155" i="18" s="1"/>
  <c r="E31" i="18" s="1"/>
  <c r="E12" i="1" s="1"/>
  <c r="D141" i="18"/>
  <c r="D155" i="18" s="1"/>
  <c r="D31" i="18" s="1"/>
  <c r="D12" i="1" s="1"/>
  <c r="AS124" i="18"/>
  <c r="AX124" i="18" s="1"/>
  <c r="AY124" i="18" s="1"/>
  <c r="E155" i="16"/>
  <c r="E31" i="16" s="1"/>
  <c r="E22" i="1" s="1"/>
  <c r="D142" i="16"/>
  <c r="E165" i="16" s="1"/>
  <c r="C166" i="19"/>
  <c r="C174" i="19" s="1"/>
  <c r="E166" i="19"/>
  <c r="E174" i="19" s="1"/>
  <c r="D166" i="19"/>
  <c r="D174" i="19" s="1"/>
  <c r="L18" i="1"/>
  <c r="C145" i="16"/>
  <c r="C155" i="16" s="1"/>
  <c r="E29" i="16"/>
  <c r="E20" i="1" s="1"/>
  <c r="C29" i="16"/>
  <c r="C20" i="1" s="1"/>
  <c r="F8" i="1" l="1"/>
  <c r="D165" i="16"/>
  <c r="D32" i="6"/>
  <c r="D166" i="6"/>
  <c r="D155" i="6"/>
  <c r="F5" i="1"/>
  <c r="C31" i="6"/>
  <c r="I12" i="1" s="1"/>
  <c r="I9" i="1" s="1"/>
  <c r="C174" i="6"/>
  <c r="E145" i="6"/>
  <c r="E155" i="6" s="1"/>
  <c r="E31" i="6" s="1"/>
  <c r="K12" i="1" s="1"/>
  <c r="D38" i="1"/>
  <c r="C19" i="1"/>
  <c r="F20" i="1"/>
  <c r="F12" i="1"/>
  <c r="L22" i="1"/>
  <c r="E29" i="6"/>
  <c r="E166" i="6"/>
  <c r="C166" i="18"/>
  <c r="C174" i="18" s="1"/>
  <c r="C32" i="18"/>
  <c r="D166" i="18"/>
  <c r="D174" i="18" s="1"/>
  <c r="D32" i="18"/>
  <c r="I6" i="20"/>
  <c r="I7" i="20"/>
  <c r="I5" i="20"/>
  <c r="E165" i="18"/>
  <c r="B174" i="19"/>
  <c r="D145" i="16"/>
  <c r="D155" i="16"/>
  <c r="D31" i="16" s="1"/>
  <c r="D22" i="1" s="1"/>
  <c r="C31" i="16"/>
  <c r="C22" i="1" s="1"/>
  <c r="L17" i="1"/>
  <c r="D37" i="1" s="1"/>
  <c r="L20" i="1"/>
  <c r="C33" i="6" l="1"/>
  <c r="C34" i="6" s="1"/>
  <c r="D33" i="18"/>
  <c r="D34" i="18" s="1"/>
  <c r="D13" i="1"/>
  <c r="D9" i="1" s="1"/>
  <c r="J13" i="1"/>
  <c r="L13" i="1" s="1"/>
  <c r="C33" i="18"/>
  <c r="C34" i="18" s="1"/>
  <c r="C13" i="1"/>
  <c r="E174" i="6"/>
  <c r="K10" i="1"/>
  <c r="E33" i="6"/>
  <c r="E34" i="6" s="1"/>
  <c r="F22" i="1"/>
  <c r="D31" i="6"/>
  <c r="J12" i="1" s="1"/>
  <c r="J9" i="1" s="1"/>
  <c r="D174" i="6"/>
  <c r="E166" i="18"/>
  <c r="E174" i="18" s="1"/>
  <c r="B174" i="18" s="1"/>
  <c r="E32" i="18"/>
  <c r="D32" i="16"/>
  <c r="D166" i="16"/>
  <c r="D174" i="16" s="1"/>
  <c r="C33" i="16"/>
  <c r="C34" i="16" s="1"/>
  <c r="C166" i="16"/>
  <c r="C174" i="16" s="1"/>
  <c r="E32" i="16"/>
  <c r="E166" i="16"/>
  <c r="E174" i="16" s="1"/>
  <c r="L15" i="1"/>
  <c r="D33" i="6" l="1"/>
  <c r="D34" i="6" s="1"/>
  <c r="B34" i="6"/>
  <c r="E33" i="18"/>
  <c r="E34" i="18" s="1"/>
  <c r="B34" i="18" s="1"/>
  <c r="E13" i="1"/>
  <c r="E9" i="1" s="1"/>
  <c r="K9" i="1"/>
  <c r="L10" i="1"/>
  <c r="D33" i="16"/>
  <c r="D34" i="16" s="1"/>
  <c r="D23" i="1"/>
  <c r="C9" i="1"/>
  <c r="B174" i="6"/>
  <c r="L12" i="1"/>
  <c r="D41" i="1" s="1"/>
  <c r="E33" i="16"/>
  <c r="E34" i="16" s="1"/>
  <c r="E23" i="1"/>
  <c r="E19" i="1" s="1"/>
  <c r="B174" i="16"/>
  <c r="F13" i="1" l="1"/>
  <c r="B34" i="16"/>
  <c r="F9" i="1"/>
  <c r="B4" i="1" s="1"/>
  <c r="F23" i="1"/>
  <c r="F19" i="1" s="1"/>
  <c r="B14" i="1" s="1"/>
  <c r="D19" i="1"/>
  <c r="L9" i="1"/>
  <c r="H4" i="1" s="1"/>
  <c r="D39" i="1"/>
  <c r="L23" i="1"/>
  <c r="D42" i="1" l="1"/>
  <c r="I19" i="1"/>
  <c r="L19" i="1" l="1"/>
  <c r="H14" i="1" s="1"/>
  <c r="G9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C5" authorId="0" shapeId="0" xr:uid="{745B6000-D1E5-EB42-9FE5-74482525921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Determined by taking the the estimated peak %'s per day and averaging those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H104" authorId="0" shapeId="0" xr:uid="{34FE4C8C-8CC1-2D4B-A582-4FE9E19C162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6" authorId="0" shapeId="0" xr:uid="{A0E6A007-DF6A-FD4F-8821-0CDAAEFE009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B140" authorId="0" shapeId="0" xr:uid="{20CD9E63-78D4-1840-97F6-078165DD711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I/II, assume additional 25% space; lease is for 2-year advance to provide room to build out next expansion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2" authorId="0" shapeId="0" xr:uid="{FCB8F069-A779-E742-BCE2-45B63B79711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a Tier II, these costs are approx. 50% of Tier III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4" authorId="0" shapeId="0" xr:uid="{C93D6A8B-FE11-044E-9C68-0D9ABD1D0D6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5" authorId="0" shapeId="0" xr:uid="{A572BED8-CB2D-3648-8532-8632C960013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46" authorId="0" shapeId="0" xr:uid="{0B77134E-1891-B44D-B308-E8254E1A9FC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B151" authorId="0" shapeId="0" xr:uid="{9F1E40E9-5929-6341-8A09-9C34F97A233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3" authorId="0" shapeId="0" xr:uid="{497D86D4-58A8-7243-80C3-DAEE3BC4C37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4" authorId="0" shapeId="0" xr:uid="{53E7A6B1-E40F-7C42-A59A-61CE63AEF5E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60" authorId="0" shapeId="0" xr:uid="{4175B675-6CBF-F348-BE89-2D61A5DD31B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3" authorId="0" shapeId="0" xr:uid="{86C651DE-08F8-F349-A650-63C9EF6C715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4" authorId="0" shapeId="0" xr:uid="{B22249EA-A6FF-1F42-86D1-A6BC6E86B06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5" authorId="0" shapeId="0" xr:uid="{9E832671-B553-5640-BF7B-1E94B79FD16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tax on total cabling, infrastructure and equipment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167" authorId="0" shapeId="0" xr:uid="{8D269CE9-DC09-3B43-8647-69A6DD728FB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  <comment ref="B171" authorId="0" shapeId="0" xr:uid="{8373612F-2A37-2E42-AC4F-168B918A7A5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  <comment ref="B172" authorId="0" shapeId="0" xr:uid="{4E49FDBA-3A72-1D43-91BB-48FE9E1AA4B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H104" authorId="0" shapeId="0" xr:uid="{03CE70A9-ABF9-C348-BC30-780B35B8341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6" authorId="0" shapeId="0" xr:uid="{FBE2A912-7B09-FC4A-9AC9-E9C4930F314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B140" authorId="0" shapeId="0" xr:uid="{8C4C519C-F5A0-A94C-993B-27A614F11A5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I/II, assume additional 25% space; lease is for 2-year advance to provide room to build out next expansion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41" authorId="0" shapeId="0" xr:uid="{BD827125-190B-5149-89D5-862FEF96FA6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approx. $3000/sf
</t>
        </r>
      </text>
    </comment>
    <comment ref="B142" authorId="0" shapeId="0" xr:uid="{49D59C80-6887-DD4F-8162-89575B71B7F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a Tier II, these costs are approx. 50% of Tier III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4" authorId="0" shapeId="0" xr:uid="{4B661B06-93EC-5B42-A057-1FD462E10E1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5" authorId="0" shapeId="0" xr:uid="{7CE4C2EF-A957-D840-B9F4-EC3A1196E8B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add'l fees since this is cookie cutter with S region
</t>
        </r>
      </text>
    </comment>
    <comment ref="B146" authorId="0" shapeId="0" xr:uid="{31B75D01-4E0E-6F48-89D9-31C46937E0E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B151" authorId="0" shapeId="0" xr:uid="{1095447D-40BF-284B-956F-C42713834A5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3" authorId="0" shapeId="0" xr:uid="{373241B7-45E7-0A4D-AA68-F7BD08B3682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4" authorId="0" shapeId="0" xr:uid="{9C33FCE4-7478-0641-B0AD-625A5076FB0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 Built into cost of modular unit
</t>
        </r>
      </text>
    </comment>
    <comment ref="B160" authorId="0" shapeId="0" xr:uid="{65652070-D33B-1F4A-BCCB-27E7778124E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3" authorId="0" shapeId="0" xr:uid="{BF757026-7C0D-1A48-AEE3-669AF105F61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4" authorId="0" shapeId="0" xr:uid="{85CC8E66-FC7F-A143-8544-2010A726AF1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5" authorId="0" shapeId="0" xr:uid="{DFA1ED51-FB05-DF43-A188-E357E7E2CDA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67" authorId="0" shapeId="0" xr:uid="{048716DC-62E1-E749-A23D-ED193E69FFA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  <comment ref="B171" authorId="0" shapeId="0" xr:uid="{4BA1CB18-EB59-1C41-A0A8-3CC8B6D1507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  <comment ref="B172" authorId="0" shapeId="0" xr:uid="{F3F5EE16-50AC-9748-8880-AF2CC933554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H104" authorId="0" shapeId="0" xr:uid="{362C952A-EC18-5044-A6C6-EAFC747312B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6" authorId="0" shapeId="0" xr:uid="{8CAD78EF-0B36-814F-8C6D-30911F24FF9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B140" authorId="0" shapeId="0" xr:uid="{08E6A800-4CF1-3D41-95F9-B0D477CED07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I/II, assume additional 25% space; lease is for 2-year advance to provide room to build out next expansion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41" authorId="0" shapeId="0" xr:uid="{DC982DBA-6ED9-5445-B633-16358C35B6B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approx. $3000/sf
</t>
        </r>
      </text>
    </comment>
    <comment ref="B142" authorId="0" shapeId="0" xr:uid="{D26695C2-C6CE-6248-A95F-F43A288C585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a Tier II, these costs are approx. 50% of Tier III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4" authorId="0" shapeId="0" xr:uid="{678FA132-D5FF-F84F-A115-2A2018C137A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5" authorId="0" shapeId="0" xr:uid="{ED4B7BDA-ED60-0D4B-B26D-DF5BBBD6C06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46" authorId="0" shapeId="0" xr:uid="{6C023E4F-15DD-FA4F-ACB9-FEB67831E09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B151" authorId="0" shapeId="0" xr:uid="{EA6A9DC1-5BD6-B145-8034-3AE1FADAB48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3" authorId="0" shapeId="0" xr:uid="{BD1269CA-D53D-3748-86DD-BDD6EEDAE38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4" authorId="0" shapeId="0" xr:uid="{15B058CC-FB21-E444-B93D-13A64FFF0CF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 Built into cost of modular unit
</t>
        </r>
      </text>
    </comment>
    <comment ref="B160" authorId="0" shapeId="0" xr:uid="{1BC8B0D8-5A3C-5B48-AACB-DFACCB92814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3" authorId="0" shapeId="0" xr:uid="{5B083582-E542-4446-BEA5-5BB4FCDD171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4" authorId="0" shapeId="0" xr:uid="{39354B01-81DE-7C4F-A840-A8AE8481503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5" authorId="0" shapeId="0" xr:uid="{4362C040-48CC-474C-BBA3-433482C8290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67" authorId="0" shapeId="0" xr:uid="{AAEE452C-60DB-B24C-B1CC-659F00A785D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  <comment ref="B171" authorId="0" shapeId="0" xr:uid="{54342BD2-B1AC-BF4C-856F-559066CABB8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  <comment ref="B172" authorId="0" shapeId="0" xr:uid="{AB05B770-6F7F-EA41-AF03-9D9D9A7806C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H104" authorId="0" shapeId="0" xr:uid="{BEE9C509-8689-6443-B58C-3F9DC68A1E3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6" authorId="0" shapeId="0" xr:uid="{E20099AC-F287-EC41-B922-8048917A628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B140" authorId="0" shapeId="0" xr:uid="{416E8831-B49B-1F46-959F-B50CE2C5215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I/II, assume additional 25% space; lease is for 2-year advance to provide room to build out next expansion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2" authorId="0" shapeId="0" xr:uid="{9BD7AD8B-CA6D-344E-96D4-39EAE986CD5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a Tier II, these costs are approx. 50% of Tier III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44" authorId="0" shapeId="0" xr:uid="{BD91F677-C8E3-D54F-9902-40F26AF4467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5" authorId="0" shapeId="0" xr:uid="{3996172B-4834-3844-9447-65AB4C3C6CF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46" authorId="0" shapeId="0" xr:uid="{0112EB82-02D6-6943-9AB5-8E49738C37C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B151" authorId="0" shapeId="0" xr:uid="{7BD21179-8F08-4547-9DBA-BDFC697F79A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3" authorId="0" shapeId="0" xr:uid="{A64E5968-BB0A-8A43-BFDD-F38D8E85D06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4" authorId="0" shapeId="0" xr:uid="{E945FE63-CF9B-7C47-9DE1-917E52DB464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60" authorId="0" shapeId="0" xr:uid="{8B742045-A8D2-3941-9FE7-6D6B5CD8FA3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3" authorId="0" shapeId="0" xr:uid="{FDB16187-4704-0543-B698-F89E25FCE18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4" authorId="0" shapeId="0" xr:uid="{FA35F83A-32E0-004E-BC75-ADBB4A74EFA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5" authorId="0" shapeId="0" xr:uid="{D6EDE6BE-CA4B-2F46-B609-F4E963957C2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tax on total cabling, infrastructure and equipment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167" authorId="0" shapeId="0" xr:uid="{FC4B1443-BE7B-7A42-84F3-6FA05F73AAD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  <comment ref="B171" authorId="0" shapeId="0" xr:uid="{2E47E0A0-8BD4-4942-8841-15ED18C906F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  <comment ref="B172" authorId="0" shapeId="0" xr:uid="{ED78A944-E2DA-174F-B067-C20AC62AD01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in lease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S6" authorId="0" shapeId="0" xr:uid="{B4294E4B-388A-D344-899F-EFBA7464F8A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13" authorId="0" shapeId="0" xr:uid="{B40B593F-926C-714D-96D4-B364809E113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20" authorId="0" shapeId="0" xr:uid="{7D56DAFE-3FEB-C94D-BF1C-FD25FD04DCD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32" authorId="0" shapeId="0" xr:uid="{C31DCA55-C786-744C-9994-029CEB01B35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F24" authorId="0" shapeId="0" xr:uid="{582B766E-D060-7F45-A288-1AE831D59AE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Server BW based on 1:1 redundancy, so total bandwidth is halved then limited to 75% efficiency
</t>
        </r>
      </text>
    </comment>
    <comment ref="T24" authorId="0" shapeId="0" xr:uid="{3C11FE55-E6DA-E441-A9BE-BBC0C920A7D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the rounded DOWN minimum between power-based and RU-based calculations at each level
</t>
        </r>
      </text>
    </comment>
    <comment ref="D33" authorId="0" shapeId="0" xr:uid="{D382873E-E8CF-1840-BCFB-CDD76252B5E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Total slots are 32; however, 4 are reserved for inter-shelf connectivity for redundancy/availability
</t>
        </r>
      </text>
    </comment>
  </commentList>
</comments>
</file>

<file path=xl/sharedStrings.xml><?xml version="1.0" encoding="utf-8"?>
<sst xmlns="http://schemas.openxmlformats.org/spreadsheetml/2006/main" count="3193" uniqueCount="496">
  <si>
    <t>Memory</t>
  </si>
  <si>
    <t>Song Duration (s)</t>
  </si>
  <si>
    <t>Low Rate</t>
  </si>
  <si>
    <t>Kbps</t>
  </si>
  <si>
    <t>% of stream</t>
  </si>
  <si>
    <t>Streaming Music</t>
  </si>
  <si>
    <t>Song Rates</t>
  </si>
  <si>
    <t>Low</t>
  </si>
  <si>
    <t>High</t>
  </si>
  <si>
    <t>Bandwidth Calculations</t>
  </si>
  <si>
    <t>Song Size (Kb)</t>
  </si>
  <si>
    <t>Standard</t>
  </si>
  <si>
    <t>Downloading Music</t>
  </si>
  <si>
    <t>Downloads/Hr/Active User</t>
  </si>
  <si>
    <t>Requests/Hr/Active User</t>
  </si>
  <si>
    <t>Playback Authorization (Request-Respond)</t>
  </si>
  <si>
    <t>Total Number of Songs in Library</t>
  </si>
  <si>
    <t>Similar to Spotify and iTunes; remains consistent (new songs replace old songs)</t>
  </si>
  <si>
    <t>Streaming Storage</t>
  </si>
  <si>
    <t>Low Bit-Rate</t>
  </si>
  <si>
    <t>Standard Bit-Rate</t>
  </si>
  <si>
    <t>Duration (s)</t>
  </si>
  <si>
    <t>High Bit-Rate</t>
  </si>
  <si>
    <t>Song Size (GB)</t>
  </si>
  <si>
    <t>Download Storage</t>
  </si>
  <si>
    <t>Bit Rate (Kbps)</t>
  </si>
  <si>
    <t>Storage Calculations</t>
  </si>
  <si>
    <t>CPU</t>
  </si>
  <si>
    <t>Disk</t>
  </si>
  <si>
    <t>Bandwidth</t>
  </si>
  <si>
    <t>Large</t>
  </si>
  <si>
    <t>#RUs</t>
  </si>
  <si>
    <t>General Purpose Server Specifications</t>
  </si>
  <si>
    <t>40% CPU</t>
  </si>
  <si>
    <t>60% CPU</t>
  </si>
  <si>
    <t>80% CPU</t>
  </si>
  <si>
    <t>100% CPU</t>
  </si>
  <si>
    <t>Power Consumption (kW)</t>
  </si>
  <si>
    <t>Cost ($)</t>
  </si>
  <si>
    <t>Xlarge</t>
  </si>
  <si>
    <t># Cores</t>
  </si>
  <si>
    <t>General Notes on Architecture</t>
  </si>
  <si>
    <t>Storage</t>
  </si>
  <si>
    <t>Storage (GB)</t>
  </si>
  <si>
    <t xml:space="preserve">Bandwidth (Gbps) </t>
  </si>
  <si>
    <t>Year 1</t>
  </si>
  <si>
    <t>Year 2</t>
  </si>
  <si>
    <t>Year 3</t>
  </si>
  <si>
    <t>Server Type</t>
  </si>
  <si>
    <t>Power Cost ($/kwh)</t>
  </si>
  <si>
    <t>Server Cost</t>
  </si>
  <si>
    <t># racks</t>
  </si>
  <si>
    <t>Rack Cost</t>
  </si>
  <si>
    <t>Servers/Rack</t>
  </si>
  <si>
    <t>HW Support Costs</t>
  </si>
  <si>
    <t>HW/IT Support (% of original cost)</t>
  </si>
  <si>
    <t>Download</t>
  </si>
  <si>
    <t>Permission Storage</t>
  </si>
  <si>
    <t>Data Constants</t>
  </si>
  <si>
    <t>Permission Request Service</t>
  </si>
  <si>
    <t># Songs in Library</t>
  </si>
  <si>
    <t>Active Users</t>
  </si>
  <si>
    <t>Streaming</t>
  </si>
  <si>
    <t>Server Limits</t>
  </si>
  <si>
    <t>Permission Percent of Requests</t>
  </si>
  <si>
    <t># Add'l Servers</t>
  </si>
  <si>
    <t>Add'l Server Cost</t>
  </si>
  <si>
    <t># Add'l Racks</t>
  </si>
  <si>
    <t>Add'l Rack Cost</t>
  </si>
  <si>
    <t>Total Cost Summary</t>
  </si>
  <si>
    <t>3-year 
Total</t>
  </si>
  <si>
    <t>Total # Servers</t>
  </si>
  <si>
    <t>User Interaction</t>
  </si>
  <si>
    <t>Servers</t>
  </si>
  <si>
    <t>Assume active rate is consistent over entire day 24x7x365</t>
  </si>
  <si>
    <t>Totals</t>
  </si>
  <si>
    <t>Routers</t>
  </si>
  <si>
    <t>Router/Switch Specifications</t>
  </si>
  <si>
    <t>Shelf Cost</t>
  </si>
  <si>
    <t>Shelf RUs</t>
  </si>
  <si>
    <t>Line Cards</t>
  </si>
  <si>
    <t>Gig-E</t>
  </si>
  <si>
    <t>Cost</t>
  </si>
  <si>
    <t>OC-48</t>
  </si>
  <si>
    <t>OC-192</t>
  </si>
  <si>
    <t>Card Type</t>
  </si>
  <si>
    <t>Ports/Card</t>
  </si>
  <si>
    <t>Power (kW)</t>
  </si>
  <si>
    <t>Total Year Cost</t>
  </si>
  <si>
    <t>Total # Shelves</t>
  </si>
  <si>
    <t xml:space="preserve">Total </t>
  </si>
  <si>
    <t>Assumed to be a percentage of original purchase cost from year 2 on (1st year support included in purchase price)</t>
  </si>
  <si>
    <t>Data Center Costs</t>
  </si>
  <si>
    <t>Data Center Cost Constants</t>
  </si>
  <si>
    <t>Square Feet per rack</t>
  </si>
  <si>
    <t>Total # Servers Needed</t>
  </si>
  <si>
    <t>Gig-E Ports</t>
  </si>
  <si>
    <t>Sum of all Servers</t>
  </si>
  <si>
    <t xml:space="preserve">Total # Cards </t>
  </si>
  <si>
    <t>Equipment Costs</t>
  </si>
  <si>
    <t>Racks</t>
  </si>
  <si>
    <t>Labor</t>
  </si>
  <si>
    <t>Scale on an annual basis not on intermediate 6 month numbers (provides in-rack scalability and redundancy); additional capacity arrives just-in-time</t>
  </si>
  <si>
    <t>Some songs may be cached in memory based on Pareto Principle</t>
  </si>
  <si>
    <t>Usable RAM (GB)</t>
  </si>
  <si>
    <t>Usable Disk (GB)</t>
  </si>
  <si>
    <t>Usable BW (Gbps)</t>
  </si>
  <si>
    <t>Library Storage Needs (GB)</t>
  </si>
  <si>
    <t>Assumption: All songs in library available for streaming and download</t>
  </si>
  <si>
    <t>No significant storage;  requests and responses are assumed fire and forget; nothing stored (all in-memory processing)</t>
  </si>
  <si>
    <t>Units/Rack</t>
  </si>
  <si>
    <t xml:space="preserve">#RUs </t>
  </si>
  <si>
    <t>Rack Constants (these are maximums)</t>
  </si>
  <si>
    <t>Cost (est)</t>
  </si>
  <si>
    <t>% Total Reqs</t>
  </si>
  <si>
    <t>Low Bit Rate (kbps)</t>
  </si>
  <si>
    <t>Std Bit Rate (kbps)</t>
  </si>
  <si>
    <t>High Bit Rate (kbps)</t>
  </si>
  <si>
    <t>% Std 
Bit Rate</t>
  </si>
  <si>
    <t>% High 
Bit Rate</t>
  </si>
  <si>
    <t>% Low 
Bit Rate</t>
  </si>
  <si>
    <t>Requests
(/user/hr)</t>
  </si>
  <si>
    <t>Total Requests/User</t>
  </si>
  <si>
    <t>Per Hour</t>
  </si>
  <si>
    <t>Per Second</t>
  </si>
  <si>
    <t>Streaming Service Constants</t>
  </si>
  <si>
    <t>Download Service Constants</t>
  </si>
  <si>
    <t>Request Size (GB)</t>
  </si>
  <si>
    <t>Total Needed Bandwidth (Gbps)</t>
  </si>
  <si>
    <t>Peak-to-Average Ratio</t>
  </si>
  <si>
    <t>Peak Hrs/day</t>
  </si>
  <si>
    <t>Average peak percent of activity/day</t>
  </si>
  <si>
    <t>Average percent of activity/day</t>
  </si>
  <si>
    <t>Equivalent Peak Hours</t>
  </si>
  <si>
    <t>TPS</t>
  </si>
  <si>
    <t>Permission</t>
  </si>
  <si>
    <t>Total</t>
  </si>
  <si>
    <t>CPU (Active Workload) Calculations</t>
  </si>
  <si>
    <t>Transactions per Second (Workload)</t>
  </si>
  <si>
    <t>Max Active Users (Capacity)</t>
  </si>
  <si>
    <t>Required TPS</t>
  </si>
  <si>
    <t>Request Rates (per User/per Hour)</t>
  </si>
  <si>
    <t>NOTE: Based on playback curve in graph</t>
  </si>
  <si>
    <t>User Profile Calculations</t>
  </si>
  <si>
    <t>TPS by Bit Rate</t>
  </si>
  <si>
    <t>Gbps</t>
  </si>
  <si>
    <t>(1 TPS is equivalent to streaming 1 full song/sec)</t>
  </si>
  <si>
    <t>Download TPS</t>
  </si>
  <si>
    <t>Permission Request TPS</t>
  </si>
  <si>
    <t>Total Streaming TPS</t>
  </si>
  <si>
    <t>(1 TPS is equivalent to downloading 1 full song/sec)</t>
  </si>
  <si>
    <t>Needed Resources</t>
  </si>
  <si>
    <t>Usable Ports/Card</t>
  </si>
  <si>
    <t>Single Tier Network</t>
  </si>
  <si>
    <t>Use Gig-E to connect all servers to routers</t>
  </si>
  <si>
    <t>Use fiber (OC-48 or OC-192) to connect router-to-router and router-to-internet</t>
  </si>
  <si>
    <t>Card Cost</t>
  </si>
  <si>
    <t>For Power, assume 9W/Gbps</t>
  </si>
  <si>
    <t>Annual Power Consumption (kWh) (@80%)</t>
  </si>
  <si>
    <t>Annual Power Cost</t>
  </si>
  <si>
    <t>Usable Storage (GB)</t>
  </si>
  <si>
    <t>Cost/Server</t>
  </si>
  <si>
    <t># servers needed</t>
  </si>
  <si>
    <t># racks needed</t>
  </si>
  <si>
    <t>Total kWh/yr</t>
  </si>
  <si>
    <t>Annual HW Support Costs</t>
  </si>
  <si>
    <t>Total Purchase Costs</t>
  </si>
  <si>
    <t>Total Server Cost</t>
  </si>
  <si>
    <t>Total Rack Cost</t>
  </si>
  <si>
    <t>Lifetime Costs</t>
  </si>
  <si>
    <t>Annual (Recurring) Costs</t>
  </si>
  <si>
    <t>Initial (Non-Recurring) Costs</t>
  </si>
  <si>
    <t>GB</t>
  </si>
  <si>
    <t>Total Annual Costs</t>
  </si>
  <si>
    <t>Cost for Storage (@80% utilization)</t>
  </si>
  <si>
    <t>Cost Bandwidth (Gbps)</t>
  </si>
  <si>
    <t>General Server Cost Analysis</t>
  </si>
  <si>
    <t># TPS</t>
  </si>
  <si>
    <t>Cost per Transaction per Second (CPU)  (@80% utilization)</t>
  </si>
  <si>
    <t>2000 GB is break-even between servers; any storage needs greater than 2000 favor Xlarge servers</t>
  </si>
  <si>
    <t>2000 TPS is break-even between servers; any TPS needs greater than 2000 favor the Xlarge servers</t>
  </si>
  <si>
    <t>Router Cards needed</t>
  </si>
  <si>
    <t>NA</t>
  </si>
  <si>
    <t>Total Router Card Cost</t>
  </si>
  <si>
    <t>Servers are largely interchangeable cost-wise</t>
  </si>
  <si>
    <t>Total Aggregate Bandwidth</t>
  </si>
  <si>
    <t>Router Cost Analysis</t>
  </si>
  <si>
    <t>Cost/Card</t>
  </si>
  <si>
    <t>Cost per Gbps</t>
  </si>
  <si>
    <t>Usable BW/card</t>
  </si>
  <si>
    <t># cards needed</t>
  </si>
  <si>
    <t>Total Card Cost</t>
  </si>
  <si>
    <t>Any bandwidths greater than 7 Gbps favor OC-48; Gig-E should be used for bandwidths below this; OC-192s may be used to limit port use for inter-switch connections for redundancy</t>
  </si>
  <si>
    <t>Usable BW (Gbps) / port</t>
  </si>
  <si>
    <t>Assume perfect load-balancing between connectivity</t>
  </si>
  <si>
    <t># Ports Required</t>
  </si>
  <si>
    <t># Ports needed determined by the MAX of ports needed based on BW (*2) vs physical NICs on each server</t>
  </si>
  <si>
    <t>Other transactional messaging (e.g. IPC messages, etc. between servers) is considered negligible and not estimated</t>
  </si>
  <si>
    <t>Resource Needs</t>
  </si>
  <si>
    <t>Total Costs</t>
  </si>
  <si>
    <t>Total Pwr Consumed</t>
  </si>
  <si>
    <t>Total Racks</t>
  </si>
  <si>
    <t>Total Servers</t>
  </si>
  <si>
    <t>Since the servers only have Gig-E NICs, all connections with servers are via Gig-E router cards</t>
  </si>
  <si>
    <t>These are inbound from servers</t>
  </si>
  <si>
    <t>Router-to-Internet</t>
  </si>
  <si>
    <t>Router-to-Server</t>
  </si>
  <si>
    <t>Router-to-Router (for redundancy and further failover)</t>
  </si>
  <si>
    <t>Assume 1:1 redundancy between shelves (set up as a ring), so a total of four card slots reserved for inter-shelf redundancy; means 4 cards per shelf total.   Use OC-192s to maximize the number of in-shelf card failures it can handle.</t>
  </si>
  <si>
    <t>Usable Shelf Slots</t>
  </si>
  <si>
    <t>Total Router Traffic</t>
  </si>
  <si>
    <t>Per Cost Analysis, OC48's are most cost-effective for non-server interconnects, so these are factored</t>
  </si>
  <si>
    <t>Total # racks</t>
  </si>
  <si>
    <t>Total # Ports Required</t>
  </si>
  <si>
    <t>Resource Calculations</t>
  </si>
  <si>
    <t>Cost Calculations</t>
  </si>
  <si>
    <t>Power</t>
  </si>
  <si>
    <t>New Servers</t>
  </si>
  <si>
    <t>New Racks</t>
  </si>
  <si>
    <t>New Cards</t>
  </si>
  <si>
    <t>New Shelves</t>
  </si>
  <si>
    <t>Infrastructure</t>
  </si>
  <si>
    <t>Power Consumption  (kwh/yr)</t>
  </si>
  <si>
    <t>IT Power Cost (yr)</t>
  </si>
  <si>
    <t>Power Consumption kWh (total per year)</t>
  </si>
  <si>
    <t>Internet Transit Costs ($/Mbps/month)</t>
  </si>
  <si>
    <t>Number of Cables (144 strands/cable)</t>
  </si>
  <si>
    <t>Internet Fiber Run (distance, ft)</t>
  </si>
  <si>
    <t>Total Cable Length (# cables * fiber run * 110%)</t>
  </si>
  <si>
    <t>Cable Cost</t>
  </si>
  <si>
    <t>Internet Fiber Cable Cost (per foot)</t>
  </si>
  <si>
    <t>Number of Single-Mode Fiber Strands</t>
  </si>
  <si>
    <t>Installation Costs</t>
  </si>
  <si>
    <t>TOTAL Internet Last Mile</t>
  </si>
  <si>
    <t>Land Cost / acre (commercial, Dallas-area)</t>
  </si>
  <si>
    <t>Salary per person</t>
  </si>
  <si>
    <t>k$/year</t>
  </si>
  <si>
    <t>People per shift</t>
  </si>
  <si>
    <t>#</t>
  </si>
  <si>
    <t>Shifts per day</t>
  </si>
  <si>
    <t>benefits percentage</t>
  </si>
  <si>
    <t>%</t>
  </si>
  <si>
    <t>Total cost per year</t>
  </si>
  <si>
    <t>Janitorial and Landscaping Costs</t>
  </si>
  <si>
    <t>per square foot</t>
  </si>
  <si>
    <t>Acres of Land</t>
  </si>
  <si>
    <t>Fire Suppression ($/sf)</t>
  </si>
  <si>
    <t>Property Taxes</t>
  </si>
  <si>
    <t>Labor Costs</t>
  </si>
  <si>
    <t>Janitorial and landscaping</t>
  </si>
  <si>
    <t>Security</t>
  </si>
  <si>
    <t>Total Labor Costs</t>
  </si>
  <si>
    <t>kW-Related Infrastructure Costs</t>
  </si>
  <si>
    <t>Other Facility Costs</t>
  </si>
  <si>
    <t>Energy and Power Use/Costs</t>
  </si>
  <si>
    <t>Labor Estimates</t>
  </si>
  <si>
    <t>Total Consumption (kWh/yr)</t>
  </si>
  <si>
    <t>IT Load (kWh/yr)</t>
  </si>
  <si>
    <t>Cooling and Auxiliaries (kWh/yr)</t>
  </si>
  <si>
    <t>Capital Costs</t>
  </si>
  <si>
    <t>Facility Construction Costs</t>
  </si>
  <si>
    <t>Total Electricity Use (kW)</t>
  </si>
  <si>
    <t>Interest</t>
  </si>
  <si>
    <t>Architecture/Engineering Fees</t>
  </si>
  <si>
    <t>Internet Fiber Last Mile Cost</t>
  </si>
  <si>
    <t>Fire Suppression</t>
  </si>
  <si>
    <t>Most of this approach came from Uptime Institute True TCO Calculator</t>
  </si>
  <si>
    <t>Annual Energy Cost</t>
  </si>
  <si>
    <t>Annual Internet Transit Cost</t>
  </si>
  <si>
    <t>Total Capital Costs</t>
  </si>
  <si>
    <t>Total Annual Operating Expenses</t>
  </si>
  <si>
    <t>Internal Cabling Cost</t>
  </si>
  <si>
    <t>Total Data Center Costs</t>
  </si>
  <si>
    <t xml:space="preserve">This includes costs not directly tied to server/switch equipment.  </t>
  </si>
  <si>
    <t>Total Capacity (Cum)</t>
  </si>
  <si>
    <t xml:space="preserve">Annual HW Vendor Support Costs </t>
  </si>
  <si>
    <t>Total Infrastructure Capacity Summary</t>
  </si>
  <si>
    <t>Equipment Costs (Annual)</t>
  </si>
  <si>
    <t>Operating Costs</t>
  </si>
  <si>
    <t>Total Lifecycle Cost</t>
  </si>
  <si>
    <t>Total Operating Costs</t>
  </si>
  <si>
    <t>Total Equipment Costs</t>
  </si>
  <si>
    <t>Web/App Servers</t>
  </si>
  <si>
    <t>Download Storage Servers</t>
  </si>
  <si>
    <t xml:space="preserve">Property Tax Rate </t>
  </si>
  <si>
    <t>NAS</t>
  </si>
  <si>
    <t>NAS Specifications (Dell EMC Isilon H400)</t>
  </si>
  <si>
    <t>10 GbE Ports</t>
  </si>
  <si>
    <t>Xlarge Servers</t>
  </si>
  <si>
    <t>NAS Servers</t>
  </si>
  <si>
    <t>OC-192 (NAS)</t>
  </si>
  <si>
    <t>OC-192 (R2R)</t>
  </si>
  <si>
    <t>Memory Calculations</t>
  </si>
  <si>
    <t>Assume that DRM-on-the-fly is performed in memory</t>
  </si>
  <si>
    <t>GB RAM</t>
  </si>
  <si>
    <t>Total Streaming TPS (Songs)</t>
  </si>
  <si>
    <t>High Rate Songs / sec</t>
  </si>
  <si>
    <t>Low Rate Songs / sec</t>
  </si>
  <si>
    <t>Standard Rate Songs / sec</t>
  </si>
  <si>
    <t>TPS (Songs) per Bit Rate Type</t>
  </si>
  <si>
    <t>Download TPS (# Songs)</t>
  </si>
  <si>
    <t>Streaming and Download Servers</t>
  </si>
  <si>
    <t>Memory in this scenario (used for encryption) was not evaluated since needed memory volumes are easily satisfied with the number of storage and/or bandwidth-based server quantities</t>
  </si>
  <si>
    <t>Assume following Shelf Configuration: 22 GigE, 6 OC48 and 4 OC192 cards</t>
  </si>
  <si>
    <t>Scenario</t>
  </si>
  <si>
    <t>Measure</t>
  </si>
  <si>
    <t xml:space="preserve">Routers (Shelves </t>
  </si>
  <si>
    <t xml:space="preserve">COST Summary </t>
  </si>
  <si>
    <t>NAS cannot perform the encryption; so, it is moved to the rate adaptation servers;  bandwidth based on sending high-rate songs</t>
  </si>
  <si>
    <t>Rate Adaptation / Encryption Servers</t>
  </si>
  <si>
    <t>Other Expenses</t>
  </si>
  <si>
    <t>Router Cards</t>
  </si>
  <si>
    <t>Router Shelves</t>
  </si>
  <si>
    <t>Period</t>
  </si>
  <si>
    <t>-</t>
  </si>
  <si>
    <t>Active User Growth</t>
  </si>
  <si>
    <t xml:space="preserve">
Active User Growth Rate (%)</t>
  </si>
  <si>
    <t>User 
Growth Rate (%)</t>
  </si>
  <si>
    <t xml:space="preserve">User Growth </t>
  </si>
  <si>
    <t>Total Users</t>
  </si>
  <si>
    <t>Average Active Users</t>
  </si>
  <si>
    <t xml:space="preserve">% Total Active Users </t>
  </si>
  <si>
    <t>Downloads</t>
  </si>
  <si>
    <t>Permission Requests</t>
  </si>
  <si>
    <t>Encryption and rate adaptation occurs on same server (at normal user capacity, since not processing transactions)</t>
  </si>
  <si>
    <t xml:space="preserve">With rate adaptation, the high-bit rate songs must be stored only;  others are adapted and stored in memory </t>
  </si>
  <si>
    <t>User Distributions Across Data Centers</t>
  </si>
  <si>
    <t>NE</t>
  </si>
  <si>
    <t>S</t>
  </si>
  <si>
    <t>W</t>
  </si>
  <si>
    <t>MW</t>
  </si>
  <si>
    <t>DC Region</t>
  </si>
  <si>
    <t>CPU (Active Workload) Calculations by DC Region</t>
  </si>
  <si>
    <t>Assumption:  All requests go through Web Servers at regional data centers</t>
  </si>
  <si>
    <t>Authorizations</t>
  </si>
  <si>
    <t>% of User Population</t>
  </si>
  <si>
    <t>Transactions per Second (TPS) by DC Region</t>
  </si>
  <si>
    <t>Year</t>
  </si>
  <si>
    <t>Total  (GB)</t>
  </si>
  <si>
    <t>Authrorization TPS</t>
  </si>
  <si>
    <t>Total (GB)</t>
  </si>
  <si>
    <t>Aggregate Memory Needs</t>
  </si>
  <si>
    <t>Distributed Data Center Constants</t>
  </si>
  <si>
    <t>User Density</t>
  </si>
  <si>
    <t>Traffic</t>
  </si>
  <si>
    <t>to NE</t>
  </si>
  <si>
    <t>to W</t>
  </si>
  <si>
    <t>Power Cost ($/kWh)</t>
  </si>
  <si>
    <t>Bandwidth per DC Region (Gbps)</t>
  </si>
  <si>
    <t>Bandwidth (Gbps)</t>
  </si>
  <si>
    <t>Rate Adaptation performed in memory;  since high-rates don't require adaptation they pass through.  So, the CPU penalty on 20% of the transactions doesn't apply.   High-rate song bandwidth in; normal streaming bandwidth out; memory not an issue (BW drives).
Downloads and streams would be encrypted; so run all of them through these servers. This is a change from Project 1 where download files went through Web/App Servers</t>
  </si>
  <si>
    <t>These handle all the incoming requests (transactions) for the local population they handle all the permission requests directly (ie., no routing to storage server clusters and in memory)
A Change from Project 1:  Downloading of songs occurs in the Rate Adaptation/Encryption Servers in this project (was done by these servers in Project 1).  Transaction processing and authorization requests are the only things supported by the Web/App servers and there is no cross-</t>
  </si>
  <si>
    <t>Failure Scenarios (assume at most 1 DC loss at any given time)</t>
  </si>
  <si>
    <t>No Fails</t>
  </si>
  <si>
    <t>NE Fail</t>
  </si>
  <si>
    <t>S Fail</t>
  </si>
  <si>
    <t>MW Fail</t>
  </si>
  <si>
    <t>W Fail</t>
  </si>
  <si>
    <t>From NE</t>
  </si>
  <si>
    <t>From MW</t>
  </si>
  <si>
    <t>From S</t>
  </si>
  <si>
    <t>From W</t>
  </si>
  <si>
    <t>Normal</t>
  </si>
  <si>
    <t xml:space="preserve">Auths:  </t>
  </si>
  <si>
    <t>Streams/Downs</t>
  </si>
  <si>
    <t>80% NE + 50% MW + 50% S + 20% W</t>
  </si>
  <si>
    <t>20% NE + 50% MW + 50% S + 80% W</t>
  </si>
  <si>
    <t>Auths:</t>
  </si>
  <si>
    <t>Data Center Failure Scenarios</t>
  </si>
  <si>
    <t>100% NE</t>
  </si>
  <si>
    <t>100% MW</t>
  </si>
  <si>
    <t>100% S</t>
  </si>
  <si>
    <t>100% W</t>
  </si>
  <si>
    <t>100% of ALL</t>
  </si>
  <si>
    <t>0%%</t>
  </si>
  <si>
    <t>Streaming and Downloads:  Total User Population Supported</t>
  </si>
  <si>
    <t>OBSERVATIONS/CONCLUSIONS</t>
  </si>
  <si>
    <t>1. Loss of a data host DC (NE or W) requires the other DC to process all streams and downloads</t>
  </si>
  <si>
    <t>2. Make NE and W DCs same size (due to 1.) and fact that population distribution is only different by ~5% users; largest is W</t>
  </si>
  <si>
    <t>Assume at any time only 67% of ports are active (1:2 redundancy); inter-router (ring) connectivity retains full 1:1</t>
  </si>
  <si>
    <t>These are inbound from NAS</t>
  </si>
  <si>
    <t>This is just to understand how many of each card type would be needed to support the outbound bandwidth</t>
  </si>
  <si>
    <t>Assume a Tier II Data Center for availability/reliability</t>
  </si>
  <si>
    <t>IT Tx Cost ($/Mbps/month)</t>
  </si>
  <si>
    <t>North East Data Center</t>
  </si>
  <si>
    <t>No Streaming from this DC</t>
  </si>
  <si>
    <t>No Downloads from this DC</t>
  </si>
  <si>
    <t>No Streaming or Downloads from this DC, so no Rate Adaptation or Encryption</t>
  </si>
  <si>
    <t>These handle all the incoming requests (transactions) for the local population they handle all the permission requests directly (ie., no routing to storage server clusters and in memory)
Web/App Servers route all Streaming/Download requests to NE and W DCs via API; BW not assumed or estimated for that</t>
  </si>
  <si>
    <t>Authorizations and Transactions:  Total User Population Supported</t>
  </si>
  <si>
    <t>Midwest Data Center</t>
  </si>
  <si>
    <t>South Data Center</t>
  </si>
  <si>
    <t>100% NE + 100% S</t>
  </si>
  <si>
    <t>100% MW + 100% W</t>
  </si>
  <si>
    <t>Streams</t>
  </si>
  <si>
    <t>Total Infrastructure Resource Summary</t>
  </si>
  <si>
    <t>Data Center Failure Scenario and User Capacity Determination</t>
  </si>
  <si>
    <t>Configuration of Data Centers should be consistent (i.e., maximize configuration across DCs to support failover scenarios</t>
  </si>
  <si>
    <t>Assume only a single DC failure at any given time (no concurrent loss of 2+ DCs)</t>
  </si>
  <si>
    <t>Data Center Location Assessment</t>
  </si>
  <si>
    <t>Northeast Region</t>
  </si>
  <si>
    <t>Candidate Location</t>
  </si>
  <si>
    <t>West Region</t>
  </si>
  <si>
    <t xml:space="preserve">(1) Source:  </t>
  </si>
  <si>
    <t xml:space="preserve">(2) Source:  </t>
  </si>
  <si>
    <t xml:space="preserve">(3) Source:  </t>
  </si>
  <si>
    <t xml:space="preserve">(4) Source:  </t>
  </si>
  <si>
    <t xml:space="preserve">(5) Source:  </t>
  </si>
  <si>
    <t>Bureau of Labor Statistics -- https://www.bls.gov/oes/current/oessrcma.htm  (may also include neighboring metropolitan areas)</t>
  </si>
  <si>
    <t>Midwest Region</t>
  </si>
  <si>
    <t>South Region</t>
  </si>
  <si>
    <t>Chicago, IL</t>
  </si>
  <si>
    <t>Seattle, WA</t>
  </si>
  <si>
    <t>Phoenix, AZ</t>
  </si>
  <si>
    <t>Madison, WI</t>
  </si>
  <si>
    <t>Indianapolis, IN</t>
  </si>
  <si>
    <t>Southern CA</t>
  </si>
  <si>
    <t>Northern CA</t>
  </si>
  <si>
    <t>Minneapolis, MN</t>
  </si>
  <si>
    <t>Atlanta, GA</t>
  </si>
  <si>
    <t>Nashville, TN</t>
  </si>
  <si>
    <t>Houston, TX</t>
  </si>
  <si>
    <t>New York, NY</t>
  </si>
  <si>
    <t>Northern NJ</t>
  </si>
  <si>
    <t>Boston, MA</t>
  </si>
  <si>
    <t>Northern VA</t>
  </si>
  <si>
    <t>DFW Area, TX</t>
  </si>
  <si>
    <t>3.  Make all DCs support 55% of user transaction/authorization (for configuration consistency); not a significant cost driver</t>
  </si>
  <si>
    <t>Capital Expenses</t>
  </si>
  <si>
    <t>Industrial Space Leasing Costs</t>
  </si>
  <si>
    <t>Space Lease Cost ($/sf/mo)</t>
  </si>
  <si>
    <t>(1)
Industrial Space Lease Costs ($/sf/mo)</t>
  </si>
  <si>
    <t>Operating Expenses</t>
  </si>
  <si>
    <t>Total Square Footage</t>
  </si>
  <si>
    <t>(2)
Effective Property Tax Rate (%)</t>
  </si>
  <si>
    <t>(4) 
Labor Supply</t>
  </si>
  <si>
    <t>(5) 
Power Rates ($/kwH)</t>
  </si>
  <si>
    <t>50-state-property-tax-comparison-for-2017-full_1.pdf (tax rate based on largest city in state; variable rates are approximated and assumed fixed)</t>
  </si>
  <si>
    <t>https://www.electricitylocal.com/states/   (industrial rates by city)</t>
  </si>
  <si>
    <t>Bureau of Labor Statistics -- https://www.bls.gov/oes/current/oessrcma.htm  (Annual Cost for 1 NW/SysAdmin and 1 DC Technician)</t>
  </si>
  <si>
    <t>(3)
Labor Cost
($/yr)</t>
  </si>
  <si>
    <t>(2)
Effective Property Tax Rate 
(%)</t>
  </si>
  <si>
    <t>DC Tech</t>
  </si>
  <si>
    <t>DC Admin Labor
($/yr)</t>
  </si>
  <si>
    <t>DC Tech 
Labor
($/yr)</t>
  </si>
  <si>
    <t>E, G-, T+, I+</t>
  </si>
  <si>
    <t>E, G+, T+, I+</t>
  </si>
  <si>
    <t>G - State/Local Government (bureaucracy, taxes, incentives, politics, etc.)</t>
  </si>
  <si>
    <t>T - DC Growth Trends</t>
  </si>
  <si>
    <t>I - Proximity to large Internet Hub</t>
  </si>
  <si>
    <t>A comparison of space lease + taxes + labor + power for year 3 for that region's DC (NOT full year 3 costs)</t>
  </si>
  <si>
    <t>+ = favorable; - = unfavorable; otherwise neutral</t>
  </si>
  <si>
    <t>E, G-, T+, I</t>
  </si>
  <si>
    <t>E, G+, T, I-</t>
  </si>
  <si>
    <t>E, G-, T-, I+</t>
  </si>
  <si>
    <t>E, G-, T-, I</t>
  </si>
  <si>
    <t>E+, G+, T, I</t>
  </si>
  <si>
    <t>E, G-, T, I+</t>
  </si>
  <si>
    <t>E+, G+, T++, I+</t>
  </si>
  <si>
    <t>E-, G-, T+, I+</t>
  </si>
  <si>
    <t>E-, G-, T, I++</t>
  </si>
  <si>
    <t>E, G+, T++, I++</t>
  </si>
  <si>
    <t>Portable Modular DC (Container)</t>
  </si>
  <si>
    <t>modular DC price per Watt</t>
  </si>
  <si>
    <t>Tax Rate (%)</t>
  </si>
  <si>
    <t>Operations Manager</t>
  </si>
  <si>
    <t>DC  SysAdmin</t>
  </si>
  <si>
    <t>DC Operations Manager</t>
  </si>
  <si>
    <t>DC Network/System Administrator</t>
  </si>
  <si>
    <t>DC Technician</t>
  </si>
  <si>
    <t>Region</t>
  </si>
  <si>
    <t>Midwest</t>
  </si>
  <si>
    <t>West</t>
  </si>
  <si>
    <t>Northeast</t>
  </si>
  <si>
    <t>South</t>
  </si>
  <si>
    <t>Capital Expense</t>
  </si>
  <si>
    <t>Other Expense</t>
  </si>
  <si>
    <t>Single vs Distributed Data Center Comparison (3-Yr Total)</t>
  </si>
  <si>
    <t>Centralized</t>
  </si>
  <si>
    <t>Distributed</t>
  </si>
  <si>
    <t>E-, G+, T++, I</t>
  </si>
  <si>
    <t>E - Climate/Environmental Conditions (incl risk of Force Majeur outages)</t>
  </si>
  <si>
    <t>(6) Other Notes</t>
  </si>
  <si>
    <t>(7)</t>
  </si>
  <si>
    <t>(7)
Yr 3 Cost Comparison</t>
  </si>
  <si>
    <t>(6)
Other Factors</t>
  </si>
  <si>
    <t>CAPEX &amp; OPEX</t>
  </si>
  <si>
    <t>BW between DCs</t>
  </si>
  <si>
    <t>NE-MW</t>
  </si>
  <si>
    <t>NE-S</t>
  </si>
  <si>
    <t>NE-W</t>
  </si>
  <si>
    <t>W-MW</t>
  </si>
  <si>
    <t>W-S</t>
  </si>
  <si>
    <t>Stream/Download API Message (bits)</t>
  </si>
  <si>
    <t>(1 KB API request messagel; 0.5KB API response message)</t>
  </si>
  <si>
    <t>Bandwidth Between DCs 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</si>
</sst>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&quot;$&quot;* #,##0_);_(&quot;$&quot;* \(#,##0\);_(&quot;$&quot;* &quot;-&quot;??_);_(@_)"/>
    <numFmt numFmtId="167" formatCode="_(&quot;$&quot;* #,##0.000_);_(&quot;$&quot;* \(#,##0.000\);_(&quot;$&quot;* &quot;-&quot;??_);_(@_)"/>
    <numFmt numFmtId="168" formatCode="0.0000000"/>
    <numFmt numFmtId="169" formatCode="0.000"/>
    <numFmt numFmtId="170" formatCode="_(* #,##0.0000_);_(* \(#,##0.0000\);_(* &quot;-&quot;??_);_(@_)"/>
    <numFmt numFmtId="171" formatCode="0.00000"/>
    <numFmt numFmtId="172" formatCode="_(* #,##0.0_);_(* \(#,##0.0\);_(* &quot;-&quot;??_);_(@_)"/>
    <numFmt numFmtId="173" formatCode="0.0000"/>
    <numFmt numFmtId="174" formatCode="_(&quot;$&quot;* #,##0.0000_);_(&quot;$&quot;* \(#,##0.0000\);_(&quot;$&quot;* &quot;-&quot;??_);_(@_)"/>
    <numFmt numFmtId="175" formatCode="0.00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 style="medium">
        <color rgb="FFC00000"/>
      </top>
      <bottom style="medium">
        <color rgb="FFC00000"/>
      </bottom>
      <diagonal/>
    </border>
    <border>
      <left style="thin">
        <color rgb="FF002060"/>
      </left>
      <right style="thin">
        <color rgb="FF002060"/>
      </right>
      <top style="medium">
        <color rgb="FFC00000"/>
      </top>
      <bottom style="medium">
        <color rgb="FFC00000"/>
      </bottom>
      <diagonal/>
    </border>
    <border>
      <left style="thin">
        <color rgb="FF002060"/>
      </left>
      <right style="medium">
        <color rgb="FF002060"/>
      </right>
      <top style="medium">
        <color rgb="FFC00000"/>
      </top>
      <bottom style="medium">
        <color rgb="FFC00000"/>
      </bottom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11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98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center"/>
    </xf>
    <xf numFmtId="43" fontId="2" fillId="0" borderId="0" xfId="0" applyNumberFormat="1" applyFont="1"/>
    <xf numFmtId="0" fontId="2" fillId="0" borderId="1" xfId="0" applyFont="1" applyBorder="1" applyAlignment="1">
      <alignment horizontal="center" wrapText="1"/>
    </xf>
    <xf numFmtId="9" fontId="0" fillId="0" borderId="0" xfId="0" applyNumberFormat="1"/>
    <xf numFmtId="164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44" fontId="0" fillId="0" borderId="0" xfId="3" applyFont="1"/>
    <xf numFmtId="0" fontId="2" fillId="0" borderId="0" xfId="0" applyFont="1" applyAlignment="1">
      <alignment horizontal="left" indent="1"/>
    </xf>
    <xf numFmtId="43" fontId="0" fillId="0" borderId="0" xfId="1" applyFont="1"/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0" fontId="2" fillId="0" borderId="0" xfId="0" quotePrefix="1" applyFont="1" applyAlignment="1">
      <alignment horizontal="center"/>
    </xf>
    <xf numFmtId="6" fontId="0" fillId="0" borderId="0" xfId="0" applyNumberFormat="1"/>
    <xf numFmtId="0" fontId="0" fillId="0" borderId="6" xfId="0" applyBorder="1"/>
    <xf numFmtId="0" fontId="0" fillId="0" borderId="8" xfId="0" applyBorder="1"/>
    <xf numFmtId="166" fontId="0" fillId="0" borderId="9" xfId="3" applyNumberFormat="1" applyFont="1" applyBorder="1"/>
    <xf numFmtId="0" fontId="0" fillId="0" borderId="5" xfId="0" applyBorder="1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164" fontId="0" fillId="2" borderId="0" xfId="1" applyNumberFormat="1" applyFont="1" applyFill="1"/>
    <xf numFmtId="9" fontId="0" fillId="2" borderId="0" xfId="2" applyFont="1" applyFill="1"/>
    <xf numFmtId="0" fontId="6" fillId="0" borderId="0" xfId="0" applyFont="1"/>
    <xf numFmtId="0" fontId="7" fillId="0" borderId="0" xfId="0" applyFont="1"/>
    <xf numFmtId="1" fontId="0" fillId="2" borderId="0" xfId="0" applyNumberFormat="1" applyFill="1"/>
    <xf numFmtId="164" fontId="2" fillId="2" borderId="0" xfId="1" applyNumberFormat="1" applyFont="1" applyFill="1"/>
    <xf numFmtId="164" fontId="1" fillId="0" borderId="0" xfId="1" applyNumberFormat="1"/>
    <xf numFmtId="0" fontId="2" fillId="0" borderId="0" xfId="0" applyFont="1" applyAlignment="1">
      <alignment horizontal="center"/>
    </xf>
    <xf numFmtId="167" fontId="0" fillId="0" borderId="0" xfId="3" applyNumberFormat="1" applyFont="1"/>
    <xf numFmtId="10" fontId="0" fillId="0" borderId="0" xfId="2" applyNumberFormat="1" applyFont="1"/>
    <xf numFmtId="17" fontId="0" fillId="0" borderId="0" xfId="0" applyNumberFormat="1"/>
    <xf numFmtId="166" fontId="0" fillId="0" borderId="0" xfId="0" applyNumberFormat="1"/>
    <xf numFmtId="166" fontId="0" fillId="0" borderId="15" xfId="0" applyNumberFormat="1" applyBorder="1"/>
    <xf numFmtId="164" fontId="0" fillId="0" borderId="16" xfId="0" applyNumberFormat="1" applyBorder="1"/>
    <xf numFmtId="0" fontId="0" fillId="0" borderId="0" xfId="0" applyAlignment="1">
      <alignment wrapText="1"/>
    </xf>
    <xf numFmtId="0" fontId="0" fillId="0" borderId="14" xfId="0" applyBorder="1"/>
    <xf numFmtId="0" fontId="0" fillId="0" borderId="15" xfId="0" applyBorder="1"/>
    <xf numFmtId="164" fontId="0" fillId="0" borderId="16" xfId="1" applyNumberFormat="1" applyFont="1" applyBorder="1"/>
    <xf numFmtId="166" fontId="0" fillId="0" borderId="16" xfId="3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13" xfId="0" applyBorder="1" applyAlignment="1">
      <alignment horizontal="center"/>
    </xf>
    <xf numFmtId="0" fontId="8" fillId="0" borderId="0" xfId="0" applyFont="1"/>
    <xf numFmtId="0" fontId="9" fillId="0" borderId="0" xfId="0" applyFont="1"/>
    <xf numFmtId="168" fontId="0" fillId="0" borderId="0" xfId="0" applyNumberFormat="1"/>
    <xf numFmtId="0" fontId="0" fillId="0" borderId="22" xfId="0" applyBorder="1"/>
    <xf numFmtId="0" fontId="0" fillId="4" borderId="0" xfId="0" applyFill="1"/>
    <xf numFmtId="166" fontId="0" fillId="0" borderId="0" xfId="3" applyNumberFormat="1" applyFont="1"/>
    <xf numFmtId="169" fontId="0" fillId="0" borderId="0" xfId="0" applyNumberFormat="1"/>
    <xf numFmtId="0" fontId="10" fillId="0" borderId="0" xfId="0" applyFont="1"/>
    <xf numFmtId="43" fontId="0" fillId="0" borderId="16" xfId="0" applyNumberFormat="1" applyBorder="1"/>
    <xf numFmtId="44" fontId="0" fillId="0" borderId="16" xfId="3" applyFont="1" applyBorder="1"/>
    <xf numFmtId="0" fontId="0" fillId="0" borderId="2" xfId="0" applyBorder="1"/>
    <xf numFmtId="0" fontId="0" fillId="0" borderId="4" xfId="0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164" fontId="0" fillId="5" borderId="16" xfId="1" applyNumberFormat="1" applyFont="1" applyFill="1" applyBorder="1"/>
    <xf numFmtId="164" fontId="0" fillId="5" borderId="16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5" xfId="0" applyNumberFormat="1" applyBorder="1"/>
    <xf numFmtId="0" fontId="0" fillId="0" borderId="6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2" fillId="6" borderId="0" xfId="0" quotePrefix="1" applyFont="1" applyFill="1" applyAlignment="1">
      <alignment horizontal="center"/>
    </xf>
    <xf numFmtId="164" fontId="0" fillId="6" borderId="0" xfId="1" applyNumberFormat="1" applyFont="1" applyFill="1"/>
    <xf numFmtId="165" fontId="0" fillId="6" borderId="0" xfId="1" applyNumberFormat="1" applyFont="1" applyFill="1"/>
    <xf numFmtId="1" fontId="0" fillId="6" borderId="0" xfId="0" applyNumberFormat="1" applyFill="1"/>
    <xf numFmtId="164" fontId="0" fillId="0" borderId="0" xfId="1" applyNumberFormat="1" applyFont="1" applyAlignment="1">
      <alignment wrapText="1"/>
    </xf>
    <xf numFmtId="166" fontId="0" fillId="0" borderId="0" xfId="3" applyNumberFormat="1" applyFont="1" applyAlignment="1">
      <alignment wrapText="1"/>
    </xf>
    <xf numFmtId="0" fontId="2" fillId="0" borderId="0" xfId="0" applyFont="1" applyAlignment="1">
      <alignment horizontal="left" vertical="top" indent="1"/>
    </xf>
    <xf numFmtId="170" fontId="0" fillId="2" borderId="0" xfId="1" applyNumberFormat="1" applyFont="1" applyFill="1"/>
    <xf numFmtId="170" fontId="0" fillId="2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center"/>
    </xf>
    <xf numFmtId="0" fontId="11" fillId="0" borderId="0" xfId="0" applyFont="1"/>
    <xf numFmtId="43" fontId="0" fillId="0" borderId="7" xfId="1" applyFont="1" applyBorder="1"/>
    <xf numFmtId="171" fontId="0" fillId="0" borderId="0" xfId="0" applyNumberFormat="1"/>
    <xf numFmtId="173" fontId="0" fillId="0" borderId="0" xfId="0" applyNumberFormat="1"/>
    <xf numFmtId="0" fontId="0" fillId="0" borderId="0" xfId="0" quotePrefix="1"/>
    <xf numFmtId="172" fontId="0" fillId="0" borderId="14" xfId="1" applyNumberFormat="1" applyFont="1" applyBorder="1"/>
    <xf numFmtId="44" fontId="0" fillId="0" borderId="20" xfId="3" applyFont="1" applyBorder="1"/>
    <xf numFmtId="172" fontId="0" fillId="0" borderId="15" xfId="1" applyNumberFormat="1" applyFont="1" applyBorder="1"/>
    <xf numFmtId="44" fontId="0" fillId="0" borderId="21" xfId="3" applyFont="1" applyBorder="1"/>
    <xf numFmtId="44" fontId="0" fillId="0" borderId="3" xfId="3" applyFont="1" applyBorder="1"/>
    <xf numFmtId="44" fontId="0" fillId="0" borderId="4" xfId="3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72" fontId="0" fillId="0" borderId="3" xfId="1" applyNumberFormat="1" applyFont="1" applyBorder="1"/>
    <xf numFmtId="172" fontId="0" fillId="0" borderId="4" xfId="1" applyNumberFormat="1" applyFont="1" applyBorder="1"/>
    <xf numFmtId="44" fontId="0" fillId="0" borderId="0" xfId="0" applyNumberFormat="1"/>
    <xf numFmtId="44" fontId="0" fillId="0" borderId="20" xfId="0" applyNumberFormat="1" applyBorder="1"/>
    <xf numFmtId="44" fontId="0" fillId="0" borderId="21" xfId="0" applyNumberForma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4" fontId="0" fillId="0" borderId="14" xfId="3" applyFont="1" applyBorder="1"/>
    <xf numFmtId="44" fontId="0" fillId="0" borderId="15" xfId="3" applyFont="1" applyBorder="1"/>
    <xf numFmtId="44" fontId="0" fillId="0" borderId="16" xfId="0" applyNumberFormat="1" applyBorder="1"/>
    <xf numFmtId="0" fontId="0" fillId="0" borderId="18" xfId="0" applyBorder="1" applyAlignment="1">
      <alignment horizontal="center" wrapText="1"/>
    </xf>
    <xf numFmtId="164" fontId="2" fillId="0" borderId="17" xfId="1" applyNumberFormat="1" applyFont="1" applyBorder="1"/>
    <xf numFmtId="164" fontId="2" fillId="0" borderId="19" xfId="1" applyNumberFormat="1" applyFont="1" applyBorder="1"/>
    <xf numFmtId="43" fontId="0" fillId="0" borderId="14" xfId="1" applyFont="1" applyBorder="1"/>
    <xf numFmtId="43" fontId="0" fillId="0" borderId="15" xfId="1" applyFont="1" applyBorder="1"/>
    <xf numFmtId="164" fontId="2" fillId="0" borderId="18" xfId="1" applyNumberFormat="1" applyFont="1" applyBorder="1"/>
    <xf numFmtId="0" fontId="2" fillId="0" borderId="18" xfId="0" applyFont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1" xfId="0" applyBorder="1" applyAlignment="1">
      <alignment horizontal="center" wrapText="1"/>
    </xf>
    <xf numFmtId="44" fontId="0" fillId="0" borderId="3" xfId="0" applyNumberFormat="1" applyBorder="1"/>
    <xf numFmtId="44" fontId="0" fillId="0" borderId="4" xfId="0" applyNumberFormat="1" applyBorder="1"/>
    <xf numFmtId="43" fontId="0" fillId="0" borderId="3" xfId="1" applyFont="1" applyBorder="1"/>
    <xf numFmtId="43" fontId="0" fillId="0" borderId="4" xfId="0" applyNumberFormat="1" applyBorder="1"/>
    <xf numFmtId="43" fontId="0" fillId="0" borderId="3" xfId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44" fontId="0" fillId="7" borderId="0" xfId="3" applyFont="1" applyFill="1"/>
    <xf numFmtId="0" fontId="2" fillId="0" borderId="15" xfId="0" applyFont="1" applyBorder="1"/>
    <xf numFmtId="0" fontId="2" fillId="0" borderId="16" xfId="0" applyFont="1" applyBorder="1"/>
    <xf numFmtId="0" fontId="2" fillId="0" borderId="21" xfId="0" applyFont="1" applyBorder="1"/>
    <xf numFmtId="43" fontId="0" fillId="0" borderId="4" xfId="1" applyFont="1" applyBorder="1"/>
    <xf numFmtId="0" fontId="0" fillId="0" borderId="16" xfId="0" applyBorder="1"/>
    <xf numFmtId="0" fontId="0" fillId="0" borderId="21" xfId="0" applyBorder="1"/>
    <xf numFmtId="43" fontId="0" fillId="0" borderId="3" xfId="0" applyNumberFormat="1" applyBorder="1"/>
    <xf numFmtId="0" fontId="0" fillId="7" borderId="16" xfId="0" applyFill="1" applyBorder="1"/>
    <xf numFmtId="44" fontId="0" fillId="0" borderId="2" xfId="3" applyFont="1" applyBorder="1"/>
    <xf numFmtId="43" fontId="0" fillId="0" borderId="2" xfId="1" applyFont="1" applyBorder="1"/>
    <xf numFmtId="164" fontId="0" fillId="0" borderId="2" xfId="0" applyNumberFormat="1" applyBorder="1"/>
    <xf numFmtId="43" fontId="0" fillId="0" borderId="2" xfId="0" applyNumberFormat="1" applyBorder="1"/>
    <xf numFmtId="0" fontId="0" fillId="7" borderId="12" xfId="0" applyFill="1" applyBorder="1"/>
    <xf numFmtId="172" fontId="0" fillId="0" borderId="11" xfId="1" applyNumberFormat="1" applyFont="1" applyBorder="1"/>
    <xf numFmtId="44" fontId="0" fillId="0" borderId="11" xfId="3" applyFont="1" applyBorder="1"/>
    <xf numFmtId="44" fontId="0" fillId="0" borderId="12" xfId="3" applyFont="1" applyBorder="1"/>
    <xf numFmtId="44" fontId="0" fillId="7" borderId="12" xfId="3" applyFont="1" applyFill="1" applyBorder="1"/>
    <xf numFmtId="44" fontId="0" fillId="0" borderId="13" xfId="3" applyFont="1" applyBorder="1"/>
    <xf numFmtId="44" fontId="0" fillId="0" borderId="12" xfId="0" applyNumberFormat="1" applyBorder="1"/>
    <xf numFmtId="44" fontId="0" fillId="0" borderId="13" xfId="0" applyNumberFormat="1" applyBorder="1"/>
    <xf numFmtId="0" fontId="0" fillId="7" borderId="0" xfId="0" applyFill="1"/>
    <xf numFmtId="44" fontId="0" fillId="7" borderId="16" xfId="3" applyFont="1" applyFill="1" applyBorder="1"/>
    <xf numFmtId="0" fontId="2" fillId="7" borderId="16" xfId="0" applyFont="1" applyFill="1" applyBorder="1"/>
    <xf numFmtId="43" fontId="2" fillId="0" borderId="18" xfId="1" applyFont="1" applyBorder="1"/>
    <xf numFmtId="43" fontId="2" fillId="0" borderId="19" xfId="1" applyFont="1" applyBorder="1"/>
    <xf numFmtId="0" fontId="0" fillId="0" borderId="3" xfId="0" applyBorder="1"/>
    <xf numFmtId="44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6" fontId="0" fillId="0" borderId="4" xfId="0" applyNumberFormat="1" applyBorder="1"/>
    <xf numFmtId="166" fontId="0" fillId="0" borderId="4" xfId="3" applyNumberFormat="1" applyFont="1" applyBorder="1"/>
    <xf numFmtId="0" fontId="0" fillId="0" borderId="12" xfId="0" applyBorder="1"/>
    <xf numFmtId="0" fontId="0" fillId="0" borderId="11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1" xfId="0" applyNumberFormat="1" applyBorder="1"/>
    <xf numFmtId="0" fontId="0" fillId="0" borderId="1" xfId="0" applyBorder="1"/>
    <xf numFmtId="164" fontId="0" fillId="0" borderId="14" xfId="0" applyNumberFormat="1" applyBorder="1"/>
    <xf numFmtId="164" fontId="0" fillId="0" borderId="17" xfId="0" applyNumberFormat="1" applyBorder="1"/>
    <xf numFmtId="164" fontId="0" fillId="7" borderId="0" xfId="0" applyNumberFormat="1" applyFill="1"/>
    <xf numFmtId="166" fontId="0" fillId="0" borderId="18" xfId="0" applyNumberFormat="1" applyBorder="1"/>
    <xf numFmtId="0" fontId="2" fillId="0" borderId="12" xfId="0" applyFont="1" applyBorder="1"/>
    <xf numFmtId="0" fontId="2" fillId="0" borderId="13" xfId="0" applyFont="1" applyBorder="1"/>
    <xf numFmtId="166" fontId="0" fillId="3" borderId="1" xfId="0" applyNumberFormat="1" applyFill="1" applyBorder="1"/>
    <xf numFmtId="164" fontId="0" fillId="0" borderId="12" xfId="0" applyNumberFormat="1" applyBorder="1"/>
    <xf numFmtId="0" fontId="2" fillId="0" borderId="0" xfId="0" applyFont="1" applyAlignment="1">
      <alignment wrapText="1"/>
    </xf>
    <xf numFmtId="164" fontId="0" fillId="0" borderId="1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20" xfId="0" applyNumberFormat="1" applyBorder="1" applyAlignment="1">
      <alignment horizontal="right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1" xfId="3" applyNumberFormat="1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left" indent="3"/>
    </xf>
    <xf numFmtId="1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44" fontId="0" fillId="0" borderId="0" xfId="0" applyNumberFormat="1" applyAlignment="1">
      <alignment wrapText="1"/>
    </xf>
    <xf numFmtId="0" fontId="2" fillId="0" borderId="0" xfId="0" applyFont="1" applyAlignment="1">
      <alignment horizontal="left" indent="3"/>
    </xf>
    <xf numFmtId="166" fontId="2" fillId="0" borderId="0" xfId="3" applyNumberFormat="1" applyFont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44" fontId="2" fillId="0" borderId="0" xfId="0" applyNumberFormat="1" applyFont="1"/>
    <xf numFmtId="44" fontId="2" fillId="0" borderId="0" xfId="3" applyFont="1"/>
    <xf numFmtId="166" fontId="1" fillId="0" borderId="0" xfId="3" applyNumberFormat="1"/>
    <xf numFmtId="166" fontId="2" fillId="0" borderId="0" xfId="0" applyNumberFormat="1" applyFont="1"/>
    <xf numFmtId="166" fontId="13" fillId="0" borderId="0" xfId="3" applyNumberFormat="1" applyFont="1"/>
    <xf numFmtId="0" fontId="13" fillId="0" borderId="0" xfId="0" applyFont="1"/>
    <xf numFmtId="0" fontId="14" fillId="0" borderId="0" xfId="0" applyFont="1" applyAlignment="1">
      <alignment horizontal="left" indent="1"/>
    </xf>
    <xf numFmtId="166" fontId="14" fillId="0" borderId="0" xfId="0" applyNumberFormat="1" applyFont="1"/>
    <xf numFmtId="0" fontId="2" fillId="0" borderId="0" xfId="1" applyNumberFormat="1" applyFont="1" applyAlignment="1">
      <alignment horizontal="left"/>
    </xf>
    <xf numFmtId="166" fontId="0" fillId="0" borderId="21" xfId="0" applyNumberFormat="1" applyBorder="1"/>
    <xf numFmtId="166" fontId="13" fillId="0" borderId="0" xfId="0" applyNumberFormat="1" applyFont="1" applyAlignment="1">
      <alignment horizontal="left"/>
    </xf>
    <xf numFmtId="164" fontId="0" fillId="0" borderId="19" xfId="1" applyNumberFormat="1" applyFont="1" applyBorder="1"/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164" fontId="2" fillId="0" borderId="19" xfId="0" applyNumberFormat="1" applyFont="1" applyBorder="1"/>
    <xf numFmtId="164" fontId="2" fillId="0" borderId="18" xfId="0" applyNumberFormat="1" applyFont="1" applyBorder="1"/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6" fontId="13" fillId="8" borderId="12" xfId="0" applyNumberFormat="1" applyFont="1" applyFill="1" applyBorder="1" applyAlignment="1">
      <alignment horizontal="center"/>
    </xf>
    <xf numFmtId="166" fontId="13" fillId="8" borderId="13" xfId="0" applyNumberFormat="1" applyFont="1" applyFill="1" applyBorder="1" applyAlignment="1">
      <alignment horizontal="center"/>
    </xf>
    <xf numFmtId="0" fontId="15" fillId="8" borderId="0" xfId="0" applyFont="1" applyFill="1"/>
    <xf numFmtId="166" fontId="15" fillId="8" borderId="0" xfId="3" applyNumberFormat="1" applyFont="1" applyFill="1"/>
    <xf numFmtId="166" fontId="15" fillId="8" borderId="20" xfId="3" applyNumberFormat="1" applyFont="1" applyFill="1" applyBorder="1"/>
    <xf numFmtId="0" fontId="0" fillId="8" borderId="0" xfId="0" applyFill="1" applyAlignment="1">
      <alignment horizontal="left" indent="1"/>
    </xf>
    <xf numFmtId="166" fontId="0" fillId="8" borderId="0" xfId="3" applyNumberFormat="1" applyFont="1" applyFill="1"/>
    <xf numFmtId="166" fontId="0" fillId="8" borderId="20" xfId="3" applyNumberFormat="1" applyFont="1" applyFill="1" applyBorder="1"/>
    <xf numFmtId="0" fontId="15" fillId="8" borderId="0" xfId="0" applyFont="1" applyFill="1" applyAlignment="1">
      <alignment horizontal="left"/>
    </xf>
    <xf numFmtId="0" fontId="0" fillId="8" borderId="16" xfId="0" applyFill="1" applyBorder="1" applyAlignment="1">
      <alignment horizontal="left" indent="1"/>
    </xf>
    <xf numFmtId="166" fontId="0" fillId="8" borderId="16" xfId="3" applyNumberFormat="1" applyFont="1" applyFill="1" applyBorder="1"/>
    <xf numFmtId="166" fontId="0" fillId="8" borderId="21" xfId="3" applyNumberFormat="1" applyFont="1" applyFill="1" applyBorder="1"/>
    <xf numFmtId="0" fontId="16" fillId="9" borderId="0" xfId="0" applyFont="1" applyFill="1"/>
    <xf numFmtId="0" fontId="16" fillId="9" borderId="0" xfId="0" applyFont="1" applyFill="1" applyAlignment="1">
      <alignment horizontal="center"/>
    </xf>
    <xf numFmtId="17" fontId="2" fillId="8" borderId="23" xfId="0" applyNumberFormat="1" applyFont="1" applyFill="1" applyBorder="1" applyAlignment="1">
      <alignment horizontal="center"/>
    </xf>
    <xf numFmtId="164" fontId="0" fillId="8" borderId="24" xfId="1" applyNumberFormat="1" applyFont="1" applyFill="1" applyBorder="1"/>
    <xf numFmtId="0" fontId="0" fillId="8" borderId="24" xfId="0" quotePrefix="1" applyFill="1" applyBorder="1" applyAlignment="1">
      <alignment horizontal="right" indent="1"/>
    </xf>
    <xf numFmtId="9" fontId="0" fillId="8" borderId="24" xfId="2" applyFont="1" applyFill="1" applyBorder="1" applyAlignment="1">
      <alignment horizontal="center"/>
    </xf>
    <xf numFmtId="164" fontId="0" fillId="8" borderId="24" xfId="1" applyNumberFormat="1" applyFont="1" applyFill="1" applyBorder="1" applyAlignment="1">
      <alignment horizontal="right"/>
    </xf>
    <xf numFmtId="0" fontId="0" fillId="8" borderId="25" xfId="0" quotePrefix="1" applyFill="1" applyBorder="1" applyAlignment="1">
      <alignment horizontal="right" indent="1"/>
    </xf>
    <xf numFmtId="17" fontId="2" fillId="8" borderId="26" xfId="0" applyNumberFormat="1" applyFont="1" applyFill="1" applyBorder="1" applyAlignment="1">
      <alignment horizontal="center"/>
    </xf>
    <xf numFmtId="164" fontId="0" fillId="8" borderId="27" xfId="1" applyNumberFormat="1" applyFont="1" applyFill="1" applyBorder="1"/>
    <xf numFmtId="164" fontId="0" fillId="8" borderId="27" xfId="0" applyNumberFormat="1" applyFill="1" applyBorder="1" applyAlignment="1">
      <alignment horizontal="left"/>
    </xf>
    <xf numFmtId="10" fontId="0" fillId="8" borderId="27" xfId="2" applyNumberFormat="1" applyFont="1" applyFill="1" applyBorder="1" applyAlignment="1">
      <alignment horizontal="center"/>
    </xf>
    <xf numFmtId="9" fontId="0" fillId="8" borderId="27" xfId="2" applyFont="1" applyFill="1" applyBorder="1" applyAlignment="1">
      <alignment horizontal="center"/>
    </xf>
    <xf numFmtId="164" fontId="0" fillId="8" borderId="27" xfId="1" applyNumberFormat="1" applyFont="1" applyFill="1" applyBorder="1" applyAlignment="1">
      <alignment horizontal="right"/>
    </xf>
    <xf numFmtId="10" fontId="0" fillId="8" borderId="28" xfId="2" applyNumberFormat="1" applyFont="1" applyFill="1" applyBorder="1" applyAlignment="1">
      <alignment horizontal="center"/>
    </xf>
    <xf numFmtId="17" fontId="2" fillId="8" borderId="32" xfId="0" applyNumberFormat="1" applyFont="1" applyFill="1" applyBorder="1" applyAlignment="1">
      <alignment horizontal="center"/>
    </xf>
    <xf numFmtId="164" fontId="0" fillId="8" borderId="33" xfId="1" applyNumberFormat="1" applyFont="1" applyFill="1" applyBorder="1"/>
    <xf numFmtId="164" fontId="0" fillId="8" borderId="33" xfId="0" applyNumberFormat="1" applyFill="1" applyBorder="1" applyAlignment="1">
      <alignment horizontal="left"/>
    </xf>
    <xf numFmtId="10" fontId="0" fillId="8" borderId="33" xfId="2" applyNumberFormat="1" applyFont="1" applyFill="1" applyBorder="1" applyAlignment="1">
      <alignment horizontal="center"/>
    </xf>
    <xf numFmtId="9" fontId="0" fillId="8" borderId="33" xfId="2" applyFont="1" applyFill="1" applyBorder="1" applyAlignment="1">
      <alignment horizontal="center"/>
    </xf>
    <xf numFmtId="164" fontId="0" fillId="8" borderId="33" xfId="1" applyNumberFormat="1" applyFont="1" applyFill="1" applyBorder="1" applyAlignment="1">
      <alignment horizontal="right"/>
    </xf>
    <xf numFmtId="10" fontId="0" fillId="8" borderId="34" xfId="2" applyNumberFormat="1" applyFont="1" applyFill="1" applyBorder="1" applyAlignment="1">
      <alignment horizontal="center"/>
    </xf>
    <xf numFmtId="17" fontId="2" fillId="10" borderId="29" xfId="0" applyNumberFormat="1" applyFont="1" applyFill="1" applyBorder="1" applyAlignment="1">
      <alignment horizontal="center"/>
    </xf>
    <xf numFmtId="164" fontId="0" fillId="10" borderId="30" xfId="1" applyNumberFormat="1" applyFont="1" applyFill="1" applyBorder="1"/>
    <xf numFmtId="164" fontId="0" fillId="10" borderId="30" xfId="0" applyNumberFormat="1" applyFill="1" applyBorder="1" applyAlignment="1">
      <alignment horizontal="left"/>
    </xf>
    <xf numFmtId="10" fontId="0" fillId="10" borderId="30" xfId="2" applyNumberFormat="1" applyFont="1" applyFill="1" applyBorder="1" applyAlignment="1">
      <alignment horizontal="center"/>
    </xf>
    <xf numFmtId="9" fontId="0" fillId="10" borderId="30" xfId="2" applyFont="1" applyFill="1" applyBorder="1" applyAlignment="1">
      <alignment horizontal="center"/>
    </xf>
    <xf numFmtId="164" fontId="0" fillId="10" borderId="30" xfId="1" applyNumberFormat="1" applyFont="1" applyFill="1" applyBorder="1" applyAlignment="1">
      <alignment horizontal="right"/>
    </xf>
    <xf numFmtId="10" fontId="0" fillId="10" borderId="31" xfId="2" applyNumberFormat="1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17" fontId="2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41" xfId="1" applyNumberFormat="1" applyFont="1" applyBorder="1"/>
    <xf numFmtId="164" fontId="0" fillId="0" borderId="44" xfId="1" applyNumberFormat="1" applyFont="1" applyBorder="1"/>
    <xf numFmtId="164" fontId="0" fillId="12" borderId="39" xfId="1" applyNumberFormat="1" applyFont="1" applyFill="1" applyBorder="1"/>
    <xf numFmtId="164" fontId="0" fillId="12" borderId="41" xfId="1" applyNumberFormat="1" applyFont="1" applyFill="1" applyBorder="1"/>
    <xf numFmtId="10" fontId="0" fillId="12" borderId="48" xfId="2" applyNumberFormat="1" applyFont="1" applyFill="1" applyBorder="1" applyAlignment="1">
      <alignment horizontal="center"/>
    </xf>
    <xf numFmtId="10" fontId="0" fillId="0" borderId="49" xfId="2" applyNumberFormat="1" applyFont="1" applyBorder="1" applyAlignment="1">
      <alignment horizontal="center"/>
    </xf>
    <xf numFmtId="10" fontId="0" fillId="12" borderId="49" xfId="2" applyNumberFormat="1" applyFont="1" applyFill="1" applyBorder="1" applyAlignment="1">
      <alignment horizontal="center"/>
    </xf>
    <xf numFmtId="10" fontId="0" fillId="0" borderId="50" xfId="2" applyNumberFormat="1" applyFont="1" applyBorder="1" applyAlignment="1">
      <alignment horizontal="center"/>
    </xf>
    <xf numFmtId="164" fontId="0" fillId="12" borderId="37" xfId="1" applyNumberFormat="1" applyFont="1" applyFill="1" applyBorder="1"/>
    <xf numFmtId="164" fontId="0" fillId="0" borderId="40" xfId="1" applyNumberFormat="1" applyFont="1" applyBorder="1"/>
    <xf numFmtId="164" fontId="0" fillId="12" borderId="40" xfId="1" applyNumberFormat="1" applyFont="1" applyFill="1" applyBorder="1"/>
    <xf numFmtId="164" fontId="0" fillId="0" borderId="42" xfId="1" applyNumberFormat="1" applyFont="1" applyBorder="1"/>
    <xf numFmtId="164" fontId="0" fillId="0" borderId="51" xfId="1" applyNumberFormat="1" applyFont="1" applyBorder="1"/>
    <xf numFmtId="164" fontId="0" fillId="12" borderId="53" xfId="1" applyNumberFormat="1" applyFont="1" applyFill="1" applyBorder="1"/>
    <xf numFmtId="164" fontId="0" fillId="0" borderId="54" xfId="1" applyNumberFormat="1" applyFont="1" applyBorder="1"/>
    <xf numFmtId="164" fontId="0" fillId="0" borderId="56" xfId="1" applyNumberFormat="1" applyFont="1" applyBorder="1"/>
    <xf numFmtId="0" fontId="2" fillId="12" borderId="48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12" borderId="49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8" borderId="49" xfId="0" applyFont="1" applyFill="1" applyBorder="1" applyAlignment="1">
      <alignment horizontal="center"/>
    </xf>
    <xf numFmtId="43" fontId="0" fillId="8" borderId="40" xfId="1" applyFont="1" applyFill="1" applyBorder="1"/>
    <xf numFmtId="43" fontId="0" fillId="8" borderId="36" xfId="1" applyFont="1" applyFill="1" applyBorder="1"/>
    <xf numFmtId="43" fontId="0" fillId="8" borderId="41" xfId="1" applyFont="1" applyFill="1" applyBorder="1"/>
    <xf numFmtId="43" fontId="0" fillId="0" borderId="40" xfId="1" applyFont="1" applyBorder="1"/>
    <xf numFmtId="43" fontId="0" fillId="0" borderId="36" xfId="1" applyFont="1" applyBorder="1"/>
    <xf numFmtId="43" fontId="0" fillId="0" borderId="41" xfId="1" applyFont="1" applyBorder="1"/>
    <xf numFmtId="43" fontId="0" fillId="0" borderId="42" xfId="1" applyFont="1" applyBorder="1"/>
    <xf numFmtId="43" fontId="0" fillId="0" borderId="43" xfId="1" applyFont="1" applyBorder="1"/>
    <xf numFmtId="43" fontId="0" fillId="0" borderId="44" xfId="1" applyFont="1" applyBorder="1"/>
    <xf numFmtId="43" fontId="0" fillId="8" borderId="36" xfId="0" applyNumberFormat="1" applyFill="1" applyBorder="1"/>
    <xf numFmtId="43" fontId="0" fillId="13" borderId="36" xfId="1" applyFont="1" applyFill="1" applyBorder="1"/>
    <xf numFmtId="43" fontId="0" fillId="13" borderId="36" xfId="0" applyNumberFormat="1" applyFill="1" applyBorder="1"/>
    <xf numFmtId="164" fontId="0" fillId="13" borderId="46" xfId="1" applyNumberFormat="1" applyFont="1" applyFill="1" applyBorder="1" applyAlignment="1">
      <alignment horizontal="center"/>
    </xf>
    <xf numFmtId="17" fontId="2" fillId="13" borderId="49" xfId="0" applyNumberFormat="1" applyFont="1" applyFill="1" applyBorder="1" applyAlignment="1">
      <alignment horizontal="center"/>
    </xf>
    <xf numFmtId="17" fontId="2" fillId="8" borderId="50" xfId="0" applyNumberFormat="1" applyFont="1" applyFill="1" applyBorder="1" applyAlignment="1">
      <alignment horizontal="center"/>
    </xf>
    <xf numFmtId="43" fontId="0" fillId="13" borderId="41" xfId="0" applyNumberFormat="1" applyFill="1" applyBorder="1"/>
    <xf numFmtId="164" fontId="0" fillId="8" borderId="47" xfId="1" applyNumberFormat="1" applyFont="1" applyFill="1" applyBorder="1" applyAlignment="1">
      <alignment horizontal="center"/>
    </xf>
    <xf numFmtId="43" fontId="0" fillId="8" borderId="43" xfId="1" applyFont="1" applyFill="1" applyBorder="1"/>
    <xf numFmtId="43" fontId="0" fillId="8" borderId="44" xfId="0" applyNumberFormat="1" applyFill="1" applyBorder="1"/>
    <xf numFmtId="43" fontId="0" fillId="8" borderId="54" xfId="1" applyFont="1" applyFill="1" applyBorder="1"/>
    <xf numFmtId="43" fontId="0" fillId="13" borderId="54" xfId="1" applyFont="1" applyFill="1" applyBorder="1"/>
    <xf numFmtId="43" fontId="0" fillId="8" borderId="55" xfId="1" applyFont="1" applyFill="1" applyBorder="1"/>
    <xf numFmtId="43" fontId="0" fillId="13" borderId="49" xfId="0" applyNumberFormat="1" applyFill="1" applyBorder="1"/>
    <xf numFmtId="43" fontId="0" fillId="8" borderId="50" xfId="0" applyNumberFormat="1" applyFill="1" applyBorder="1"/>
    <xf numFmtId="43" fontId="0" fillId="8" borderId="43" xfId="0" applyNumberFormat="1" applyFill="1" applyBorder="1"/>
    <xf numFmtId="43" fontId="0" fillId="8" borderId="46" xfId="1" applyFont="1" applyFill="1" applyBorder="1"/>
    <xf numFmtId="43" fontId="0" fillId="13" borderId="46" xfId="1" applyFont="1" applyFill="1" applyBorder="1"/>
    <xf numFmtId="43" fontId="0" fillId="8" borderId="47" xfId="1" applyFont="1" applyFill="1" applyBorder="1"/>
    <xf numFmtId="43" fontId="0" fillId="8" borderId="46" xfId="0" applyNumberFormat="1" applyFill="1" applyBorder="1"/>
    <xf numFmtId="43" fontId="0" fillId="13" borderId="46" xfId="0" applyNumberFormat="1" applyFill="1" applyBorder="1"/>
    <xf numFmtId="0" fontId="16" fillId="4" borderId="2" xfId="0" applyFont="1" applyFill="1" applyBorder="1"/>
    <xf numFmtId="43" fontId="0" fillId="13" borderId="49" xfId="1" applyFont="1" applyFill="1" applyBorder="1"/>
    <xf numFmtId="43" fontId="0" fillId="8" borderId="50" xfId="1" applyFont="1" applyFill="1" applyBorder="1"/>
    <xf numFmtId="43" fontId="0" fillId="8" borderId="40" xfId="0" applyNumberFormat="1" applyFill="1" applyBorder="1"/>
    <xf numFmtId="43" fontId="0" fillId="13" borderId="40" xfId="0" applyNumberFormat="1" applyFill="1" applyBorder="1"/>
    <xf numFmtId="43" fontId="0" fillId="8" borderId="42" xfId="0" applyNumberFormat="1" applyFill="1" applyBorder="1"/>
    <xf numFmtId="43" fontId="2" fillId="13" borderId="58" xfId="0" applyNumberFormat="1" applyFont="1" applyFill="1" applyBorder="1"/>
    <xf numFmtId="43" fontId="2" fillId="8" borderId="59" xfId="0" applyNumberFormat="1" applyFont="1" applyFill="1" applyBorder="1"/>
    <xf numFmtId="0" fontId="16" fillId="4" borderId="36" xfId="0" applyFont="1" applyFill="1" applyBorder="1" applyAlignment="1">
      <alignment horizontal="center"/>
    </xf>
    <xf numFmtId="0" fontId="16" fillId="4" borderId="46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 wrapText="1"/>
    </xf>
    <xf numFmtId="43" fontId="2" fillId="13" borderId="49" xfId="0" applyNumberFormat="1" applyFont="1" applyFill="1" applyBorder="1"/>
    <xf numFmtId="43" fontId="2" fillId="8" borderId="50" xfId="0" applyNumberFormat="1" applyFont="1" applyFill="1" applyBorder="1"/>
    <xf numFmtId="0" fontId="18" fillId="4" borderId="2" xfId="0" applyFont="1" applyFill="1" applyBorder="1"/>
    <xf numFmtId="43" fontId="0" fillId="13" borderId="40" xfId="1" applyFont="1" applyFill="1" applyBorder="1"/>
    <xf numFmtId="43" fontId="0" fillId="8" borderId="42" xfId="1" applyFont="1" applyFill="1" applyBorder="1"/>
    <xf numFmtId="0" fontId="16" fillId="4" borderId="40" xfId="0" applyFont="1" applyFill="1" applyBorder="1" applyAlignment="1">
      <alignment horizontal="center"/>
    </xf>
    <xf numFmtId="0" fontId="16" fillId="4" borderId="41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43" fontId="0" fillId="13" borderId="60" xfId="1" applyFont="1" applyFill="1" applyBorder="1"/>
    <xf numFmtId="43" fontId="0" fillId="13" borderId="61" xfId="0" applyNumberFormat="1" applyFill="1" applyBorder="1"/>
    <xf numFmtId="43" fontId="0" fillId="13" borderId="62" xfId="0" applyNumberFormat="1" applyFill="1" applyBorder="1"/>
    <xf numFmtId="43" fontId="0" fillId="13" borderId="60" xfId="0" applyNumberFormat="1" applyFill="1" applyBorder="1"/>
    <xf numFmtId="43" fontId="2" fillId="13" borderId="57" xfId="0" applyNumberFormat="1" applyFont="1" applyFill="1" applyBorder="1"/>
    <xf numFmtId="0" fontId="16" fillId="4" borderId="4" xfId="0" applyFont="1" applyFill="1" applyBorder="1" applyAlignment="1">
      <alignment horizontal="center"/>
    </xf>
    <xf numFmtId="0" fontId="16" fillId="4" borderId="42" xfId="0" applyFont="1" applyFill="1" applyBorder="1" applyAlignment="1">
      <alignment horizontal="center" wrapText="1"/>
    </xf>
    <xf numFmtId="0" fontId="16" fillId="4" borderId="43" xfId="0" applyFont="1" applyFill="1" applyBorder="1" applyAlignment="1">
      <alignment horizontal="center" wrapText="1"/>
    </xf>
    <xf numFmtId="0" fontId="16" fillId="4" borderId="44" xfId="0" applyFont="1" applyFill="1" applyBorder="1" applyAlignment="1">
      <alignment horizontal="center" wrapText="1"/>
    </xf>
    <xf numFmtId="0" fontId="16" fillId="4" borderId="42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6" fillId="4" borderId="44" xfId="0" applyFont="1" applyFill="1" applyBorder="1" applyAlignment="1">
      <alignment horizontal="center"/>
    </xf>
    <xf numFmtId="43" fontId="0" fillId="8" borderId="57" xfId="1" applyFont="1" applyFill="1" applyBorder="1"/>
    <xf numFmtId="43" fontId="2" fillId="8" borderId="57" xfId="0" applyNumberFormat="1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43" fontId="2" fillId="8" borderId="63" xfId="0" applyNumberFormat="1" applyFont="1" applyFill="1" applyBorder="1"/>
    <xf numFmtId="0" fontId="16" fillId="4" borderId="19" xfId="0" applyFont="1" applyFill="1" applyBorder="1" applyAlignment="1">
      <alignment horizontal="center" wrapText="1"/>
    </xf>
    <xf numFmtId="43" fontId="0" fillId="8" borderId="60" xfId="0" applyNumberFormat="1" applyFill="1" applyBorder="1"/>
    <xf numFmtId="43" fontId="0" fillId="8" borderId="61" xfId="0" applyNumberFormat="1" applyFill="1" applyBorder="1"/>
    <xf numFmtId="43" fontId="0" fillId="8" borderId="62" xfId="0" applyNumberFormat="1" applyFill="1" applyBorder="1"/>
    <xf numFmtId="0" fontId="16" fillId="4" borderId="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2" fillId="8" borderId="57" xfId="0" applyFont="1" applyFill="1" applyBorder="1" applyAlignment="1">
      <alignment horizontal="center"/>
    </xf>
    <xf numFmtId="43" fontId="0" fillId="8" borderId="60" xfId="1" applyFont="1" applyFill="1" applyBorder="1"/>
    <xf numFmtId="43" fontId="0" fillId="8" borderId="61" xfId="1" applyFont="1" applyFill="1" applyBorder="1"/>
    <xf numFmtId="43" fontId="0" fillId="8" borderId="62" xfId="1" applyFont="1" applyFill="1" applyBorder="1"/>
    <xf numFmtId="17" fontId="2" fillId="8" borderId="57" xfId="0" applyNumberFormat="1" applyFont="1" applyFill="1" applyBorder="1" applyAlignment="1">
      <alignment horizontal="center"/>
    </xf>
    <xf numFmtId="164" fontId="0" fillId="8" borderId="64" xfId="1" applyNumberFormat="1" applyFont="1" applyFill="1" applyBorder="1" applyAlignment="1">
      <alignment horizontal="center"/>
    </xf>
    <xf numFmtId="43" fontId="0" fillId="8" borderId="65" xfId="1" applyFont="1" applyFill="1" applyBorder="1"/>
    <xf numFmtId="43" fontId="0" fillId="8" borderId="57" xfId="0" applyNumberFormat="1" applyFill="1" applyBorder="1"/>
    <xf numFmtId="0" fontId="16" fillId="4" borderId="1" xfId="0" applyFont="1" applyFill="1" applyBorder="1" applyAlignment="1">
      <alignment horizontal="center" vertical="center"/>
    </xf>
    <xf numFmtId="0" fontId="16" fillId="4" borderId="66" xfId="0" applyFont="1" applyFill="1" applyBorder="1" applyAlignment="1">
      <alignment horizontal="center" vertical="center" wrapText="1"/>
    </xf>
    <xf numFmtId="0" fontId="16" fillId="4" borderId="67" xfId="0" applyFont="1" applyFill="1" applyBorder="1" applyAlignment="1">
      <alignment horizontal="center" vertical="center"/>
    </xf>
    <xf numFmtId="43" fontId="0" fillId="8" borderId="44" xfId="1" applyFont="1" applyFill="1" applyBorder="1"/>
    <xf numFmtId="43" fontId="0" fillId="8" borderId="52" xfId="1" applyFont="1" applyFill="1" applyBorder="1"/>
    <xf numFmtId="43" fontId="0" fillId="8" borderId="56" xfId="1" applyFont="1" applyFill="1" applyBorder="1"/>
    <xf numFmtId="0" fontId="16" fillId="4" borderId="5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43" fontId="0" fillId="8" borderId="51" xfId="1" applyFont="1" applyFill="1" applyBorder="1"/>
    <xf numFmtId="0" fontId="2" fillId="13" borderId="49" xfId="0" applyFont="1" applyFill="1" applyBorder="1" applyAlignment="1">
      <alignment horizontal="center"/>
    </xf>
    <xf numFmtId="43" fontId="0" fillId="13" borderId="41" xfId="1" applyFont="1" applyFill="1" applyBorder="1"/>
    <xf numFmtId="43" fontId="0" fillId="13" borderId="42" xfId="1" applyFont="1" applyFill="1" applyBorder="1"/>
    <xf numFmtId="43" fontId="0" fillId="13" borderId="43" xfId="1" applyFont="1" applyFill="1" applyBorder="1"/>
    <xf numFmtId="43" fontId="0" fillId="13" borderId="55" xfId="1" applyFont="1" applyFill="1" applyBorder="1"/>
    <xf numFmtId="17" fontId="2" fillId="13" borderId="57" xfId="0" applyNumberFormat="1" applyFont="1" applyFill="1" applyBorder="1" applyAlignment="1">
      <alignment horizontal="center"/>
    </xf>
    <xf numFmtId="10" fontId="0" fillId="0" borderId="0" xfId="2" applyNumberFormat="1" applyFont="1" applyAlignment="1">
      <alignment wrapText="1"/>
    </xf>
    <xf numFmtId="9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2" fontId="0" fillId="0" borderId="0" xfId="0" applyNumberFormat="1" applyAlignment="1">
      <alignment wrapText="1"/>
    </xf>
    <xf numFmtId="43" fontId="18" fillId="11" borderId="0" xfId="4" applyNumberFormat="1"/>
    <xf numFmtId="43" fontId="18" fillId="11" borderId="7" xfId="4" applyNumberFormat="1" applyBorder="1"/>
    <xf numFmtId="2" fontId="0" fillId="8" borderId="41" xfId="0" applyNumberFormat="1" applyFill="1" applyBorder="1"/>
    <xf numFmtId="17" fontId="2" fillId="13" borderId="40" xfId="0" applyNumberFormat="1" applyFont="1" applyFill="1" applyBorder="1" applyAlignment="1">
      <alignment horizontal="center"/>
    </xf>
    <xf numFmtId="2" fontId="0" fillId="13" borderId="41" xfId="0" applyNumberFormat="1" applyFill="1" applyBorder="1"/>
    <xf numFmtId="17" fontId="2" fillId="8" borderId="42" xfId="0" applyNumberFormat="1" applyFont="1" applyFill="1" applyBorder="1" applyAlignment="1">
      <alignment horizontal="center"/>
    </xf>
    <xf numFmtId="2" fontId="0" fillId="8" borderId="44" xfId="0" applyNumberFormat="1" applyFill="1" applyBorder="1"/>
    <xf numFmtId="17" fontId="2" fillId="8" borderId="60" xfId="0" applyNumberFormat="1" applyFont="1" applyFill="1" applyBorder="1" applyAlignment="1">
      <alignment horizontal="center"/>
    </xf>
    <xf numFmtId="2" fontId="0" fillId="8" borderId="62" xfId="0" applyNumberFormat="1" applyFill="1" applyBorder="1"/>
    <xf numFmtId="9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2" fillId="0" borderId="11" xfId="0" applyFont="1" applyBorder="1"/>
    <xf numFmtId="0" fontId="0" fillId="4" borderId="37" xfId="0" applyFill="1" applyBorder="1"/>
    <xf numFmtId="0" fontId="16" fillId="4" borderId="42" xfId="0" applyFont="1" applyFill="1" applyBorder="1" applyAlignment="1">
      <alignment wrapText="1"/>
    </xf>
    <xf numFmtId="0" fontId="0" fillId="4" borderId="45" xfId="0" applyFill="1" applyBorder="1"/>
    <xf numFmtId="0" fontId="16" fillId="4" borderId="47" xfId="0" applyFont="1" applyFill="1" applyBorder="1" applyAlignment="1">
      <alignment wrapText="1"/>
    </xf>
    <xf numFmtId="43" fontId="0" fillId="8" borderId="65" xfId="0" applyNumberFormat="1" applyFill="1" applyBorder="1"/>
    <xf numFmtId="43" fontId="0" fillId="8" borderId="54" xfId="0" applyNumberFormat="1" applyFill="1" applyBorder="1"/>
    <xf numFmtId="0" fontId="16" fillId="4" borderId="70" xfId="0" applyFont="1" applyFill="1" applyBorder="1" applyAlignment="1">
      <alignment horizontal="center"/>
    </xf>
    <xf numFmtId="43" fontId="0" fillId="8" borderId="71" xfId="0" applyNumberFormat="1" applyFill="1" applyBorder="1"/>
    <xf numFmtId="43" fontId="0" fillId="8" borderId="72" xfId="0" applyNumberFormat="1" applyFill="1" applyBorder="1"/>
    <xf numFmtId="43" fontId="0" fillId="8" borderId="63" xfId="0" applyNumberFormat="1" applyFill="1" applyBorder="1"/>
    <xf numFmtId="43" fontId="0" fillId="8" borderId="64" xfId="0" applyNumberFormat="1" applyFill="1" applyBorder="1"/>
    <xf numFmtId="43" fontId="0" fillId="8" borderId="58" xfId="0" applyNumberFormat="1" applyFill="1" applyBorder="1"/>
    <xf numFmtId="43" fontId="0" fillId="13" borderId="54" xfId="0" applyNumberFormat="1" applyFill="1" applyBorder="1"/>
    <xf numFmtId="43" fontId="0" fillId="13" borderId="72" xfId="0" applyNumberFormat="1" applyFill="1" applyBorder="1"/>
    <xf numFmtId="43" fontId="0" fillId="13" borderId="58" xfId="0" applyNumberFormat="1" applyFill="1" applyBorder="1"/>
    <xf numFmtId="43" fontId="0" fillId="13" borderId="42" xfId="0" applyNumberFormat="1" applyFill="1" applyBorder="1"/>
    <xf numFmtId="43" fontId="0" fillId="13" borderId="43" xfId="0" applyNumberFormat="1" applyFill="1" applyBorder="1"/>
    <xf numFmtId="43" fontId="0" fillId="13" borderId="55" xfId="0" applyNumberFormat="1" applyFill="1" applyBorder="1"/>
    <xf numFmtId="43" fontId="0" fillId="13" borderId="73" xfId="0" applyNumberFormat="1" applyFill="1" applyBorder="1"/>
    <xf numFmtId="43" fontId="0" fillId="13" borderId="59" xfId="0" applyNumberFormat="1" applyFill="1" applyBorder="1"/>
    <xf numFmtId="43" fontId="0" fillId="13" borderId="47" xfId="0" applyNumberFormat="1" applyFill="1" applyBorder="1"/>
    <xf numFmtId="0" fontId="18" fillId="4" borderId="3" xfId="0" applyFont="1" applyFill="1" applyBorder="1" applyAlignment="1">
      <alignment horizontal="center"/>
    </xf>
    <xf numFmtId="0" fontId="2" fillId="13" borderId="50" xfId="0" applyFon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43" fontId="18" fillId="11" borderId="9" xfId="4" applyNumberFormat="1" applyBorder="1"/>
    <xf numFmtId="43" fontId="18" fillId="11" borderId="10" xfId="4" applyNumberFormat="1" applyBorder="1"/>
    <xf numFmtId="0" fontId="18" fillId="4" borderId="48" xfId="0" applyFont="1" applyFill="1" applyBorder="1" applyAlignment="1">
      <alignment horizontal="center"/>
    </xf>
    <xf numFmtId="2" fontId="0" fillId="13" borderId="44" xfId="0" applyNumberFormat="1" applyFill="1" applyBorder="1"/>
    <xf numFmtId="9" fontId="0" fillId="0" borderId="0" xfId="0" applyNumberFormat="1" applyAlignment="1">
      <alignment horizontal="center"/>
    </xf>
    <xf numFmtId="43" fontId="18" fillId="11" borderId="0" xfId="4" applyNumberFormat="1" applyAlignment="1">
      <alignment horizontal="right" indent="1"/>
    </xf>
    <xf numFmtId="43" fontId="18" fillId="11" borderId="7" xfId="4" applyNumberFormat="1" applyBorder="1" applyAlignment="1">
      <alignment horizontal="right" indent="1"/>
    </xf>
    <xf numFmtId="0" fontId="16" fillId="4" borderId="38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 wrapText="1"/>
    </xf>
    <xf numFmtId="0" fontId="16" fillId="4" borderId="68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wrapText="1"/>
    </xf>
    <xf numFmtId="10" fontId="0" fillId="0" borderId="36" xfId="2" applyNumberFormat="1" applyFont="1" applyBorder="1"/>
    <xf numFmtId="0" fontId="16" fillId="4" borderId="37" xfId="0" applyFont="1" applyFill="1" applyBorder="1" applyAlignment="1">
      <alignment horizontal="center" wrapText="1"/>
    </xf>
    <xf numFmtId="0" fontId="16" fillId="4" borderId="38" xfId="0" applyFont="1" applyFill="1" applyBorder="1" applyAlignment="1">
      <alignment horizontal="center" wrapText="1"/>
    </xf>
    <xf numFmtId="10" fontId="0" fillId="0" borderId="43" xfId="2" applyNumberFormat="1" applyFont="1" applyBorder="1"/>
    <xf numFmtId="0" fontId="16" fillId="4" borderId="17" xfId="0" applyFont="1" applyFill="1" applyBorder="1"/>
    <xf numFmtId="0" fontId="0" fillId="4" borderId="18" xfId="0" applyFill="1" applyBorder="1"/>
    <xf numFmtId="10" fontId="0" fillId="5" borderId="36" xfId="2" applyNumberFormat="1" applyFont="1" applyFill="1" applyBorder="1" applyAlignment="1">
      <alignment horizontal="center"/>
    </xf>
    <xf numFmtId="10" fontId="0" fillId="0" borderId="41" xfId="2" applyNumberFormat="1" applyFont="1" applyBorder="1"/>
    <xf numFmtId="10" fontId="18" fillId="11" borderId="41" xfId="4" applyNumberFormat="1" applyBorder="1"/>
    <xf numFmtId="10" fontId="0" fillId="5" borderId="43" xfId="2" applyNumberFormat="1" applyFont="1" applyFill="1" applyBorder="1" applyAlignment="1">
      <alignment horizontal="center"/>
    </xf>
    <xf numFmtId="10" fontId="0" fillId="5" borderId="44" xfId="2" applyNumberFormat="1" applyFont="1" applyFill="1" applyBorder="1" applyAlignment="1">
      <alignment horizontal="center"/>
    </xf>
    <xf numFmtId="0" fontId="16" fillId="4" borderId="18" xfId="0" applyFont="1" applyFill="1" applyBorder="1"/>
    <xf numFmtId="0" fontId="16" fillId="4" borderId="19" xfId="0" applyFont="1" applyFill="1" applyBorder="1"/>
    <xf numFmtId="0" fontId="16" fillId="4" borderId="74" xfId="0" applyFont="1" applyFill="1" applyBorder="1" applyAlignment="1">
      <alignment horizontal="center"/>
    </xf>
    <xf numFmtId="10" fontId="0" fillId="0" borderId="38" xfId="2" applyNumberFormat="1" applyFont="1" applyBorder="1"/>
    <xf numFmtId="10" fontId="0" fillId="0" borderId="39" xfId="2" applyNumberFormat="1" applyFont="1" applyBorder="1"/>
    <xf numFmtId="0" fontId="16" fillId="4" borderId="4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0" fontId="0" fillId="0" borderId="37" xfId="2" applyNumberFormat="1" applyFont="1" applyBorder="1"/>
    <xf numFmtId="10" fontId="0" fillId="5" borderId="40" xfId="2" applyNumberFormat="1" applyFont="1" applyFill="1" applyBorder="1" applyAlignment="1">
      <alignment horizontal="center"/>
    </xf>
    <xf numFmtId="10" fontId="0" fillId="5" borderId="41" xfId="2" applyNumberFormat="1" applyFont="1" applyFill="1" applyBorder="1" applyAlignment="1">
      <alignment horizontal="center"/>
    </xf>
    <xf numFmtId="10" fontId="0" fillId="0" borderId="40" xfId="2" applyNumberFormat="1" applyFont="1" applyBorder="1"/>
    <xf numFmtId="10" fontId="0" fillId="0" borderId="42" xfId="2" applyNumberFormat="1" applyFont="1" applyBorder="1"/>
    <xf numFmtId="10" fontId="0" fillId="0" borderId="44" xfId="2" applyNumberFormat="1" applyFont="1" applyBorder="1"/>
    <xf numFmtId="10" fontId="0" fillId="5" borderId="51" xfId="2" applyNumberFormat="1" applyFont="1" applyFill="1" applyBorder="1" applyAlignment="1">
      <alignment horizontal="center"/>
    </xf>
    <xf numFmtId="10" fontId="0" fillId="5" borderId="52" xfId="2" applyNumberFormat="1" applyFont="1" applyFill="1" applyBorder="1" applyAlignment="1">
      <alignment horizontal="center"/>
    </xf>
    <xf numFmtId="10" fontId="0" fillId="5" borderId="76" xfId="2" applyNumberFormat="1" applyFont="1" applyFill="1" applyBorder="1" applyAlignment="1">
      <alignment horizontal="center"/>
    </xf>
    <xf numFmtId="0" fontId="16" fillId="4" borderId="3" xfId="0" applyFont="1" applyFill="1" applyBorder="1"/>
    <xf numFmtId="0" fontId="16" fillId="4" borderId="75" xfId="0" applyFont="1" applyFill="1" applyBorder="1" applyAlignment="1">
      <alignment horizontal="center"/>
    </xf>
    <xf numFmtId="10" fontId="18" fillId="11" borderId="44" xfId="4" applyNumberFormat="1" applyBorder="1"/>
    <xf numFmtId="10" fontId="0" fillId="5" borderId="42" xfId="2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 wrapText="1"/>
    </xf>
    <xf numFmtId="0" fontId="16" fillId="4" borderId="20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4" borderId="77" xfId="0" applyFont="1" applyFill="1" applyBorder="1" applyAlignment="1">
      <alignment horizontal="center" wrapText="1"/>
    </xf>
    <xf numFmtId="0" fontId="16" fillId="4" borderId="78" xfId="0" applyFont="1" applyFill="1" applyBorder="1" applyAlignment="1">
      <alignment horizontal="center" wrapText="1"/>
    </xf>
    <xf numFmtId="0" fontId="16" fillId="4" borderId="79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wrapText="1"/>
    </xf>
    <xf numFmtId="0" fontId="16" fillId="4" borderId="12" xfId="0" applyFont="1" applyFill="1" applyBorder="1" applyAlignment="1">
      <alignment horizontal="center" wrapText="1"/>
    </xf>
    <xf numFmtId="0" fontId="16" fillId="4" borderId="69" xfId="0" applyFont="1" applyFill="1" applyBorder="1"/>
    <xf numFmtId="166" fontId="1" fillId="14" borderId="0" xfId="3" applyNumberFormat="1" applyFill="1"/>
    <xf numFmtId="44" fontId="2" fillId="14" borderId="0" xfId="3" applyFont="1" applyFill="1"/>
    <xf numFmtId="0" fontId="16" fillId="4" borderId="60" xfId="0" applyFont="1" applyFill="1" applyBorder="1" applyAlignment="1">
      <alignment horizontal="center" wrapText="1"/>
    </xf>
    <xf numFmtId="0" fontId="16" fillId="4" borderId="61" xfId="0" applyFont="1" applyFill="1" applyBorder="1" applyAlignment="1">
      <alignment horizontal="center" wrapText="1"/>
    </xf>
    <xf numFmtId="0" fontId="16" fillId="4" borderId="65" xfId="0" applyFont="1" applyFill="1" applyBorder="1" applyAlignment="1">
      <alignment horizontal="center" wrapText="1"/>
    </xf>
    <xf numFmtId="0" fontId="0" fillId="4" borderId="13" xfId="0" applyFill="1" applyBorder="1"/>
    <xf numFmtId="0" fontId="19" fillId="0" borderId="0" xfId="5"/>
    <xf numFmtId="0" fontId="0" fillId="13" borderId="0" xfId="0" applyFill="1"/>
    <xf numFmtId="44" fontId="20" fillId="0" borderId="36" xfId="3" applyFont="1" applyBorder="1"/>
    <xf numFmtId="175" fontId="20" fillId="0" borderId="36" xfId="2" applyNumberFormat="1" applyFont="1" applyBorder="1"/>
    <xf numFmtId="166" fontId="20" fillId="0" borderId="36" xfId="3" applyNumberFormat="1" applyFont="1" applyBorder="1"/>
    <xf numFmtId="164" fontId="20" fillId="0" borderId="36" xfId="4" applyNumberFormat="1" applyFont="1" applyFill="1" applyBorder="1"/>
    <xf numFmtId="174" fontId="20" fillId="0" borderId="36" xfId="4" applyNumberFormat="1" applyFont="1" applyFill="1" applyBorder="1"/>
    <xf numFmtId="0" fontId="20" fillId="0" borderId="54" xfId="0" applyFont="1" applyBorder="1"/>
    <xf numFmtId="175" fontId="20" fillId="0" borderId="36" xfId="4" applyNumberFormat="1" applyFont="1" applyFill="1" applyBorder="1"/>
    <xf numFmtId="166" fontId="20" fillId="0" borderId="36" xfId="4" applyNumberFormat="1" applyFont="1" applyFill="1" applyBorder="1"/>
    <xf numFmtId="164" fontId="20" fillId="0" borderId="36" xfId="1" applyNumberFormat="1" applyFont="1" applyBorder="1"/>
    <xf numFmtId="174" fontId="20" fillId="0" borderId="36" xfId="3" applyNumberFormat="1" applyFont="1" applyBorder="1"/>
    <xf numFmtId="44" fontId="20" fillId="0" borderId="36" xfId="4" applyNumberFormat="1" applyFont="1" applyFill="1" applyBorder="1"/>
    <xf numFmtId="0" fontId="20" fillId="0" borderId="40" xfId="0" applyFont="1" applyBorder="1"/>
    <xf numFmtId="0" fontId="20" fillId="0" borderId="42" xfId="0" applyFont="1" applyBorder="1"/>
    <xf numFmtId="44" fontId="20" fillId="0" borderId="43" xfId="3" applyFont="1" applyBorder="1"/>
    <xf numFmtId="175" fontId="20" fillId="0" borderId="43" xfId="2" applyNumberFormat="1" applyFont="1" applyBorder="1"/>
    <xf numFmtId="166" fontId="20" fillId="0" borderId="43" xfId="3" applyNumberFormat="1" applyFont="1" applyBorder="1"/>
    <xf numFmtId="164" fontId="20" fillId="0" borderId="43" xfId="1" applyNumberFormat="1" applyFont="1" applyBorder="1"/>
    <xf numFmtId="174" fontId="20" fillId="0" borderId="43" xfId="3" applyNumberFormat="1" applyFont="1" applyBorder="1"/>
    <xf numFmtId="0" fontId="20" fillId="0" borderId="55" xfId="0" applyFont="1" applyBorder="1"/>
    <xf numFmtId="0" fontId="20" fillId="0" borderId="41" xfId="0" applyFont="1" applyBorder="1"/>
    <xf numFmtId="0" fontId="20" fillId="0" borderId="44" xfId="0" applyFont="1" applyBorder="1"/>
    <xf numFmtId="44" fontId="20" fillId="0" borderId="49" xfId="3" applyFont="1" applyBorder="1"/>
    <xf numFmtId="44" fontId="20" fillId="0" borderId="50" xfId="3" applyFont="1" applyBorder="1"/>
    <xf numFmtId="44" fontId="18" fillId="11" borderId="50" xfId="4" applyNumberFormat="1" applyBorder="1"/>
    <xf numFmtId="44" fontId="20" fillId="0" borderId="50" xfId="4" applyNumberFormat="1" applyFont="1" applyFill="1" applyBorder="1"/>
    <xf numFmtId="44" fontId="18" fillId="11" borderId="49" xfId="4" applyNumberFormat="1" applyBorder="1"/>
    <xf numFmtId="44" fontId="20" fillId="0" borderId="49" xfId="4" applyNumberFormat="1" applyFont="1" applyFill="1" applyBorder="1"/>
    <xf numFmtId="44" fontId="0" fillId="0" borderId="0" xfId="3" applyFont="1" applyAlignment="1">
      <alignment wrapText="1"/>
    </xf>
    <xf numFmtId="174" fontId="0" fillId="0" borderId="0" xfId="3" applyNumberFormat="1" applyFont="1" applyAlignment="1">
      <alignment wrapText="1"/>
    </xf>
    <xf numFmtId="175" fontId="0" fillId="0" borderId="0" xfId="2" applyNumberFormat="1" applyFont="1"/>
    <xf numFmtId="166" fontId="2" fillId="0" borderId="0" xfId="0" applyNumberFormat="1" applyFont="1" applyAlignment="1">
      <alignment horizontal="left" indent="3"/>
    </xf>
    <xf numFmtId="0" fontId="20" fillId="0" borderId="36" xfId="0" applyFont="1" applyBorder="1"/>
    <xf numFmtId="9" fontId="20" fillId="0" borderId="36" xfId="0" applyNumberFormat="1" applyFont="1" applyBorder="1"/>
    <xf numFmtId="0" fontId="18" fillId="4" borderId="36" xfId="0" applyFont="1" applyFill="1" applyBorder="1" applyAlignment="1">
      <alignment wrapText="1"/>
    </xf>
    <xf numFmtId="0" fontId="18" fillId="4" borderId="36" xfId="0" applyFont="1" applyFill="1" applyBorder="1"/>
    <xf numFmtId="0" fontId="21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18" fillId="11" borderId="40" xfId="4" applyBorder="1"/>
    <xf numFmtId="44" fontId="18" fillId="11" borderId="36" xfId="4" applyNumberFormat="1" applyBorder="1"/>
    <xf numFmtId="175" fontId="18" fillId="11" borderId="36" xfId="4" applyNumberFormat="1" applyBorder="1"/>
    <xf numFmtId="166" fontId="18" fillId="11" borderId="36" xfId="4" applyNumberFormat="1" applyBorder="1"/>
    <xf numFmtId="164" fontId="18" fillId="11" borderId="36" xfId="4" applyNumberFormat="1" applyBorder="1"/>
    <xf numFmtId="174" fontId="18" fillId="11" borderId="36" xfId="4" applyNumberFormat="1" applyBorder="1"/>
    <xf numFmtId="0" fontId="18" fillId="11" borderId="41" xfId="4" applyBorder="1"/>
    <xf numFmtId="0" fontId="18" fillId="11" borderId="42" xfId="4" applyBorder="1"/>
    <xf numFmtId="44" fontId="18" fillId="11" borderId="43" xfId="4" applyNumberFormat="1" applyBorder="1"/>
    <xf numFmtId="175" fontId="18" fillId="11" borderId="43" xfId="4" applyNumberFormat="1" applyBorder="1"/>
    <xf numFmtId="166" fontId="18" fillId="11" borderId="43" xfId="4" applyNumberFormat="1" applyBorder="1"/>
    <xf numFmtId="164" fontId="18" fillId="11" borderId="43" xfId="4" applyNumberFormat="1" applyBorder="1"/>
    <xf numFmtId="174" fontId="18" fillId="11" borderId="43" xfId="4" applyNumberFormat="1" applyBorder="1"/>
    <xf numFmtId="0" fontId="18" fillId="11" borderId="44" xfId="4" applyBorder="1"/>
    <xf numFmtId="0" fontId="18" fillId="11" borderId="54" xfId="4" applyBorder="1"/>
    <xf numFmtId="170" fontId="0" fillId="8" borderId="61" xfId="0" applyNumberFormat="1" applyFill="1" applyBorder="1"/>
    <xf numFmtId="170" fontId="0" fillId="13" borderId="36" xfId="0" applyNumberFormat="1" applyFill="1" applyBorder="1"/>
    <xf numFmtId="170" fontId="0" fillId="8" borderId="43" xfId="0" applyNumberFormat="1" applyFill="1" applyBorder="1"/>
    <xf numFmtId="0" fontId="16" fillId="0" borderId="0" xfId="0" applyFont="1" applyAlignment="1">
      <alignment horizontal="center" wrapText="1"/>
    </xf>
    <xf numFmtId="0" fontId="16" fillId="0" borderId="0" xfId="0" applyFont="1"/>
    <xf numFmtId="0" fontId="13" fillId="8" borderId="11" xfId="0" applyFont="1" applyFill="1" applyBorder="1" applyAlignment="1">
      <alignment horizontal="center" vertical="top" wrapText="1"/>
    </xf>
    <xf numFmtId="0" fontId="13" fillId="8" borderId="14" xfId="0" applyFont="1" applyFill="1" applyBorder="1" applyAlignment="1">
      <alignment horizontal="center" vertical="top" wrapText="1"/>
    </xf>
    <xf numFmtId="0" fontId="13" fillId="8" borderId="15" xfId="0" applyFont="1" applyFill="1" applyBorder="1" applyAlignment="1">
      <alignment horizontal="center" vertical="top" wrapText="1"/>
    </xf>
    <xf numFmtId="0" fontId="16" fillId="4" borderId="2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4" borderId="80" xfId="0" applyFont="1" applyFill="1" applyBorder="1" applyAlignment="1">
      <alignment horizontal="center"/>
    </xf>
    <xf numFmtId="0" fontId="16" fillId="4" borderId="81" xfId="0" applyFont="1" applyFill="1" applyBorder="1" applyAlignment="1">
      <alignment horizontal="center"/>
    </xf>
    <xf numFmtId="0" fontId="16" fillId="4" borderId="8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/>
    </xf>
    <xf numFmtId="0" fontId="16" fillId="4" borderId="50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6" fillId="4" borderId="38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53" xfId="0" applyFont="1" applyFill="1" applyBorder="1" applyAlignment="1">
      <alignment horizontal="center"/>
    </xf>
    <xf numFmtId="0" fontId="16" fillId="4" borderId="45" xfId="0" applyFont="1" applyFill="1" applyBorder="1" applyAlignment="1">
      <alignment horizontal="center"/>
    </xf>
    <xf numFmtId="0" fontId="16" fillId="4" borderId="49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 wrapText="1"/>
    </xf>
    <xf numFmtId="0" fontId="16" fillId="4" borderId="44" xfId="0" applyFont="1" applyFill="1" applyBorder="1" applyAlignment="1">
      <alignment horizontal="center" wrapText="1"/>
    </xf>
    <xf numFmtId="0" fontId="16" fillId="4" borderId="69" xfId="0" applyFont="1" applyFill="1" applyBorder="1" applyAlignment="1">
      <alignment horizontal="center"/>
    </xf>
    <xf numFmtId="0" fontId="16" fillId="4" borderId="68" xfId="0" applyFont="1" applyFill="1" applyBorder="1" applyAlignment="1">
      <alignment horizontal="center"/>
    </xf>
    <xf numFmtId="164" fontId="16" fillId="4" borderId="38" xfId="1" applyNumberFormat="1" applyFont="1" applyFill="1" applyBorder="1" applyAlignment="1">
      <alignment horizontal="center"/>
    </xf>
    <xf numFmtId="164" fontId="16" fillId="4" borderId="39" xfId="1" applyNumberFormat="1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 wrapText="1"/>
    </xf>
    <xf numFmtId="0" fontId="16" fillId="4" borderId="21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wrapText="1"/>
    </xf>
    <xf numFmtId="0" fontId="16" fillId="4" borderId="50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Accent6" xfId="4" builtinId="49"/>
    <cellStyle name="Comma" xfId="1" builtinId="3"/>
    <cellStyle name="Currency" xfId="3" builtinId="4"/>
    <cellStyle name="Hyperlink" xfId="5" builtinId="8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7A81FF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Centralized</a:t>
            </a:r>
            <a:r>
              <a:rPr lang="en-US" baseline="0"/>
              <a:t> vs Distributed DC - Total Resources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Summary!$B$29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Summary!$C$28:$D$28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Summary!$C$29:$D$29</c:f>
              <c:numCache>
                <c:formatCode>_(* #,##0_);_(* \(#,##0\);_(* "-"??_);_(@_)</c:formatCode>
                <c:ptCount val="2"/>
                <c:pt idx="0">
                  <c:v>1357</c:v>
                </c:pt>
                <c:pt idx="1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9D45-99E3-C71304C5D28D}"/>
            </c:ext>
          </c:extLst>
        </c:ser>
        <c:ser>
          <c:idx val="1"/>
          <c:order val="1"/>
          <c:tx>
            <c:strRef>
              <c:f>Summary!$B$30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Summary!$C$28:$D$28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Summary!$C$30:$D$30</c:f>
              <c:numCache>
                <c:formatCode>_(* #,##0_);_(* \(#,##0\);_(* "-"??_);_(@_)</c:formatCode>
                <c:ptCount val="2"/>
                <c:pt idx="0">
                  <c:v>1098</c:v>
                </c:pt>
                <c:pt idx="1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D-9D45-99E3-C71304C5D28D}"/>
            </c:ext>
          </c:extLst>
        </c:ser>
        <c:ser>
          <c:idx val="2"/>
          <c:order val="2"/>
          <c:tx>
            <c:strRef>
              <c:f>Summary!$B$31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Summary!$C$28:$D$28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Summary!$C$31:$D$31</c:f>
              <c:numCache>
                <c:formatCode>_(* #,##0_);_(* \(#,##0\);_(* "-"??_);_(@_)</c:formatCode>
                <c:ptCount val="2"/>
                <c:pt idx="0">
                  <c:v>37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D-9D45-99E3-C71304C5D28D}"/>
            </c:ext>
          </c:extLst>
        </c:ser>
        <c:ser>
          <c:idx val="3"/>
          <c:order val="3"/>
          <c:tx>
            <c:strRef>
              <c:f>Summary!$B$32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Summary!$C$28:$D$28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Summary!$C$32:$D$32</c:f>
              <c:numCache>
                <c:formatCode>_(* #,##0_);_(* \(#,##0\);_(* "-"??_);_(@_)</c:formatCode>
                <c:ptCount val="2"/>
                <c:pt idx="0">
                  <c:v>252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D-9D45-99E3-C71304C5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322239"/>
        <c:axId val="1772873951"/>
      </c:barChart>
      <c:catAx>
        <c:axId val="12943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73951"/>
        <c:crosses val="autoZero"/>
        <c:auto val="1"/>
        <c:lblAlgn val="ctr"/>
        <c:lblOffset val="100"/>
        <c:noMultiLvlLbl val="0"/>
      </c:catAx>
      <c:valAx>
        <c:axId val="17728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2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002060">
                <a:alpha val="54000"/>
              </a:srgb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rgbClr val="002060"/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 Memory</a:t>
            </a:r>
            <a:r>
              <a:rPr lang="en-US" sz="1200" baseline="0"/>
              <a:t> (RAM) Needs (GB)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Memory!$V$5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Memory!$V$6:$V$8</c:f>
              <c:numCache>
                <c:formatCode>_(* #,##0.00_);_(* \(#,##0.00\);_(* "-"??_);_(@_)</c:formatCode>
                <c:ptCount val="3"/>
                <c:pt idx="0">
                  <c:v>22.537216799999996</c:v>
                </c:pt>
                <c:pt idx="1">
                  <c:v>53.406527999999994</c:v>
                </c:pt>
                <c:pt idx="2">
                  <c:v>94.948694399999994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854D-B9F3-AE6229607BDE}"/>
            </c:ext>
          </c:extLst>
        </c:ser>
        <c:ser>
          <c:idx val="1"/>
          <c:order val="1"/>
          <c:tx>
            <c:strRef>
              <c:f>Memory!$W$5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Memory!$W$6:$W$8</c:f>
              <c:numCache>
                <c:formatCode>_(* #,##0.00_);_(* \(#,##0.00\);_(* "-"??_);_(@_)</c:formatCode>
                <c:ptCount val="3"/>
                <c:pt idx="0">
                  <c:v>10.061257499999998</c:v>
                </c:pt>
                <c:pt idx="1">
                  <c:v>23.842199999999998</c:v>
                </c:pt>
                <c:pt idx="2">
                  <c:v>42.387809999999995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B-854D-B9F3-AE6229607BDE}"/>
            </c:ext>
          </c:extLst>
        </c:ser>
        <c:ser>
          <c:idx val="2"/>
          <c:order val="2"/>
          <c:tx>
            <c:strRef>
              <c:f>Memory!$X$5</c:f>
              <c:strCache>
                <c:ptCount val="1"/>
                <c:pt idx="0">
                  <c:v>Permission Requests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Memory!$X$6:$X$8</c:f>
              <c:numCache>
                <c:formatCode>_(* #,##0.00_);_(* \(#,##0.00\);_(* "-"??_);_(@_)</c:formatCode>
                <c:ptCount val="3"/>
                <c:pt idx="0">
                  <c:v>1.1179174999999999</c:v>
                </c:pt>
                <c:pt idx="1">
                  <c:v>2.6491333333333333</c:v>
                </c:pt>
                <c:pt idx="2">
                  <c:v>4.7097566666666664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B-854D-B9F3-AE62296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485312"/>
        <c:axId val="709760160"/>
        <c:axId val="0"/>
      </c:bar3DChart>
      <c:catAx>
        <c:axId val="711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60160"/>
        <c:crosses val="autoZero"/>
        <c:auto val="1"/>
        <c:lblAlgn val="ctr"/>
        <c:lblOffset val="100"/>
        <c:noMultiLvlLbl val="0"/>
      </c:catAx>
      <c:valAx>
        <c:axId val="709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Northeast - Total (CUM)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 DC'!$B$16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DC'!$C$16:$E$16</c:f>
              <c:numCache>
                <c:formatCode>0</c:formatCode>
                <c:ptCount val="3"/>
                <c:pt idx="0">
                  <c:v>210</c:v>
                </c:pt>
                <c:pt idx="1">
                  <c:v>497</c:v>
                </c:pt>
                <c:pt idx="2" formatCode="#,##0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B-BE42-94D5-7617666C3456}"/>
            </c:ext>
          </c:extLst>
        </c:ser>
        <c:ser>
          <c:idx val="1"/>
          <c:order val="1"/>
          <c:tx>
            <c:strRef>
              <c:f>'NE DC'!$B$17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DC'!$C$17:$E$17</c:f>
              <c:numCache>
                <c:formatCode>#,##0</c:formatCode>
                <c:ptCount val="3"/>
                <c:pt idx="0">
                  <c:v>178</c:v>
                </c:pt>
                <c:pt idx="1">
                  <c:v>419</c:v>
                </c:pt>
                <c:pt idx="2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B-BE42-94D5-7617666C3456}"/>
            </c:ext>
          </c:extLst>
        </c:ser>
        <c:ser>
          <c:idx val="2"/>
          <c:order val="2"/>
          <c:tx>
            <c:strRef>
              <c:f>'NE DC'!$B$18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DC'!$C$18:$E$18</c:f>
              <c:numCache>
                <c:formatCode>#,##0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B-BE42-94D5-7617666C3456}"/>
            </c:ext>
          </c:extLst>
        </c:ser>
        <c:ser>
          <c:idx val="3"/>
          <c:order val="3"/>
          <c:tx>
            <c:strRef>
              <c:f>'NE DC'!$B$19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DC'!$C$19:$E$19</c:f>
              <c:numCache>
                <c:formatCode>#,##0</c:formatCode>
                <c:ptCount val="3"/>
                <c:pt idx="0">
                  <c:v>39</c:v>
                </c:pt>
                <c:pt idx="1">
                  <c:v>93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B-BE42-94D5-7617666C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chemeClr val="tx1">
          <a:lumMod val="65000"/>
          <a:lumOff val="35000"/>
        </a:schemeClr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Northeast Region -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 DC'!$B$24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DC'!$C$24:$E$24</c:f>
              <c:numCache>
                <c:formatCode>_("$"* #,##0_);_("$"* \(#,##0\);_("$"* "-"??_);_(@_)</c:formatCode>
                <c:ptCount val="3"/>
                <c:pt idx="0">
                  <c:v>484100</c:v>
                </c:pt>
                <c:pt idx="1">
                  <c:v>673557</c:v>
                </c:pt>
                <c:pt idx="2">
                  <c:v>924187.32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1-6044-8933-970F1DB4B383}"/>
            </c:ext>
          </c:extLst>
        </c:ser>
        <c:ser>
          <c:idx val="1"/>
          <c:order val="1"/>
          <c:tx>
            <c:strRef>
              <c:f>'NE DC'!$B$25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DC'!$C$25:$E$25</c:f>
              <c:numCache>
                <c:formatCode>_("$"* #,##0_);_("$"* \(#,##0\);_("$"* "-"??_);_(@_)</c:formatCode>
                <c:ptCount val="3"/>
                <c:pt idx="0">
                  <c:v>1212000</c:v>
                </c:pt>
                <c:pt idx="1">
                  <c:v>1631000</c:v>
                </c:pt>
                <c:pt idx="2">
                  <c:v>2082000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1-6044-8933-970F1DB4B383}"/>
            </c:ext>
          </c:extLst>
        </c:ser>
        <c:ser>
          <c:idx val="2"/>
          <c:order val="2"/>
          <c:tx>
            <c:strRef>
              <c:f>'NE DC'!$B$26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DC'!$C$26:$E$26</c:f>
              <c:numCache>
                <c:formatCode>_("$"* #,##0_);_("$"* \(#,##0\);_("$"* "-"??_);_(@_)</c:formatCode>
                <c:ptCount val="3"/>
                <c:pt idx="0">
                  <c:v>185000</c:v>
                </c:pt>
                <c:pt idx="1">
                  <c:v>250000</c:v>
                </c:pt>
                <c:pt idx="2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1-6044-8933-970F1DB4B383}"/>
            </c:ext>
          </c:extLst>
        </c:ser>
        <c:ser>
          <c:idx val="3"/>
          <c:order val="3"/>
          <c:tx>
            <c:strRef>
              <c:f>'NE DC'!$B$29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DC'!$C$29:$E$29</c:f>
              <c:numCache>
                <c:formatCode>_("$"* #,##0_);_("$"* \(#,##0\);_("$"* "-"??_);_(@_)</c:formatCode>
                <c:ptCount val="3"/>
                <c:pt idx="0">
                  <c:v>64436.486399999994</c:v>
                </c:pt>
                <c:pt idx="1">
                  <c:v>152476.272</c:v>
                </c:pt>
                <c:pt idx="2">
                  <c:v>267194.49119999999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1-6044-8933-970F1DB4B383}"/>
            </c:ext>
          </c:extLst>
        </c:ser>
        <c:ser>
          <c:idx val="4"/>
          <c:order val="4"/>
          <c:tx>
            <c:strRef>
              <c:f>'NE DC'!$B$30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DC'!$C$30:$E$30</c:f>
              <c:numCache>
                <c:formatCode>_("$"* #,##0_);_("$"* \(#,##0\);_("$"* "-"??_);_(@_)</c:formatCode>
                <c:ptCount val="3"/>
                <c:pt idx="0">
                  <c:v>486196</c:v>
                </c:pt>
                <c:pt idx="1">
                  <c:v>500781.88</c:v>
                </c:pt>
                <c:pt idx="2">
                  <c:v>515805.33640000003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1-6044-8933-970F1DB4B383}"/>
            </c:ext>
          </c:extLst>
        </c:ser>
        <c:ser>
          <c:idx val="6"/>
          <c:order val="5"/>
          <c:tx>
            <c:strRef>
              <c:f>'NE DC'!$B$31</c:f>
              <c:strCache>
                <c:ptCount val="1"/>
                <c:pt idx="0">
                  <c:v>Capital Expenses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DC'!$C$31:$E$31</c:f>
              <c:numCache>
                <c:formatCode>_("$"* #,##0_);_("$"* \(#,##0\);_("$"* "-"??_);_(@_)</c:formatCode>
                <c:ptCount val="3"/>
                <c:pt idx="0">
                  <c:v>1595974.4842226028</c:v>
                </c:pt>
                <c:pt idx="1">
                  <c:v>2384543.2204263695</c:v>
                </c:pt>
                <c:pt idx="2">
                  <c:v>2785062.9307114724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1-6044-8933-970F1DB4B383}"/>
            </c:ext>
          </c:extLst>
        </c:ser>
        <c:ser>
          <c:idx val="5"/>
          <c:order val="6"/>
          <c:tx>
            <c:strRef>
              <c:f>'NE DC'!$B$32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'NE DC'!$C$32:$E$32</c:f>
              <c:numCache>
                <c:formatCode>_("$"* #,##0_);_("$"* \(#,##0\);_("$"* "-"??_);_(@_)</c:formatCode>
                <c:ptCount val="3"/>
                <c:pt idx="0">
                  <c:v>530037.62937305134</c:v>
                </c:pt>
                <c:pt idx="1">
                  <c:v>1595068.690332111</c:v>
                </c:pt>
                <c:pt idx="2">
                  <c:v>3032027.7875824096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1-6044-8933-970F1DB4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2900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Midwest - Total (CUM)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'MW DC'!$B$16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DC'!$C$16:$E$16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 formatCode="#,##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E-164E-B4BA-879493E35991}"/>
            </c:ext>
          </c:extLst>
        </c:ser>
        <c:ser>
          <c:idx val="1"/>
          <c:order val="1"/>
          <c:tx>
            <c:strRef>
              <c:f>'MW DC'!$B$17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DC'!$C$17:$E$17</c:f>
              <c:numCache>
                <c:formatCode>#,##0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E-164E-B4BA-879493E35991}"/>
            </c:ext>
          </c:extLst>
        </c:ser>
        <c:ser>
          <c:idx val="2"/>
          <c:order val="2"/>
          <c:tx>
            <c:strRef>
              <c:f>'MW DC'!$B$18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DC'!$C$18:$E$18</c:f>
              <c:numCache>
                <c:formatCode>#,##0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E-164E-B4BA-879493E35991}"/>
            </c:ext>
          </c:extLst>
        </c:ser>
        <c:ser>
          <c:idx val="3"/>
          <c:order val="3"/>
          <c:tx>
            <c:strRef>
              <c:f>'MW DC'!$B$19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DC'!$C$19:$E$19</c:f>
              <c:numCache>
                <c:formatCode>#,##0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E-164E-B4BA-879493E3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chemeClr val="tx1">
          <a:lumMod val="65000"/>
          <a:lumOff val="35000"/>
        </a:schemeClr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Midwest Region -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'MW DC'!$B$24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DC'!$C$24:$E$24</c:f>
              <c:numCache>
                <c:formatCode>_("$"* #,##0_);_("$"* \(#,##0\);_("$"* "-"??_);_(@_)</c:formatCode>
                <c:ptCount val="3"/>
                <c:pt idx="0">
                  <c:v>7050</c:v>
                </c:pt>
                <c:pt idx="1">
                  <c:v>7191</c:v>
                </c:pt>
                <c:pt idx="2">
                  <c:v>9779.76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8-9B4A-870F-D15ED704F73D}"/>
            </c:ext>
          </c:extLst>
        </c:ser>
        <c:ser>
          <c:idx val="1"/>
          <c:order val="1"/>
          <c:tx>
            <c:strRef>
              <c:f>'MW DC'!$B$25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DC'!$C$25:$E$25</c:f>
              <c:numCache>
                <c:formatCode>_("$"* #,##0_);_("$"* \(#,##0\);_("$"* "-"??_);_(@_)</c:formatCode>
                <c:ptCount val="3"/>
                <c:pt idx="0">
                  <c:v>49000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8-9B4A-870F-D15ED704F73D}"/>
            </c:ext>
          </c:extLst>
        </c:ser>
        <c:ser>
          <c:idx val="2"/>
          <c:order val="2"/>
          <c:tx>
            <c:strRef>
              <c:f>'MW DC'!$B$26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DC'!$C$26:$E$26</c:f>
              <c:numCache>
                <c:formatCode>_("$"* #,##0_);_("$"* \(#,##0\);_("$"* "-"??_);_(@_)</c:formatCode>
                <c:ptCount val="3"/>
                <c:pt idx="0">
                  <c:v>10000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8-9B4A-870F-D15ED704F73D}"/>
            </c:ext>
          </c:extLst>
        </c:ser>
        <c:ser>
          <c:idx val="3"/>
          <c:order val="3"/>
          <c:tx>
            <c:strRef>
              <c:f>'MW DC'!$B$29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DC'!$C$29:$E$29</c:f>
              <c:numCache>
                <c:formatCode>_("$"* #,##0_);_("$"* \(#,##0\);_("$"* "-"??_);_(@_)</c:formatCode>
                <c:ptCount val="3"/>
                <c:pt idx="0">
                  <c:v>1345.4355</c:v>
                </c:pt>
                <c:pt idx="1">
                  <c:v>2179.47975</c:v>
                </c:pt>
                <c:pt idx="2">
                  <c:v>3283.6132500000003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8-9B4A-870F-D15ED704F73D}"/>
            </c:ext>
          </c:extLst>
        </c:ser>
        <c:ser>
          <c:idx val="4"/>
          <c:order val="4"/>
          <c:tx>
            <c:strRef>
              <c:f>'MW DC'!$B$30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DC'!$C$30:$E$30</c:f>
              <c:numCache>
                <c:formatCode>_("$"* #,##0_);_("$"* \(#,##0\);_("$"* "-"??_);_(@_)</c:formatCode>
                <c:ptCount val="3"/>
                <c:pt idx="0">
                  <c:v>75950</c:v>
                </c:pt>
                <c:pt idx="1">
                  <c:v>78228.5</c:v>
                </c:pt>
                <c:pt idx="2">
                  <c:v>80575.354999999996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8-9B4A-870F-D15ED704F73D}"/>
            </c:ext>
          </c:extLst>
        </c:ser>
        <c:ser>
          <c:idx val="6"/>
          <c:order val="5"/>
          <c:tx>
            <c:strRef>
              <c:f>'MW DC'!$B$31</c:f>
              <c:strCache>
                <c:ptCount val="1"/>
                <c:pt idx="0">
                  <c:v>Capital Expenses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DC'!$C$31:$E$31</c:f>
              <c:numCache>
                <c:formatCode>_("$"* #,##0_);_("$"* \(#,##0\);_("$"* "-"??_);_(@_)</c:formatCode>
                <c:ptCount val="3"/>
                <c:pt idx="0">
                  <c:v>823612.86095605022</c:v>
                </c:pt>
                <c:pt idx="1">
                  <c:v>248548.5767451484</c:v>
                </c:pt>
                <c:pt idx="2">
                  <c:v>258090.37319206621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8-9B4A-870F-D15ED704F73D}"/>
            </c:ext>
          </c:extLst>
        </c:ser>
        <c:ser>
          <c:idx val="5"/>
          <c:order val="6"/>
          <c:tx>
            <c:strRef>
              <c:f>'MW DC'!$B$32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'MW DC'!$C$32:$E$32</c:f>
              <c:numCache>
                <c:formatCode>_("$"* #,##0_);_("$"* \(#,##0\);_("$"* "-"??_);_(@_)</c:formatCode>
                <c:ptCount val="3"/>
                <c:pt idx="0">
                  <c:v>26317.778574295036</c:v>
                </c:pt>
                <c:pt idx="1">
                  <c:v>56606.569954659142</c:v>
                </c:pt>
                <c:pt idx="2">
                  <c:v>85704.646573822596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8-9B4A-870F-D15ED704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2900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 - Total (CUM)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DC'!$B$16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DC'!$C$16:$E$16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 formatCode="#,##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BB4E-AC0C-674876F816BC}"/>
            </c:ext>
          </c:extLst>
        </c:ser>
        <c:ser>
          <c:idx val="1"/>
          <c:order val="1"/>
          <c:tx>
            <c:strRef>
              <c:f>'S DC'!$B$17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DC'!$C$17:$E$17</c:f>
              <c:numCache>
                <c:formatCode>#,##0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9-BB4E-AC0C-674876F816BC}"/>
            </c:ext>
          </c:extLst>
        </c:ser>
        <c:ser>
          <c:idx val="2"/>
          <c:order val="2"/>
          <c:tx>
            <c:strRef>
              <c:f>'S DC'!$B$18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DC'!$C$18:$E$18</c:f>
              <c:numCache>
                <c:formatCode>#,##0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9-BB4E-AC0C-674876F816BC}"/>
            </c:ext>
          </c:extLst>
        </c:ser>
        <c:ser>
          <c:idx val="3"/>
          <c:order val="3"/>
          <c:tx>
            <c:strRef>
              <c:f>'S DC'!$B$19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DC'!$C$19:$E$19</c:f>
              <c:numCache>
                <c:formatCode>#,##0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9-BB4E-AC0C-674876F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quantities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chemeClr val="tx1">
          <a:lumMod val="65000"/>
          <a:lumOff val="35000"/>
        </a:schemeClr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South Region -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DC'!$B$24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DC'!$C$24:$E$24</c:f>
              <c:numCache>
                <c:formatCode>_("$"* #,##0_);_("$"* \(#,##0\);_("$"* "-"??_);_(@_)</c:formatCode>
                <c:ptCount val="3"/>
                <c:pt idx="0">
                  <c:v>7050</c:v>
                </c:pt>
                <c:pt idx="1">
                  <c:v>7191</c:v>
                </c:pt>
                <c:pt idx="2">
                  <c:v>9779.76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8946-AF43-8DFB696565E0}"/>
            </c:ext>
          </c:extLst>
        </c:ser>
        <c:ser>
          <c:idx val="1"/>
          <c:order val="1"/>
          <c:tx>
            <c:strRef>
              <c:f>'S DC'!$B$25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DC'!$C$25:$E$25</c:f>
              <c:numCache>
                <c:formatCode>_("$"* #,##0_);_("$"* \(#,##0\);_("$"* "-"??_);_(@_)</c:formatCode>
                <c:ptCount val="3"/>
                <c:pt idx="0">
                  <c:v>49000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A-8946-AF43-8DFB696565E0}"/>
            </c:ext>
          </c:extLst>
        </c:ser>
        <c:ser>
          <c:idx val="2"/>
          <c:order val="2"/>
          <c:tx>
            <c:strRef>
              <c:f>'S DC'!$B$26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DC'!$C$26:$E$26</c:f>
              <c:numCache>
                <c:formatCode>_("$"* #,##0_);_("$"* \(#,##0\);_("$"* "-"??_);_(@_)</c:formatCode>
                <c:ptCount val="3"/>
                <c:pt idx="0">
                  <c:v>10000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A-8946-AF43-8DFB696565E0}"/>
            </c:ext>
          </c:extLst>
        </c:ser>
        <c:ser>
          <c:idx val="3"/>
          <c:order val="3"/>
          <c:tx>
            <c:strRef>
              <c:f>'S DC'!$B$29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DC'!$C$29:$E$29</c:f>
              <c:numCache>
                <c:formatCode>_("$"* #,##0_);_("$"* \(#,##0\);_("$"* "-"??_);_(@_)</c:formatCode>
                <c:ptCount val="3"/>
                <c:pt idx="0">
                  <c:v>953.44475</c:v>
                </c:pt>
                <c:pt idx="1">
                  <c:v>1544.4913750000001</c:v>
                </c:pt>
                <c:pt idx="2">
                  <c:v>2326.9371249999999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A-8946-AF43-8DFB696565E0}"/>
            </c:ext>
          </c:extLst>
        </c:ser>
        <c:ser>
          <c:idx val="4"/>
          <c:order val="4"/>
          <c:tx>
            <c:strRef>
              <c:f>'S DC'!$B$30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DC'!$C$30:$E$30</c:f>
              <c:numCache>
                <c:formatCode>_("$"* #,##0_);_("$"* \(#,##0\);_("$"* "-"??_);_(@_)</c:formatCode>
                <c:ptCount val="3"/>
                <c:pt idx="0">
                  <c:v>79370</c:v>
                </c:pt>
                <c:pt idx="1">
                  <c:v>81751.100000000006</c:v>
                </c:pt>
                <c:pt idx="2">
                  <c:v>84203.633000000002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A-8946-AF43-8DFB696565E0}"/>
            </c:ext>
          </c:extLst>
        </c:ser>
        <c:ser>
          <c:idx val="6"/>
          <c:order val="5"/>
          <c:tx>
            <c:strRef>
              <c:f>'S DC'!$B$31</c:f>
              <c:strCache>
                <c:ptCount val="1"/>
                <c:pt idx="0">
                  <c:v>Capital Expenses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DC'!$C$31:$E$31</c:f>
              <c:numCache>
                <c:formatCode>_("$"* #,##0_);_("$"* \(#,##0\);_("$"* "-"??_);_(@_)</c:formatCode>
                <c:ptCount val="3"/>
                <c:pt idx="0">
                  <c:v>863013.41600385273</c:v>
                </c:pt>
                <c:pt idx="1">
                  <c:v>249699.91758240582</c:v>
                </c:pt>
                <c:pt idx="2">
                  <c:v>259718.80385166951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A-8946-AF43-8DFB696565E0}"/>
            </c:ext>
          </c:extLst>
        </c:ser>
        <c:ser>
          <c:idx val="5"/>
          <c:order val="6"/>
          <c:tx>
            <c:strRef>
              <c:f>'S DC'!$B$32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 DC'!$C$32:$E$32</c:f>
              <c:numCache>
                <c:formatCode>_("$"* #,##0_);_("$"* \(#,##0\);_("$"* "-"??_);_(@_)</c:formatCode>
                <c:ptCount val="3"/>
                <c:pt idx="0">
                  <c:v>34931.682327749833</c:v>
                </c:pt>
                <c:pt idx="1">
                  <c:v>65657.857416332292</c:v>
                </c:pt>
                <c:pt idx="2">
                  <c:v>95334.311460763856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5A-8946-AF43-8DFB6965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2900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West Region -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 DC'!$B$24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DC'!$C$24:$E$24</c:f>
              <c:numCache>
                <c:formatCode>_("$"* #,##0_);_("$"* \(#,##0\);_("$"* "-"??_);_(@_)</c:formatCode>
                <c:ptCount val="3"/>
                <c:pt idx="0">
                  <c:v>484100</c:v>
                </c:pt>
                <c:pt idx="1">
                  <c:v>673557</c:v>
                </c:pt>
                <c:pt idx="2">
                  <c:v>924187.32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441-B3EE-FDA506FF345C}"/>
            </c:ext>
          </c:extLst>
        </c:ser>
        <c:ser>
          <c:idx val="1"/>
          <c:order val="1"/>
          <c:tx>
            <c:strRef>
              <c:f>'W DC'!$B$25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DC'!$C$25:$E$25</c:f>
              <c:numCache>
                <c:formatCode>_("$"* #,##0_);_("$"* \(#,##0\);_("$"* "-"??_);_(@_)</c:formatCode>
                <c:ptCount val="3"/>
                <c:pt idx="0">
                  <c:v>1212000</c:v>
                </c:pt>
                <c:pt idx="1">
                  <c:v>1636000</c:v>
                </c:pt>
                <c:pt idx="2">
                  <c:v>2077000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441-B3EE-FDA506FF345C}"/>
            </c:ext>
          </c:extLst>
        </c:ser>
        <c:ser>
          <c:idx val="2"/>
          <c:order val="2"/>
          <c:tx>
            <c:strRef>
              <c:f>'W DC'!$B$26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DC'!$C$26:$E$26</c:f>
              <c:numCache>
                <c:formatCode>_("$"* #,##0_);_("$"* \(#,##0\);_("$"* "-"??_);_(@_)</c:formatCode>
                <c:ptCount val="3"/>
                <c:pt idx="0">
                  <c:v>185000</c:v>
                </c:pt>
                <c:pt idx="1">
                  <c:v>250000</c:v>
                </c:pt>
                <c:pt idx="2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4-4441-B3EE-FDA506FF345C}"/>
            </c:ext>
          </c:extLst>
        </c:ser>
        <c:ser>
          <c:idx val="3"/>
          <c:order val="3"/>
          <c:tx>
            <c:strRef>
              <c:f>'W DC'!$B$29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DC'!$C$29:$E$29</c:f>
              <c:numCache>
                <c:formatCode>_("$"* #,##0_);_("$"* \(#,##0\);_("$"* "-"??_);_(@_)</c:formatCode>
                <c:ptCount val="3"/>
                <c:pt idx="0">
                  <c:v>81268.453200000004</c:v>
                </c:pt>
                <c:pt idx="1">
                  <c:v>192445.46415000001</c:v>
                </c:pt>
                <c:pt idx="2">
                  <c:v>336990.48810000002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4-4441-B3EE-FDA506FF345C}"/>
            </c:ext>
          </c:extLst>
        </c:ser>
        <c:ser>
          <c:idx val="4"/>
          <c:order val="4"/>
          <c:tx>
            <c:strRef>
              <c:f>'W DC'!$B$30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DC'!$C$30:$E$30</c:f>
              <c:numCache>
                <c:formatCode>_("$"* #,##0_);_("$"* \(#,##0\);_("$"* "-"??_);_(@_)</c:formatCode>
                <c:ptCount val="3"/>
                <c:pt idx="0">
                  <c:v>404428</c:v>
                </c:pt>
                <c:pt idx="1">
                  <c:v>416560.84</c:v>
                </c:pt>
                <c:pt idx="2">
                  <c:v>429057.66520000005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4-4441-B3EE-FDA506FF345C}"/>
            </c:ext>
          </c:extLst>
        </c:ser>
        <c:ser>
          <c:idx val="6"/>
          <c:order val="5"/>
          <c:tx>
            <c:strRef>
              <c:f>'W DC'!$B$31</c:f>
              <c:strCache>
                <c:ptCount val="1"/>
                <c:pt idx="0">
                  <c:v>Capital Expenses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 DC'!$C$31:$E$31</c:f>
              <c:numCache>
                <c:formatCode>_("$"* #,##0_);_("$"* \(#,##0\);_("$"* "-"??_);_(@_)</c:formatCode>
                <c:ptCount val="3"/>
                <c:pt idx="0">
                  <c:v>1379309.0586472601</c:v>
                </c:pt>
                <c:pt idx="1">
                  <c:v>1993415.8990903255</c:v>
                </c:pt>
                <c:pt idx="2">
                  <c:v>2405032.8433797089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9B4F-B0C0-7212007CD2A9}"/>
            </c:ext>
          </c:extLst>
        </c:ser>
        <c:ser>
          <c:idx val="5"/>
          <c:order val="6"/>
          <c:tx>
            <c:strRef>
              <c:f>'W DC'!$B$32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DC'!$C$23:$E$23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DC'!$C$32:$E$32</c:f>
              <c:numCache>
                <c:formatCode>_("$"* #,##0_);_("$"* \(#,##0\);_("$"* "-"??_);_(@_)</c:formatCode>
                <c:ptCount val="3"/>
                <c:pt idx="0">
                  <c:v>674721.47235872876</c:v>
                </c:pt>
                <c:pt idx="1">
                  <c:v>1937492.7722342394</c:v>
                </c:pt>
                <c:pt idx="2">
                  <c:v>3639116.8817296238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4-4441-B3EE-FDA506FF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2900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West  - Total (CUM) Resources (per</a:t>
            </a:r>
            <a:r>
              <a:rPr lang="en-US" baseline="0">
                <a:solidFill>
                  <a:srgbClr val="002060"/>
                </a:solidFill>
              </a:rPr>
              <a:t> Year)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 DC'!$B$16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DC'!$C$16:$E$16</c:f>
              <c:numCache>
                <c:formatCode>0</c:formatCode>
                <c:ptCount val="3"/>
                <c:pt idx="0">
                  <c:v>210</c:v>
                </c:pt>
                <c:pt idx="1">
                  <c:v>497</c:v>
                </c:pt>
                <c:pt idx="2" formatCode="#,##0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7-734B-9284-C37509CA5E72}"/>
            </c:ext>
          </c:extLst>
        </c:ser>
        <c:ser>
          <c:idx val="1"/>
          <c:order val="1"/>
          <c:tx>
            <c:strRef>
              <c:f>'W DC'!$B$17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DC'!$C$17:$E$17</c:f>
              <c:numCache>
                <c:formatCode>#,##0</c:formatCode>
                <c:ptCount val="3"/>
                <c:pt idx="0">
                  <c:v>178</c:v>
                </c:pt>
                <c:pt idx="1">
                  <c:v>420</c:v>
                </c:pt>
                <c:pt idx="2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7-734B-9284-C37509CA5E72}"/>
            </c:ext>
          </c:extLst>
        </c:ser>
        <c:ser>
          <c:idx val="2"/>
          <c:order val="2"/>
          <c:tx>
            <c:strRef>
              <c:f>'W DC'!$B$18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DC'!$C$18:$E$18</c:f>
              <c:numCache>
                <c:formatCode>#,##0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7-734B-9284-C37509CA5E72}"/>
            </c:ext>
          </c:extLst>
        </c:ser>
        <c:ser>
          <c:idx val="3"/>
          <c:order val="3"/>
          <c:tx>
            <c:strRef>
              <c:f>'W DC'!$B$19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 DC'!$C$15:$E$15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'W DC'!$C$19:$E$19</c:f>
              <c:numCache>
                <c:formatCode>#,##0</c:formatCode>
                <c:ptCount val="3"/>
                <c:pt idx="0">
                  <c:v>39</c:v>
                </c:pt>
                <c:pt idx="1">
                  <c:v>93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7-734B-9284-C37509CA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QUANTITIES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Centralized</a:t>
            </a:r>
            <a:r>
              <a:rPr lang="en-US" baseline="0"/>
              <a:t> vs Distributed DC - Total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Summary!$C$36:$D$36</c:f>
              <c:numCache>
                <c:formatCode>_("$"* #,##0_);_("$"* \(#,##0\);_("$"* "-"??_);_(@_)</c:formatCode>
                <c:ptCount val="2"/>
                <c:pt idx="0">
                  <c:v>4205626.74</c:v>
                </c:pt>
                <c:pt idx="1">
                  <c:v>4211730.1599999992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1942-90F9-0E6DE444F419}"/>
            </c:ext>
          </c:extLst>
        </c:ser>
        <c:ser>
          <c:idx val="1"/>
          <c:order val="1"/>
          <c:tx>
            <c:strRef>
              <c:f>Summary!$B$37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Summary!$C$37:$D$37</c:f>
              <c:numCache>
                <c:formatCode>_("$"* #,##0_);_("$"* \(#,##0\);_("$"* "-"??_);_(@_)</c:formatCode>
                <c:ptCount val="2"/>
                <c:pt idx="0">
                  <c:v>7428000</c:v>
                </c:pt>
                <c:pt idx="1">
                  <c:v>9998000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1942-90F9-0E6DE444F419}"/>
            </c:ext>
          </c:extLst>
        </c:ser>
        <c:ser>
          <c:idx val="2"/>
          <c:order val="2"/>
          <c:tx>
            <c:strRef>
              <c:f>Summary!$B$38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Summary!$C$38:$D$38</c:f>
              <c:numCache>
                <c:formatCode>_("$"* #,##0_);_("$"* \(#,##0\);_("$"* "-"??_);_(@_)</c:formatCode>
                <c:ptCount val="2"/>
                <c:pt idx="0">
                  <c:v>1455000</c:v>
                </c:pt>
                <c:pt idx="1">
                  <c:v>1570000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3-1942-90F9-0E6DE444F419}"/>
            </c:ext>
          </c:extLst>
        </c:ser>
        <c:ser>
          <c:idx val="3"/>
          <c:order val="3"/>
          <c:tx>
            <c:strRef>
              <c:f>Summary!$B$39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Summary!$C$39:$D$39</c:f>
              <c:numCache>
                <c:formatCode>_("$"* #,##0_);_("$"* \(#,##0\);_("$"* "-"??_);_(@_)</c:formatCode>
                <c:ptCount val="2"/>
                <c:pt idx="0">
                  <c:v>827918.92080000008</c:v>
                </c:pt>
                <c:pt idx="1">
                  <c:v>1106445.0567999999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3-1942-90F9-0E6DE444F419}"/>
            </c:ext>
          </c:extLst>
        </c:ser>
        <c:ser>
          <c:idx val="4"/>
          <c:order val="4"/>
          <c:tx>
            <c:strRef>
              <c:f>Summary!$B$40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Summary!$C$40:$D$40</c:f>
              <c:numCache>
                <c:formatCode>_("$"* #,##0_);_("$"* \(#,##0\);_("$"* "-"??_);_(@_)</c:formatCode>
                <c:ptCount val="2"/>
                <c:pt idx="0">
                  <c:v>6268345.2000000002</c:v>
                </c:pt>
                <c:pt idx="1">
                  <c:v>3232908.3096000003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3-1942-90F9-0E6DE444F419}"/>
            </c:ext>
          </c:extLst>
        </c:ser>
        <c:ser>
          <c:idx val="5"/>
          <c:order val="5"/>
          <c:tx>
            <c:strRef>
              <c:f>Summary!$B$41</c:f>
              <c:strCache>
                <c:ptCount val="1"/>
                <c:pt idx="0">
                  <c:v>Capital Expense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Summary!$C$41:$D$41</c:f>
              <c:numCache>
                <c:formatCode>_("$"* #,##0_);_("$"* \(#,##0\);_("$"* "-"??_);_(@_)</c:formatCode>
                <c:ptCount val="2"/>
                <c:pt idx="0">
                  <c:v>10612168.76031271</c:v>
                </c:pt>
                <c:pt idx="1">
                  <c:v>15246022.384808931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3-1942-90F9-0E6DE444F419}"/>
            </c:ext>
          </c:extLst>
        </c:ser>
        <c:ser>
          <c:idx val="6"/>
          <c:order val="6"/>
          <c:tx>
            <c:strRef>
              <c:f>Summary!$B$42</c:f>
              <c:strCache>
                <c:ptCount val="1"/>
                <c:pt idx="0">
                  <c:v>Other Expense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Summary!$C$35:$D$35</c:f>
              <c:strCache>
                <c:ptCount val="2"/>
                <c:pt idx="0">
                  <c:v> Centralized </c:v>
                </c:pt>
                <c:pt idx="1">
                  <c:v> Distributed </c:v>
                </c:pt>
              </c:strCache>
            </c:strRef>
          </c:cat>
          <c:val>
            <c:numRef>
              <c:f>Summary!$C$42:$D$42</c:f>
              <c:numCache>
                <c:formatCode>_("$"* #,##0_);_("$"* \(#,##0\);_("$"* "-"??_);_(@_)</c:formatCode>
                <c:ptCount val="2"/>
                <c:pt idx="0">
                  <c:v>14950843.57060959</c:v>
                </c:pt>
                <c:pt idx="1">
                  <c:v>11773018.079917787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3-1942-90F9-0E6DE444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298623"/>
        <c:axId val="1300373183"/>
      </c:barChart>
      <c:catAx>
        <c:axId val="13002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73183"/>
        <c:crosses val="autoZero"/>
        <c:auto val="1"/>
        <c:lblAlgn val="ctr"/>
        <c:lblOffset val="100"/>
        <c:noMultiLvlLbl val="0"/>
      </c:catAx>
      <c:valAx>
        <c:axId val="13003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98623"/>
        <c:crosses val="autoZero"/>
        <c:crossBetween val="between"/>
      </c:valAx>
      <c:spPr>
        <a:noFill/>
        <a:ln>
          <a:solidFill>
            <a:schemeClr val="accent5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rgbClr val="002060"/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Musify Total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Profile'!$B$4</c:f>
              <c:strCache>
                <c:ptCount val="1"/>
                <c:pt idx="0">
                  <c:v>Total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'User Profile'!$A$5:$A$11</c:f>
              <c:numCache>
                <c:formatCode>mmm\-yy</c:formatCode>
                <c:ptCount val="7"/>
                <c:pt idx="0">
                  <c:v>44197</c:v>
                </c:pt>
                <c:pt idx="1">
                  <c:v>44378</c:v>
                </c:pt>
                <c:pt idx="2">
                  <c:v>44562</c:v>
                </c:pt>
                <c:pt idx="3">
                  <c:v>44743</c:v>
                </c:pt>
                <c:pt idx="4">
                  <c:v>44927</c:v>
                </c:pt>
                <c:pt idx="5">
                  <c:v>45108</c:v>
                </c:pt>
                <c:pt idx="6">
                  <c:v>45292</c:v>
                </c:pt>
              </c:numCache>
            </c:numRef>
          </c:cat>
          <c:val>
            <c:numRef>
              <c:f>'User Profile'!$B$5:$B$11</c:f>
              <c:numCache>
                <c:formatCode>_(* #,##0_);_(* \(#,##0\);_(* "-"??_);_(@_)</c:formatCode>
                <c:ptCount val="7"/>
                <c:pt idx="0">
                  <c:v>5000000</c:v>
                </c:pt>
                <c:pt idx="1">
                  <c:v>6670000</c:v>
                </c:pt>
                <c:pt idx="2">
                  <c:v>8890000</c:v>
                </c:pt>
                <c:pt idx="3">
                  <c:v>11850000</c:v>
                </c:pt>
                <c:pt idx="4">
                  <c:v>15800000</c:v>
                </c:pt>
                <c:pt idx="5">
                  <c:v>21070000</c:v>
                </c:pt>
                <c:pt idx="6">
                  <c:v>28090000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ED40-845C-F278B73272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228048"/>
        <c:axId val="150229728"/>
      </c:barChart>
      <c:dateAx>
        <c:axId val="15022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9728"/>
        <c:crosses val="autoZero"/>
        <c:auto val="1"/>
        <c:lblOffset val="100"/>
        <c:baseTimeUnit val="months"/>
      </c:dateAx>
      <c:valAx>
        <c:axId val="1502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Musify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Profile'!$F$4</c:f>
              <c:strCache>
                <c:ptCount val="1"/>
                <c:pt idx="0">
                  <c:v>Average Active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'User Profile'!$A$5:$A$11</c:f>
              <c:numCache>
                <c:formatCode>mmm\-yy</c:formatCode>
                <c:ptCount val="7"/>
                <c:pt idx="0">
                  <c:v>44197</c:v>
                </c:pt>
                <c:pt idx="1">
                  <c:v>44378</c:v>
                </c:pt>
                <c:pt idx="2">
                  <c:v>44562</c:v>
                </c:pt>
                <c:pt idx="3">
                  <c:v>44743</c:v>
                </c:pt>
                <c:pt idx="4">
                  <c:v>44927</c:v>
                </c:pt>
                <c:pt idx="5">
                  <c:v>45108</c:v>
                </c:pt>
                <c:pt idx="6">
                  <c:v>45292</c:v>
                </c:pt>
              </c:numCache>
            </c:numRef>
          </c:cat>
          <c:val>
            <c:numRef>
              <c:f>'User Profile'!$F$5:$F$11</c:f>
              <c:numCache>
                <c:formatCode>_(* #,##0_);_(* \(#,##0\);_(* "-"??_);_(@_)</c:formatCode>
                <c:ptCount val="7"/>
                <c:pt idx="0">
                  <c:v>1500000</c:v>
                </c:pt>
                <c:pt idx="1">
                  <c:v>2001000</c:v>
                </c:pt>
                <c:pt idx="2">
                  <c:v>4000500</c:v>
                </c:pt>
                <c:pt idx="3">
                  <c:v>5332500</c:v>
                </c:pt>
                <c:pt idx="4">
                  <c:v>9480000</c:v>
                </c:pt>
                <c:pt idx="5">
                  <c:v>12642000</c:v>
                </c:pt>
                <c:pt idx="6">
                  <c:v>16854000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A-F748-9090-F164EA3D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677456"/>
        <c:axId val="150459072"/>
      </c:barChart>
      <c:dateAx>
        <c:axId val="13367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9072"/>
        <c:crosses val="autoZero"/>
        <c:auto val="1"/>
        <c:lblOffset val="100"/>
        <c:baseTimeUnit val="months"/>
      </c:dateAx>
      <c:valAx>
        <c:axId val="150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Active Users by Region (per Year)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'User Profile'!$A$18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('User Profile'!$C$16,'User Profile'!$E$16,'User Profile'!$G$16)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('User Profile'!$D$18,'User Profile'!$F$18,'User Profile'!$H$18)</c:f>
              <c:numCache>
                <c:formatCode>_(* #,##0_);_(* \(#,##0\);_(* "-"??_);_(@_)</c:formatCode>
                <c:ptCount val="3"/>
                <c:pt idx="0">
                  <c:v>716890</c:v>
                </c:pt>
                <c:pt idx="1">
                  <c:v>1698816</c:v>
                </c:pt>
                <c:pt idx="2">
                  <c:v>3020237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F-DD42-A279-BF1F76BAF58A}"/>
            </c:ext>
          </c:extLst>
        </c:ser>
        <c:ser>
          <c:idx val="1"/>
          <c:order val="1"/>
          <c:tx>
            <c:strRef>
              <c:f>'User Profile'!$A$19</c:f>
              <c:strCache>
                <c:ptCount val="1"/>
                <c:pt idx="0">
                  <c:v>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('User Profile'!$C$16,'User Profile'!$E$16,'User Profile'!$G$16)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('User Profile'!$D$19,'User Profile'!$F$19,'User Profile'!$H$19)</c:f>
              <c:numCache>
                <c:formatCode>_(* #,##0_);_(* \(#,##0\);_(* "-"??_);_(@_)</c:formatCode>
                <c:ptCount val="3"/>
                <c:pt idx="0">
                  <c:v>867308</c:v>
                </c:pt>
                <c:pt idx="1">
                  <c:v>2055264</c:v>
                </c:pt>
                <c:pt idx="2">
                  <c:v>3653947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F-DD42-A279-BF1F76BAF58A}"/>
            </c:ext>
          </c:extLst>
        </c:ser>
        <c:ser>
          <c:idx val="2"/>
          <c:order val="2"/>
          <c:tx>
            <c:strRef>
              <c:f>'User Profile'!$A$20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('User Profile'!$C$16,'User Profile'!$E$16,'User Profile'!$G$16)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('User Profile'!$D$20,'User Profile'!$F$20,'User Profile'!$H$20)</c:f>
              <c:numCache>
                <c:formatCode>_(* #,##0_);_(* \(#,##0\);_(* "-"??_);_(@_)</c:formatCode>
                <c:ptCount val="3"/>
                <c:pt idx="0">
                  <c:v>1484186</c:v>
                </c:pt>
                <c:pt idx="1">
                  <c:v>3517080</c:v>
                </c:pt>
                <c:pt idx="2">
                  <c:v>6252834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F-DD42-A279-BF1F76BAF58A}"/>
            </c:ext>
          </c:extLst>
        </c:ser>
        <c:ser>
          <c:idx val="3"/>
          <c:order val="3"/>
          <c:tx>
            <c:strRef>
              <c:f>'User Profile'!$A$21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('User Profile'!$C$16,'User Profile'!$E$16,'User Profile'!$G$16)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('User Profile'!$D$21,'User Profile'!$F$21,'User Profile'!$H$21)</c:f>
              <c:numCache>
                <c:formatCode>_(* #,##0_);_(* \(#,##0\);_(* "-"??_);_(@_)</c:formatCode>
                <c:ptCount val="3"/>
                <c:pt idx="0">
                  <c:v>932117</c:v>
                </c:pt>
                <c:pt idx="1">
                  <c:v>2208840</c:v>
                </c:pt>
                <c:pt idx="2">
                  <c:v>3926982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F-DD42-A279-BF1F76BA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83679"/>
        <c:axId val="1773185359"/>
      </c:barChart>
      <c:catAx>
        <c:axId val="17731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85359"/>
        <c:crosses val="autoZero"/>
        <c:auto val="1"/>
        <c:lblAlgn val="ctr"/>
        <c:lblOffset val="100"/>
        <c:noMultiLvlLbl val="0"/>
      </c:catAx>
      <c:valAx>
        <c:axId val="17731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8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002060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rgbClr val="00206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Compute Needs (TPS)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'CPU (Workload)'!$K$21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(Workload)'!$J$22:$J$24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(Workload)'!$K$22:$K$24</c:f>
              <c:numCache>
                <c:formatCode>_(* #,##0.00_);_(* \(#,##0.00\);_(* "-"??_);_(@_)</c:formatCode>
                <c:ptCount val="3"/>
                <c:pt idx="0">
                  <c:v>8384.3812499999985</c:v>
                </c:pt>
                <c:pt idx="1">
                  <c:v>19868.499999999996</c:v>
                </c:pt>
                <c:pt idx="2">
                  <c:v>35323.174999999996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CA46-A898-9EF04255456A}"/>
            </c:ext>
          </c:extLst>
        </c:ser>
        <c:ser>
          <c:idx val="1"/>
          <c:order val="1"/>
          <c:tx>
            <c:strRef>
              <c:f>'CPU (Workload)'!$L$21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(Workload)'!$J$22:$J$24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(Workload)'!$L$22:$L$24</c:f>
              <c:numCache>
                <c:formatCode>_(* #,##0.00_);_(* \(#,##0.00\);_(* "-"??_);_(@_)</c:formatCode>
                <c:ptCount val="3"/>
                <c:pt idx="0">
                  <c:v>1397.3968749999999</c:v>
                </c:pt>
                <c:pt idx="1">
                  <c:v>3311.4166666666665</c:v>
                </c:pt>
                <c:pt idx="2">
                  <c:v>5887.1958333333332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5-CA46-A898-9EF04255456A}"/>
            </c:ext>
          </c:extLst>
        </c:ser>
        <c:ser>
          <c:idx val="2"/>
          <c:order val="2"/>
          <c:tx>
            <c:strRef>
              <c:f>'CPU (Workload)'!$M$21</c:f>
              <c:strCache>
                <c:ptCount val="1"/>
                <c:pt idx="0">
                  <c:v>Authorizations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(Workload)'!$J$22:$J$24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(Workload)'!$M$22:$M$24</c:f>
              <c:numCache>
                <c:formatCode>_(* #,##0.00_);_(* \(#,##0.00\);_(* "-"??_);_(@_)</c:formatCode>
                <c:ptCount val="3"/>
                <c:pt idx="0">
                  <c:v>5589.5874999999996</c:v>
                </c:pt>
                <c:pt idx="1">
                  <c:v>13245.666666666666</c:v>
                </c:pt>
                <c:pt idx="2">
                  <c:v>23548.783333333333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5-CA46-A898-9EF04255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0971232"/>
        <c:axId val="725524128"/>
        <c:axId val="0"/>
      </c:bar3DChart>
      <c:catAx>
        <c:axId val="710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4128"/>
        <c:crosses val="autoZero"/>
        <c:auto val="1"/>
        <c:lblAlgn val="ctr"/>
        <c:lblOffset val="100"/>
        <c:noMultiLvlLbl val="0"/>
      </c:catAx>
      <c:valAx>
        <c:axId val="725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Transactions/Sec</a:t>
            </a:r>
            <a:r>
              <a:rPr lang="en-US" baseline="0">
                <a:solidFill>
                  <a:srgbClr val="002060"/>
                </a:solidFill>
              </a:rPr>
              <a:t> by Region (per Year)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 (Workload)'!$C$60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'CPU (Workload)'!$B$62:$B$64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(Workload)'!$G$62:$G$64</c:f>
              <c:numCache>
                <c:formatCode>_(* #,##0.00_);_(* \(#,##0.00\);_(* "-"??_);_(@_)</c:formatCode>
                <c:ptCount val="3"/>
                <c:pt idx="0">
                  <c:v>2754.5502569444443</c:v>
                </c:pt>
                <c:pt idx="1">
                  <c:v>6527.4645333333337</c:v>
                </c:pt>
                <c:pt idx="2">
                  <c:v>11604.841195138888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D248-9F50-DCC991435AF0}"/>
            </c:ext>
          </c:extLst>
        </c:ser>
        <c:ser>
          <c:idx val="1"/>
          <c:order val="1"/>
          <c:tx>
            <c:strRef>
              <c:f>'CPU (Workload)'!$H$60</c:f>
              <c:strCache>
                <c:ptCount val="1"/>
                <c:pt idx="0">
                  <c:v>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'CPU (Workload)'!$B$62:$B$64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(Workload)'!$L$62:$L$64</c:f>
              <c:numCache>
                <c:formatCode>_(* #,##0.00_);_(* \(#,##0.00\);_(* "-"??_);_(@_)</c:formatCode>
                <c:ptCount val="3"/>
                <c:pt idx="0">
                  <c:v>3332.5105305555553</c:v>
                </c:pt>
                <c:pt idx="1">
                  <c:v>7897.0664666666653</c:v>
                </c:pt>
                <c:pt idx="2">
                  <c:v>14039.783854861111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D248-9F50-DCC991435AF0}"/>
            </c:ext>
          </c:extLst>
        </c:ser>
        <c:ser>
          <c:idx val="2"/>
          <c:order val="2"/>
          <c:tx>
            <c:strRef>
              <c:f>'CPU (Workload)'!$M$60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'CPU (Workload)'!$B$62:$B$64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(Workload)'!$Q$62:$Q$64</c:f>
              <c:numCache>
                <c:formatCode>_(* #,##0.00_);_(* \(#,##0.00\);_(* "-"??_);_(@_)</c:formatCode>
                <c:ptCount val="3"/>
                <c:pt idx="0">
                  <c:v>5702.7785680555553</c:v>
                </c:pt>
                <c:pt idx="1">
                  <c:v>13513.891416666665</c:v>
                </c:pt>
                <c:pt idx="2">
                  <c:v>24025.646195833331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B-D248-9F50-DCC991435AF0}"/>
            </c:ext>
          </c:extLst>
        </c:ser>
        <c:ser>
          <c:idx val="3"/>
          <c:order val="3"/>
          <c:tx>
            <c:strRef>
              <c:f>'CPU (Workload)'!$R$60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'CPU (Workload)'!$B$62:$B$64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(Workload)'!$V$62:$V$64</c:f>
              <c:numCache>
                <c:formatCode>_(* #,##0.00_);_(* \(#,##0.00\);_(* "-"??_);_(@_)</c:formatCode>
                <c:ptCount val="3"/>
                <c:pt idx="0">
                  <c:v>3581.5301118055554</c:v>
                </c:pt>
                <c:pt idx="1">
                  <c:v>8487.1609166666676</c:v>
                </c:pt>
                <c:pt idx="2">
                  <c:v>15088.882920833334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B-D248-9F50-DCC99143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149519"/>
        <c:axId val="1772105999"/>
      </c:barChart>
      <c:catAx>
        <c:axId val="16811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05999"/>
        <c:crosses val="autoZero"/>
        <c:auto val="1"/>
        <c:lblAlgn val="ctr"/>
        <c:lblOffset val="100"/>
        <c:noMultiLvlLbl val="0"/>
      </c:catAx>
      <c:valAx>
        <c:axId val="17721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4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002060">
                <a:alpha val="54000"/>
              </a:srgb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rgbClr val="00206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Bandwidth Needs (Gbps)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Bandwidth!$T$4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Bandwidth!$T$5:$T$7</c:f>
              <c:numCache>
                <c:formatCode>_(* #,##0.00_);_(* \(#,##0.00\);_(* "-"??_);_(@_)</c:formatCode>
                <c:ptCount val="3"/>
                <c:pt idx="0">
                  <c:v>298.77910271999997</c:v>
                </c:pt>
                <c:pt idx="1">
                  <c:v>708.01797119999981</c:v>
                </c:pt>
                <c:pt idx="2">
                  <c:v>1258.7484057599997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6-8042-A7E2-BD1D2FE9594A}"/>
            </c:ext>
          </c:extLst>
        </c:ser>
        <c:ser>
          <c:idx val="1"/>
          <c:order val="1"/>
          <c:tx>
            <c:strRef>
              <c:f>Bandwidth!$U$4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Bandwidth!$U$5:$U$7</c:f>
              <c:numCache>
                <c:formatCode>_(* #,##0.00_);_(* \(#,##0.00\);_(* "-"??_);_(@_)</c:formatCode>
                <c:ptCount val="3"/>
                <c:pt idx="0">
                  <c:v>80.490059999999986</c:v>
                </c:pt>
                <c:pt idx="1">
                  <c:v>190.73759999999999</c:v>
                </c:pt>
                <c:pt idx="2">
                  <c:v>339.10247999999996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6-8042-A7E2-BD1D2FE9594A}"/>
            </c:ext>
          </c:extLst>
        </c:ser>
        <c:ser>
          <c:idx val="2"/>
          <c:order val="2"/>
          <c:tx>
            <c:strRef>
              <c:f>Bandwidth!$V$4</c:f>
              <c:strCache>
                <c:ptCount val="1"/>
                <c:pt idx="0">
                  <c:v>Permission Requests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Bandwidth!$V$5:$V$7</c:f>
              <c:numCache>
                <c:formatCode>_(* #,##0.00_);_(* \(#,##0.00\);_(* "-"??_);_(@_)</c:formatCode>
                <c:ptCount val="3"/>
                <c:pt idx="0">
                  <c:v>8.9433399999999992</c:v>
                </c:pt>
                <c:pt idx="1">
                  <c:v>21.193066666666667</c:v>
                </c:pt>
                <c:pt idx="2">
                  <c:v>37.678053333333331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6-8042-A7E2-BD1D2FE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0645872"/>
        <c:axId val="625356592"/>
        <c:axId val="0"/>
      </c:bar3DChart>
      <c:catAx>
        <c:axId val="710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6592"/>
        <c:crossesAt val="0"/>
        <c:auto val="1"/>
        <c:lblAlgn val="ctr"/>
        <c:lblOffset val="100"/>
        <c:noMultiLvlLbl val="0"/>
      </c:catAx>
      <c:valAx>
        <c:axId val="625356592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5872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Bandwidth (Gbps) by Region (per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Bandwidth!$H$96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Bandwidth!$G$97:$G$99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Bandwidth!$H$97:$H$99</c:f>
              <c:numCache>
                <c:formatCode>_(* #,##0.00_);_(* \(#,##0.00\);_(* "-"??_);_(@_)</c:formatCode>
                <c:ptCount val="3"/>
                <c:pt idx="0">
                  <c:v>69.567680487423985</c:v>
                </c:pt>
                <c:pt idx="1">
                  <c:v>164.85479590570665</c:v>
                </c:pt>
                <c:pt idx="2">
                  <c:v>293.08678588552527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46-C346-B43B-2E4BF9A414EC}"/>
            </c:ext>
          </c:extLst>
        </c:ser>
        <c:ser>
          <c:idx val="1"/>
          <c:order val="1"/>
          <c:tx>
            <c:strRef>
              <c:f>Bandwidth!$I$96</c:f>
              <c:strCache>
                <c:ptCount val="1"/>
                <c:pt idx="0">
                  <c:v>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Bandwidth!$G$97:$G$99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Bandwidth!$I$97:$I$99</c:f>
              <c:numCache>
                <c:formatCode>_(* #,##0.00_);_(* \(#,##0.00\);_(* "-"??_);_(@_)</c:formatCode>
                <c:ptCount val="3"/>
                <c:pt idx="0">
                  <c:v>84.164470589695981</c:v>
                </c:pt>
                <c:pt idx="1">
                  <c:v>199.4448646894933</c:v>
                </c:pt>
                <c:pt idx="2">
                  <c:v>354.58267399543462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46-C346-B43B-2E4BF9A414EC}"/>
            </c:ext>
          </c:extLst>
        </c:ser>
        <c:ser>
          <c:idx val="2"/>
          <c:order val="2"/>
          <c:tx>
            <c:strRef>
              <c:f>Bandwidth!$J$96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Bandwidth!$G$97:$G$99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Bandwidth!$J$97:$J$99</c:f>
              <c:numCache>
                <c:formatCode>_(* #,##0.00_);_(* \(#,##0.00\);_(* "-"??_);_(@_)</c:formatCode>
                <c:ptCount val="3"/>
                <c:pt idx="0">
                  <c:v>144.02683850911995</c:v>
                </c:pt>
                <c:pt idx="1">
                  <c:v>341.30094464853329</c:v>
                </c:pt>
                <c:pt idx="2">
                  <c:v>606.78123640362651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46-C346-B43B-2E4BF9A414EC}"/>
            </c:ext>
          </c:extLst>
        </c:ser>
        <c:ser>
          <c:idx val="3"/>
          <c:order val="3"/>
          <c:tx>
            <c:strRef>
              <c:f>Bandwidth!$K$96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Bandwidth!$G$97:$G$99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Bandwidth!$K$97:$K$99</c:f>
              <c:numCache>
                <c:formatCode>_(* #,##0.00_);_(* \(#,##0.00\);_(* "-"??_);_(@_)</c:formatCode>
                <c:ptCount val="3"/>
                <c:pt idx="0">
                  <c:v>90.453513133759984</c:v>
                </c:pt>
                <c:pt idx="1">
                  <c:v>214.34803262293332</c:v>
                </c:pt>
                <c:pt idx="2">
                  <c:v>381.07824280874661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46-C346-B43B-2E4BF9A4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373055"/>
        <c:axId val="1683577471"/>
      </c:barChart>
      <c:catAx>
        <c:axId val="17733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77471"/>
        <c:crosses val="autoZero"/>
        <c:auto val="1"/>
        <c:lblAlgn val="ctr"/>
        <c:lblOffset val="100"/>
        <c:noMultiLvlLbl val="0"/>
      </c:catAx>
      <c:valAx>
        <c:axId val="16835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30000"/>
                </a:srgb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73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002060">
                <a:alpha val="54000"/>
              </a:srgb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  <a:tileRect/>
    </a:gradFill>
    <a:ln>
      <a:solidFill>
        <a:srgbClr val="002060"/>
      </a:solidFill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1289050</xdr:colOff>
      <xdr:row>25</xdr:row>
      <xdr:rowOff>298448</xdr:rowOff>
    </xdr:from>
    <xdr:to>
      <xdr:col>14</xdr:col>
      <xdr:colOff>577850</xdr:colOff>
      <xdr:row>46</xdr:row>
      <xdr:rowOff>6348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4449E-6B17-D848-9B77-D3D69475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971550</xdr:colOff>
      <xdr:row>25</xdr:row>
      <xdr:rowOff>285750</xdr:rowOff>
    </xdr:from>
    <xdr:to>
      <xdr:col>23</xdr:col>
      <xdr:colOff>158750</xdr:colOff>
      <xdr:row>45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F0408-8E6D-694F-AC56-89993AA2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17990</xdr:colOff>
      <xdr:row>3</xdr:row>
      <xdr:rowOff>13760</xdr:rowOff>
    </xdr:from>
    <xdr:to>
      <xdr:col>13</xdr:col>
      <xdr:colOff>825499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ED485-DED8-7B42-85E4-9F3EC5C5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13759</xdr:colOff>
      <xdr:row>3</xdr:row>
      <xdr:rowOff>9526</xdr:rowOff>
    </xdr:from>
    <xdr:to>
      <xdr:col>19</xdr:col>
      <xdr:colOff>552239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25B66-4D5B-B742-B742-8B77CBAC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10205</xdr:colOff>
      <xdr:row>17</xdr:row>
      <xdr:rowOff>452</xdr:rowOff>
    </xdr:from>
    <xdr:to>
      <xdr:col>15</xdr:col>
      <xdr:colOff>510948</xdr:colOff>
      <xdr:row>37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2F94B-CF96-BC4B-8DC6-7226A0F0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25400</xdr:rowOff>
    </xdr:from>
    <xdr:to>
      <xdr:col>13</xdr:col>
      <xdr:colOff>975816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38EFE-7901-9C41-867E-27ED482F2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330200"/>
          <a:ext cx="5916116" cy="354330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>
    <xdr:from>
      <xdr:col>8</xdr:col>
      <xdr:colOff>488950</xdr:colOff>
      <xdr:row>25</xdr:row>
      <xdr:rowOff>184150</xdr:rowOff>
    </xdr:from>
    <xdr:to>
      <xdr:col>13</xdr:col>
      <xdr:colOff>476250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C59C5-64EA-9149-B139-97370EA1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67</xdr:row>
      <xdr:rowOff>6350</xdr:rowOff>
    </xdr:from>
    <xdr:to>
      <xdr:col>7</xdr:col>
      <xdr:colOff>6350</xdr:colOff>
      <xdr:row>87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6E9BA-2F78-D34B-BE24-FFC00B02C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0</xdr:row>
      <xdr:rowOff>127000</xdr:rowOff>
    </xdr:from>
    <xdr:to>
      <xdr:col>25</xdr:col>
      <xdr:colOff>1047750</xdr:colOff>
      <xdr:row>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2A28A-A0D6-5D4C-8AFC-5E181E89D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1162050</xdr:colOff>
      <xdr:row>101</xdr:row>
      <xdr:rowOff>6348</xdr:rowOff>
    </xdr:from>
    <xdr:to>
      <xdr:col>11</xdr:col>
      <xdr:colOff>95250</xdr:colOff>
      <xdr:row>119</xdr:row>
      <xdr:rowOff>6348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43AE8-9EBD-594A-AE12-1BD97153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10</xdr:row>
      <xdr:rowOff>0</xdr:rowOff>
    </xdr:from>
    <xdr:to>
      <xdr:col>24</xdr:col>
      <xdr:colOff>247650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1BD18-353A-6047-B0CC-12648B6A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228600</xdr:colOff>
      <xdr:row>20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707FB7-EA1F-A147-8F45-DED417F5C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2</xdr:rowOff>
    </xdr:from>
    <xdr:to>
      <xdr:col>20</xdr:col>
      <xdr:colOff>228600</xdr:colOff>
      <xdr:row>20</xdr:row>
      <xdr:rowOff>127002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6D8C19-A8FF-9E4D-B6E7-ADF7AFF8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12698</xdr:rowOff>
    </xdr:from>
    <xdr:to>
      <xdr:col>13</xdr:col>
      <xdr:colOff>228600</xdr:colOff>
      <xdr:row>20</xdr:row>
      <xdr:rowOff>139698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C2AD2E-7F91-2E4B-9284-FD14051DF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12700</xdr:rowOff>
    </xdr:from>
    <xdr:to>
      <xdr:col>20</xdr:col>
      <xdr:colOff>228600</xdr:colOff>
      <xdr:row>20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9EFE0A-6767-1149-A3A0-301D912A9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12698</xdr:rowOff>
    </xdr:from>
    <xdr:to>
      <xdr:col>13</xdr:col>
      <xdr:colOff>241300</xdr:colOff>
      <xdr:row>20</xdr:row>
      <xdr:rowOff>139698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8A431-17F0-914E-BB63-C8E2D7D4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228600</xdr:colOff>
      <xdr:row>20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AA3356-0EBE-EC41-9A26-60271E00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12700</xdr:rowOff>
    </xdr:from>
    <xdr:to>
      <xdr:col>20</xdr:col>
      <xdr:colOff>241300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5D95B-66C6-B149-BCCE-3F5C5089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</xdr:row>
      <xdr:rowOff>12698</xdr:rowOff>
    </xdr:from>
    <xdr:to>
      <xdr:col>13</xdr:col>
      <xdr:colOff>241300</xdr:colOff>
      <xdr:row>20</xdr:row>
      <xdr:rowOff>139698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7041D-B82B-3849-B7FE-6A29726C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ash Davis" id="{0D009E1C-9E4C-C645-AAB2-5601F039B27D}" userId="Crash Davi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tricitylocal.com/states/%20%20%20(industrial%20rates%20by%20cit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5"/>
  <sheetViews>
    <sheetView tabSelected="1" topLeftCell="A2" zoomScaleNormal="100" workbookViewId="0">
      <selection activeCell="D36" sqref="D36:D42"/>
    </sheetView>
  </sheetViews>
  <sheetFormatPr defaultColWidth="10.6640625" defaultRowHeight="15.5" x14ac:dyDescent="0.35"/>
  <cols>
    <col min="1" max="1" width="10.5" style="7" customWidth="1"/>
    <col min="2" max="2" width="17" bestFit="1" customWidth="1"/>
    <col min="3" max="3" width="15.1640625" customWidth="1"/>
    <col min="4" max="4" width="15" bestFit="1" customWidth="1"/>
    <col min="5" max="6" width="12.6640625" customWidth="1"/>
    <col min="7" max="7" width="10.6640625" customWidth="1"/>
    <col min="8" max="8" width="17" bestFit="1" customWidth="1"/>
    <col min="9" max="9" width="12.83203125" customWidth="1"/>
    <col min="10" max="11" width="11.5" customWidth="1"/>
    <col min="12" max="12" width="12.83203125" bestFit="1" customWidth="1"/>
    <col min="16" max="16" width="12.83203125" bestFit="1" customWidth="1"/>
  </cols>
  <sheetData>
    <row r="2" spans="1:16" ht="21" x14ac:dyDescent="0.5">
      <c r="A2" s="219" t="s">
        <v>307</v>
      </c>
    </row>
    <row r="3" spans="1:16" ht="18" customHeight="1" thickBot="1" x14ac:dyDescent="0.4">
      <c r="A3" s="233" t="s">
        <v>470</v>
      </c>
      <c r="B3" s="233" t="s">
        <v>305</v>
      </c>
      <c r="C3" s="234" t="s">
        <v>45</v>
      </c>
      <c r="D3" s="234" t="s">
        <v>46</v>
      </c>
      <c r="E3" s="234" t="s">
        <v>47</v>
      </c>
      <c r="F3" s="234" t="s">
        <v>90</v>
      </c>
      <c r="G3" s="233" t="s">
        <v>470</v>
      </c>
      <c r="H3" s="233" t="s">
        <v>305</v>
      </c>
      <c r="I3" s="234" t="s">
        <v>45</v>
      </c>
      <c r="J3" s="234" t="s">
        <v>46</v>
      </c>
      <c r="K3" s="234" t="s">
        <v>47</v>
      </c>
      <c r="L3" s="234" t="s">
        <v>90</v>
      </c>
    </row>
    <row r="4" spans="1:16" ht="17" customHeight="1" x14ac:dyDescent="0.35">
      <c r="A4" s="546" t="s">
        <v>471</v>
      </c>
      <c r="B4" s="221">
        <f>SUM(F5,F9)</f>
        <v>1858463.9494960418</v>
      </c>
      <c r="C4" s="221"/>
      <c r="D4" s="221"/>
      <c r="E4" s="221"/>
      <c r="F4" s="222"/>
      <c r="G4" s="546" t="s">
        <v>473</v>
      </c>
      <c r="H4" s="221">
        <f>SUM(L5,L9)</f>
        <v>21681449.528648015</v>
      </c>
      <c r="I4" s="221"/>
      <c r="J4" s="221"/>
      <c r="K4" s="221"/>
      <c r="L4" s="222"/>
    </row>
    <row r="5" spans="1:16" x14ac:dyDescent="0.35">
      <c r="A5" s="547"/>
      <c r="B5" s="223" t="s">
        <v>99</v>
      </c>
      <c r="C5" s="224">
        <f>SUM(C6:C8)</f>
        <v>66050</v>
      </c>
      <c r="D5" s="224">
        <f t="shared" ref="D5" si="0">SUM(D6:D8)</f>
        <v>22191</v>
      </c>
      <c r="E5" s="224">
        <f t="shared" ref="E5" si="1">SUM(E6:E8)</f>
        <v>29779.760000000002</v>
      </c>
      <c r="F5" s="225">
        <f t="shared" ref="F5" si="2">SUM(F6:F8)</f>
        <v>118020.76000000001</v>
      </c>
      <c r="G5" s="547"/>
      <c r="H5" s="223" t="s">
        <v>99</v>
      </c>
      <c r="I5" s="224">
        <f>SUM(I6:I8)</f>
        <v>1881100</v>
      </c>
      <c r="J5" s="224">
        <f t="shared" ref="J5" si="3">SUM(J6:J8)</f>
        <v>2554557</v>
      </c>
      <c r="K5" s="224">
        <f t="shared" ref="K5:L5" si="4">SUM(K6:K8)</f>
        <v>3336187.32</v>
      </c>
      <c r="L5" s="225">
        <f t="shared" si="4"/>
        <v>7771844.3200000003</v>
      </c>
    </row>
    <row r="6" spans="1:16" x14ac:dyDescent="0.35">
      <c r="A6" s="547"/>
      <c r="B6" s="226" t="s">
        <v>73</v>
      </c>
      <c r="C6" s="227">
        <f>'MW DC'!$C$24</f>
        <v>7050</v>
      </c>
      <c r="D6" s="227">
        <f>'MW DC'!$D$24</f>
        <v>7191</v>
      </c>
      <c r="E6" s="227">
        <f>'MW DC'!$E$24</f>
        <v>9779.76</v>
      </c>
      <c r="F6" s="228">
        <f>SUM(C6:E6)</f>
        <v>24020.760000000002</v>
      </c>
      <c r="G6" s="547"/>
      <c r="H6" s="226" t="s">
        <v>73</v>
      </c>
      <c r="I6" s="227">
        <f>'NE DC'!$C$24</f>
        <v>484100</v>
      </c>
      <c r="J6" s="227">
        <f>'NE DC'!$D$24</f>
        <v>673557</v>
      </c>
      <c r="K6" s="227">
        <f>'NE DC'!$E$24</f>
        <v>924187.32</v>
      </c>
      <c r="L6" s="228">
        <f>SUM(I6:K6)</f>
        <v>2081844.3199999998</v>
      </c>
      <c r="P6" s="43"/>
    </row>
    <row r="7" spans="1:16" x14ac:dyDescent="0.35">
      <c r="A7" s="547"/>
      <c r="B7" s="226" t="s">
        <v>306</v>
      </c>
      <c r="C7" s="227">
        <f>'MW DC'!$C$25</f>
        <v>49000</v>
      </c>
      <c r="D7" s="227">
        <f>'MW DC'!$D$25</f>
        <v>10000</v>
      </c>
      <c r="E7" s="227">
        <f>'MW DC'!$E$25</f>
        <v>15000</v>
      </c>
      <c r="F7" s="228">
        <f t="shared" ref="F7:F8" si="5">SUM(C7:E7)</f>
        <v>74000</v>
      </c>
      <c r="G7" s="547"/>
      <c r="H7" s="226" t="s">
        <v>306</v>
      </c>
      <c r="I7" s="227">
        <f>'NE DC'!$C$25</f>
        <v>1212000</v>
      </c>
      <c r="J7" s="227">
        <f>'NE DC'!$D$25</f>
        <v>1631000</v>
      </c>
      <c r="K7" s="227">
        <f>'NE DC'!$E$25</f>
        <v>2082000</v>
      </c>
      <c r="L7" s="228">
        <f t="shared" ref="L7:L8" si="6">SUM(I7:K7)</f>
        <v>4925000</v>
      </c>
      <c r="P7" s="43"/>
    </row>
    <row r="8" spans="1:16" x14ac:dyDescent="0.35">
      <c r="A8" s="547"/>
      <c r="B8" s="226" t="s">
        <v>100</v>
      </c>
      <c r="C8" s="227">
        <f>'MW DC'!$C$26</f>
        <v>10000</v>
      </c>
      <c r="D8" s="227">
        <f>'MW DC'!$D$26</f>
        <v>5000</v>
      </c>
      <c r="E8" s="227">
        <f>'MW DC'!$E$26</f>
        <v>5000</v>
      </c>
      <c r="F8" s="228">
        <f t="shared" si="5"/>
        <v>20000</v>
      </c>
      <c r="G8" s="547"/>
      <c r="H8" s="226" t="s">
        <v>100</v>
      </c>
      <c r="I8" s="227">
        <f>'NE DC'!$C$26</f>
        <v>185000</v>
      </c>
      <c r="J8" s="227">
        <f>'NE DC'!$D$26</f>
        <v>250000</v>
      </c>
      <c r="K8" s="227">
        <f>'NE DC'!$E$26</f>
        <v>330000</v>
      </c>
      <c r="L8" s="228">
        <f t="shared" si="6"/>
        <v>765000</v>
      </c>
      <c r="P8" s="43"/>
    </row>
    <row r="9" spans="1:16" x14ac:dyDescent="0.35">
      <c r="A9" s="547"/>
      <c r="B9" s="229" t="s">
        <v>486</v>
      </c>
      <c r="C9" s="224">
        <f>SUM(C10:C13)</f>
        <v>927226.07503034524</v>
      </c>
      <c r="D9" s="224">
        <f t="shared" ref="D9" si="7">SUM(D10:D13)</f>
        <v>385563.12644980755</v>
      </c>
      <c r="E9" s="224">
        <f t="shared" ref="E9" si="8">SUM(E10:E13)</f>
        <v>427653.98801588878</v>
      </c>
      <c r="F9" s="225">
        <f>SUM(F10:F13)</f>
        <v>1740443.1894960417</v>
      </c>
      <c r="G9" s="547"/>
      <c r="H9" s="229" t="s">
        <v>486</v>
      </c>
      <c r="I9" s="224">
        <f>SUM(I10:I13)</f>
        <v>2676644.5999956541</v>
      </c>
      <c r="J9" s="224">
        <f t="shared" ref="J9" si="9">SUM(J10:J13)</f>
        <v>4632870.0627584802</v>
      </c>
      <c r="K9" s="224">
        <f t="shared" ref="K9" si="10">SUM(K10:K13)</f>
        <v>6600090.5458938815</v>
      </c>
      <c r="L9" s="225">
        <f>SUM(L10:L13)</f>
        <v>13909605.208648015</v>
      </c>
      <c r="P9" s="43"/>
    </row>
    <row r="10" spans="1:16" x14ac:dyDescent="0.35">
      <c r="A10" s="547"/>
      <c r="B10" s="226" t="s">
        <v>216</v>
      </c>
      <c r="C10" s="227">
        <f>'MW DC'!$C$29</f>
        <v>1345.4355</v>
      </c>
      <c r="D10" s="227">
        <f>'MW DC'!$D$29</f>
        <v>2179.47975</v>
      </c>
      <c r="E10" s="227">
        <f>'MW DC'!$E$29</f>
        <v>3283.6132500000003</v>
      </c>
      <c r="F10" s="228">
        <f>SUM(C10:E10)</f>
        <v>6808.5285000000003</v>
      </c>
      <c r="G10" s="547"/>
      <c r="H10" s="226" t="s">
        <v>216</v>
      </c>
      <c r="I10" s="227">
        <f>'NE DC'!$C$29</f>
        <v>64436.486399999994</v>
      </c>
      <c r="J10" s="227">
        <f>'NE DC'!$D$29</f>
        <v>152476.272</v>
      </c>
      <c r="K10" s="227">
        <f>'NE DC'!$E$29</f>
        <v>267194.49119999999</v>
      </c>
      <c r="L10" s="228">
        <f>SUM(I10:K10)</f>
        <v>484107.24959999998</v>
      </c>
    </row>
    <row r="11" spans="1:16" x14ac:dyDescent="0.35">
      <c r="A11" s="547"/>
      <c r="B11" s="226" t="s">
        <v>101</v>
      </c>
      <c r="C11" s="227">
        <f>'MW DC'!$C$30</f>
        <v>75950</v>
      </c>
      <c r="D11" s="227">
        <f>'MW DC'!$D$30</f>
        <v>78228.5</v>
      </c>
      <c r="E11" s="227">
        <f>'MW DC'!$E$30</f>
        <v>80575.354999999996</v>
      </c>
      <c r="F11" s="228">
        <f t="shared" ref="F11:F12" si="11">SUM(C11:E11)</f>
        <v>234753.85499999998</v>
      </c>
      <c r="G11" s="547"/>
      <c r="H11" s="226" t="s">
        <v>101</v>
      </c>
      <c r="I11" s="227">
        <f>'NE DC'!$C$30</f>
        <v>486196</v>
      </c>
      <c r="J11" s="227">
        <f>'NE DC'!$D$30</f>
        <v>500781.88</v>
      </c>
      <c r="K11" s="227">
        <f>'NE DC'!$E$30</f>
        <v>515805.33640000003</v>
      </c>
      <c r="L11" s="228">
        <f t="shared" ref="L11:L12" si="12">SUM(I11:K11)</f>
        <v>1502783.2164</v>
      </c>
    </row>
    <row r="12" spans="1:16" x14ac:dyDescent="0.35">
      <c r="A12" s="547"/>
      <c r="B12" s="226" t="s">
        <v>475</v>
      </c>
      <c r="C12" s="227">
        <f>'MW DC'!$C$31</f>
        <v>823612.86095605022</v>
      </c>
      <c r="D12" s="227">
        <f>'MW DC'!$D$31</f>
        <v>248548.5767451484</v>
      </c>
      <c r="E12" s="227">
        <f>'MW DC'!$E$31</f>
        <v>258090.37319206621</v>
      </c>
      <c r="F12" s="228">
        <f t="shared" si="11"/>
        <v>1330251.8108932651</v>
      </c>
      <c r="G12" s="547"/>
      <c r="H12" s="226" t="s">
        <v>475</v>
      </c>
      <c r="I12" s="227">
        <f>'NE DC'!$C$31</f>
        <v>1595974.4842226028</v>
      </c>
      <c r="J12" s="227">
        <f>'NE DC'!$D$31</f>
        <v>2384543.2204263695</v>
      </c>
      <c r="K12" s="227">
        <f>'NE DC'!$E$31</f>
        <v>2785062.9307114724</v>
      </c>
      <c r="L12" s="228">
        <f t="shared" si="12"/>
        <v>6765580.6353604449</v>
      </c>
    </row>
    <row r="13" spans="1:16" ht="16" thickBot="1" x14ac:dyDescent="0.4">
      <c r="A13" s="548"/>
      <c r="B13" s="230" t="s">
        <v>476</v>
      </c>
      <c r="C13" s="231">
        <f>'MW DC'!$C$32</f>
        <v>26317.778574295036</v>
      </c>
      <c r="D13" s="231">
        <f>'MW DC'!$D$32</f>
        <v>56606.569954659142</v>
      </c>
      <c r="E13" s="231">
        <f>'MW DC'!$E$32</f>
        <v>85704.646573822596</v>
      </c>
      <c r="F13" s="232">
        <f>SUM(C13:E13)</f>
        <v>168628.99510277677</v>
      </c>
      <c r="G13" s="547"/>
      <c r="H13" s="230" t="s">
        <v>476</v>
      </c>
      <c r="I13" s="231">
        <f>'NE DC'!$C$32</f>
        <v>530037.62937305134</v>
      </c>
      <c r="J13" s="231">
        <f>'NE DC'!$D$32</f>
        <v>1595068.690332111</v>
      </c>
      <c r="K13" s="231">
        <f>'NE DC'!$E$32</f>
        <v>3032027.7875824096</v>
      </c>
      <c r="L13" s="232">
        <f>SUM(I13:K13)</f>
        <v>5157134.1072875718</v>
      </c>
    </row>
    <row r="14" spans="1:16" ht="17" customHeight="1" x14ac:dyDescent="0.35">
      <c r="A14" s="546" t="s">
        <v>472</v>
      </c>
      <c r="B14" s="221">
        <f>SUM(F15,F19)</f>
        <v>21661684.158089887</v>
      </c>
      <c r="C14" s="221"/>
      <c r="D14" s="221"/>
      <c r="E14" s="221"/>
      <c r="F14" s="222"/>
      <c r="G14" s="546" t="s">
        <v>474</v>
      </c>
      <c r="H14" s="221">
        <f>SUM(L15,L19)</f>
        <v>1936526.354892774</v>
      </c>
      <c r="I14" s="221"/>
      <c r="J14" s="221"/>
      <c r="K14" s="221"/>
      <c r="L14" s="222"/>
    </row>
    <row r="15" spans="1:16" x14ac:dyDescent="0.35">
      <c r="A15" s="547"/>
      <c r="B15" s="223" t="s">
        <v>99</v>
      </c>
      <c r="C15" s="224">
        <f>SUM(C16:C18)</f>
        <v>1881100</v>
      </c>
      <c r="D15" s="224">
        <f t="shared" ref="D15" si="13">SUM(D16:D18)</f>
        <v>2559557</v>
      </c>
      <c r="E15" s="224">
        <f t="shared" ref="E15:F15" si="14">SUM(E16:E18)</f>
        <v>3331187.32</v>
      </c>
      <c r="F15" s="225">
        <f t="shared" si="14"/>
        <v>7771844.3200000003</v>
      </c>
      <c r="G15" s="547"/>
      <c r="H15" s="223" t="s">
        <v>99</v>
      </c>
      <c r="I15" s="224">
        <f>SUM(I16:I18)</f>
        <v>66050</v>
      </c>
      <c r="J15" s="224">
        <f t="shared" ref="J15:K15" si="15">SUM(J16:J18)</f>
        <v>22191</v>
      </c>
      <c r="K15" s="224">
        <f t="shared" si="15"/>
        <v>29779.760000000002</v>
      </c>
      <c r="L15" s="225">
        <f t="shared" ref="L15" si="16">SUM(L16:L18)</f>
        <v>118020.76000000001</v>
      </c>
    </row>
    <row r="16" spans="1:16" ht="17" customHeight="1" x14ac:dyDescent="0.35">
      <c r="A16" s="547"/>
      <c r="B16" s="226" t="s">
        <v>73</v>
      </c>
      <c r="C16" s="227">
        <f>'W DC'!$C$24</f>
        <v>484100</v>
      </c>
      <c r="D16" s="227">
        <f>'W DC'!$D$24</f>
        <v>673557</v>
      </c>
      <c r="E16" s="227">
        <f>'W DC'!$E$24</f>
        <v>924187.32</v>
      </c>
      <c r="F16" s="228">
        <f>SUM(C16:E16)</f>
        <v>2081844.3199999998</v>
      </c>
      <c r="G16" s="547"/>
      <c r="H16" s="226" t="s">
        <v>73</v>
      </c>
      <c r="I16" s="227">
        <f>'S DC'!$C$24</f>
        <v>7050</v>
      </c>
      <c r="J16" s="227">
        <f>'S DC'!$D$24</f>
        <v>7191</v>
      </c>
      <c r="K16" s="227">
        <f>'S DC'!$E$24</f>
        <v>9779.76</v>
      </c>
      <c r="L16" s="228">
        <f>SUM(I16:K16)</f>
        <v>24020.760000000002</v>
      </c>
    </row>
    <row r="17" spans="1:12" x14ac:dyDescent="0.35">
      <c r="A17" s="547"/>
      <c r="B17" s="226" t="s">
        <v>306</v>
      </c>
      <c r="C17" s="227">
        <f>'W DC'!$C$25</f>
        <v>1212000</v>
      </c>
      <c r="D17" s="227">
        <f>'W DC'!$D$25</f>
        <v>1636000</v>
      </c>
      <c r="E17" s="227">
        <f>'W DC'!$E$25</f>
        <v>2077000</v>
      </c>
      <c r="F17" s="228">
        <f t="shared" ref="F17:F18" si="17">SUM(C17:E17)</f>
        <v>4925000</v>
      </c>
      <c r="G17" s="547"/>
      <c r="H17" s="226" t="s">
        <v>306</v>
      </c>
      <c r="I17" s="227">
        <f>'S DC'!$C$25</f>
        <v>49000</v>
      </c>
      <c r="J17" s="227">
        <f>'S DC'!$D$25</f>
        <v>10000</v>
      </c>
      <c r="K17" s="227">
        <f>'S DC'!$E$25</f>
        <v>15000</v>
      </c>
      <c r="L17" s="228">
        <f t="shared" ref="L17:L18" si="18">SUM(I17:K17)</f>
        <v>74000</v>
      </c>
    </row>
    <row r="18" spans="1:12" x14ac:dyDescent="0.35">
      <c r="A18" s="547"/>
      <c r="B18" s="226" t="s">
        <v>100</v>
      </c>
      <c r="C18" s="227">
        <f>'W DC'!$C$26</f>
        <v>185000</v>
      </c>
      <c r="D18" s="227">
        <f>'W DC'!$D$26</f>
        <v>250000</v>
      </c>
      <c r="E18" s="227">
        <f>'W DC'!$E$26</f>
        <v>330000</v>
      </c>
      <c r="F18" s="228">
        <f t="shared" si="17"/>
        <v>765000</v>
      </c>
      <c r="G18" s="547"/>
      <c r="H18" s="226" t="s">
        <v>100</v>
      </c>
      <c r="I18" s="227">
        <f>'S DC'!$C$26</f>
        <v>10000</v>
      </c>
      <c r="J18" s="227">
        <f>'S DC'!$D$26</f>
        <v>5000</v>
      </c>
      <c r="K18" s="227">
        <f>'S DC'!$E$26</f>
        <v>5000</v>
      </c>
      <c r="L18" s="228">
        <f t="shared" si="18"/>
        <v>20000</v>
      </c>
    </row>
    <row r="19" spans="1:12" x14ac:dyDescent="0.35">
      <c r="A19" s="547"/>
      <c r="B19" s="229" t="s">
        <v>486</v>
      </c>
      <c r="C19" s="224">
        <f>SUM(C20:C23)</f>
        <v>2539726.9842059887</v>
      </c>
      <c r="D19" s="224">
        <f t="shared" ref="D19" si="19">SUM(D20:D23)</f>
        <v>4539914.9754745653</v>
      </c>
      <c r="E19" s="224">
        <f t="shared" ref="E19" si="20">SUM(E20:E23)</f>
        <v>6810197.8784093335</v>
      </c>
      <c r="F19" s="225">
        <f>SUM(F20:F23)</f>
        <v>13889839.838089887</v>
      </c>
      <c r="G19" s="547"/>
      <c r="H19" s="229" t="s">
        <v>486</v>
      </c>
      <c r="I19" s="224">
        <f>SUM(I20:I23)</f>
        <v>978268.54308160255</v>
      </c>
      <c r="J19" s="224">
        <f t="shared" ref="J19:K19" si="21">SUM(J20:J23)</f>
        <v>398653.3663737381</v>
      </c>
      <c r="K19" s="224">
        <f t="shared" si="21"/>
        <v>441583.68543743336</v>
      </c>
      <c r="L19" s="225">
        <f>SUM(L20:L23)</f>
        <v>1818505.594892774</v>
      </c>
    </row>
    <row r="20" spans="1:12" x14ac:dyDescent="0.35">
      <c r="A20" s="547"/>
      <c r="B20" s="226" t="s">
        <v>216</v>
      </c>
      <c r="C20" s="227">
        <f>'W DC'!$C$29</f>
        <v>81268.453200000004</v>
      </c>
      <c r="D20" s="227">
        <f>'W DC'!$D$29</f>
        <v>192445.46415000001</v>
      </c>
      <c r="E20" s="227">
        <f>'W DC'!$E$29</f>
        <v>336990.48810000002</v>
      </c>
      <c r="F20" s="228">
        <f>SUM(C20:E20)</f>
        <v>610704.40544999996</v>
      </c>
      <c r="G20" s="547"/>
      <c r="H20" s="226" t="s">
        <v>216</v>
      </c>
      <c r="I20" s="227">
        <f>'S DC'!$C$29</f>
        <v>953.44475</v>
      </c>
      <c r="J20" s="227">
        <f>'S DC'!$D$29</f>
        <v>1544.4913750000001</v>
      </c>
      <c r="K20" s="227">
        <f>'S DC'!$E$29</f>
        <v>2326.9371249999999</v>
      </c>
      <c r="L20" s="228">
        <f>SUM(I20:K20)</f>
        <v>4824.8732500000006</v>
      </c>
    </row>
    <row r="21" spans="1:12" ht="18" customHeight="1" x14ac:dyDescent="0.35">
      <c r="A21" s="547"/>
      <c r="B21" s="226" t="s">
        <v>101</v>
      </c>
      <c r="C21" s="227">
        <f>'W DC'!$C$30</f>
        <v>404428</v>
      </c>
      <c r="D21" s="227">
        <f>'W DC'!$D$30</f>
        <v>416560.84</v>
      </c>
      <c r="E21" s="227">
        <f>'W DC'!$E$30</f>
        <v>429057.66520000005</v>
      </c>
      <c r="F21" s="228">
        <f t="shared" ref="F21:F22" si="22">SUM(C21:E21)</f>
        <v>1250046.5052</v>
      </c>
      <c r="G21" s="547"/>
      <c r="H21" s="226" t="s">
        <v>101</v>
      </c>
      <c r="I21" s="227">
        <f>'S DC'!$C$30</f>
        <v>79370</v>
      </c>
      <c r="J21" s="227">
        <f>'S DC'!$D$30</f>
        <v>81751.100000000006</v>
      </c>
      <c r="K21" s="227">
        <f>'S DC'!$E$30</f>
        <v>84203.633000000002</v>
      </c>
      <c r="L21" s="228">
        <f t="shared" ref="L21:L22" si="23">SUM(I21:K21)</f>
        <v>245324.73300000001</v>
      </c>
    </row>
    <row r="22" spans="1:12" ht="18" customHeight="1" x14ac:dyDescent="0.35">
      <c r="A22" s="547"/>
      <c r="B22" s="226" t="s">
        <v>475</v>
      </c>
      <c r="C22" s="227">
        <f>'W DC'!$C$31</f>
        <v>1379309.0586472601</v>
      </c>
      <c r="D22" s="227">
        <f>'W DC'!$D$31</f>
        <v>1993415.8990903255</v>
      </c>
      <c r="E22" s="227">
        <f>'W DC'!$E$31</f>
        <v>2405032.8433797089</v>
      </c>
      <c r="F22" s="228">
        <f t="shared" si="22"/>
        <v>5777757.8011172945</v>
      </c>
      <c r="G22" s="547"/>
      <c r="H22" s="226" t="s">
        <v>475</v>
      </c>
      <c r="I22" s="227">
        <f>'S DC'!$C$31</f>
        <v>863013.41600385273</v>
      </c>
      <c r="J22" s="227">
        <f>'S DC'!$D$31</f>
        <v>249699.91758240582</v>
      </c>
      <c r="K22" s="227">
        <f>'S DC'!$E$31</f>
        <v>259718.80385166951</v>
      </c>
      <c r="L22" s="228">
        <f t="shared" si="23"/>
        <v>1372432.137437928</v>
      </c>
    </row>
    <row r="23" spans="1:12" ht="16" thickBot="1" x14ac:dyDescent="0.4">
      <c r="A23" s="548"/>
      <c r="B23" s="230" t="s">
        <v>476</v>
      </c>
      <c r="C23" s="231">
        <f>'W DC'!$C$32</f>
        <v>674721.47235872876</v>
      </c>
      <c r="D23" s="231">
        <f>'W DC'!$D$32</f>
        <v>1937492.7722342394</v>
      </c>
      <c r="E23" s="231">
        <f>'W DC'!$E$32</f>
        <v>3639116.8817296238</v>
      </c>
      <c r="F23" s="232">
        <f>SUM(C23:E23)</f>
        <v>6251331.1263225917</v>
      </c>
      <c r="G23" s="548"/>
      <c r="H23" s="230" t="s">
        <v>476</v>
      </c>
      <c r="I23" s="231">
        <f>'S DC'!$C$32</f>
        <v>34931.682327749833</v>
      </c>
      <c r="J23" s="231">
        <f>'S DC'!$D$32</f>
        <v>65657.857416332292</v>
      </c>
      <c r="K23" s="231">
        <f>'S DC'!$E$32</f>
        <v>95334.311460763856</v>
      </c>
      <c r="L23" s="232">
        <f>SUM(I23:K23)</f>
        <v>195923.851204846</v>
      </c>
    </row>
    <row r="25" spans="1:12" ht="18.5" x14ac:dyDescent="0.45">
      <c r="A25" s="220"/>
    </row>
    <row r="26" spans="1:12" ht="23.5" x14ac:dyDescent="0.55000000000000004">
      <c r="A26" s="524" t="s">
        <v>477</v>
      </c>
    </row>
    <row r="27" spans="1:12" x14ac:dyDescent="0.35">
      <c r="C27" s="39"/>
      <c r="D27" s="39"/>
      <c r="E27" s="39"/>
      <c r="F27" s="39"/>
    </row>
    <row r="28" spans="1:12" x14ac:dyDescent="0.35">
      <c r="B28" s="39"/>
      <c r="C28" s="525" t="s">
        <v>478</v>
      </c>
      <c r="D28" s="525" t="s">
        <v>479</v>
      </c>
      <c r="E28" s="43"/>
      <c r="F28" s="43"/>
    </row>
    <row r="29" spans="1:12" x14ac:dyDescent="0.35">
      <c r="B29" s="10" t="s">
        <v>73</v>
      </c>
      <c r="C29" s="1">
        <v>1357</v>
      </c>
      <c r="D29" s="1">
        <f>'NE DC'!E16+'MW DC'!E16+'S DC'!E16+'W DC'!E16</f>
        <v>1782</v>
      </c>
      <c r="E29" s="43"/>
      <c r="F29" s="43"/>
    </row>
    <row r="30" spans="1:12" x14ac:dyDescent="0.35">
      <c r="B30" s="10" t="s">
        <v>311</v>
      </c>
      <c r="C30" s="1">
        <v>1098</v>
      </c>
      <c r="D30" s="1">
        <f>'NE DC'!E17+'MW DC'!E17+'S DC'!E17+'W DC'!E17</f>
        <v>1490</v>
      </c>
      <c r="E30" s="43"/>
      <c r="F30" s="43"/>
    </row>
    <row r="31" spans="1:12" x14ac:dyDescent="0.35">
      <c r="B31" s="10" t="s">
        <v>312</v>
      </c>
      <c r="C31" s="1">
        <v>37</v>
      </c>
      <c r="D31" s="1">
        <f>'NE DC'!E18+'MW DC'!E18+'S DC'!E18+'W DC'!E18</f>
        <v>56</v>
      </c>
      <c r="E31" s="43"/>
      <c r="F31" s="43"/>
    </row>
    <row r="32" spans="1:12" x14ac:dyDescent="0.35">
      <c r="B32" s="10" t="s">
        <v>100</v>
      </c>
      <c r="C32" s="1">
        <v>252</v>
      </c>
      <c r="D32" s="1">
        <f>'NE DC'!E19+'MW DC'!E19+'S DC'!E19+'W DC'!E19</f>
        <v>334</v>
      </c>
      <c r="E32" s="43"/>
      <c r="F32" s="43"/>
    </row>
    <row r="33" spans="1:6" x14ac:dyDescent="0.35">
      <c r="B33" s="202"/>
      <c r="C33" s="43"/>
      <c r="D33" s="43"/>
      <c r="E33" s="43"/>
      <c r="F33" s="43"/>
    </row>
    <row r="34" spans="1:6" x14ac:dyDescent="0.35">
      <c r="B34" s="202"/>
      <c r="C34" s="43"/>
      <c r="D34" s="43"/>
      <c r="E34" s="43"/>
      <c r="F34" s="43"/>
    </row>
    <row r="35" spans="1:6" x14ac:dyDescent="0.35">
      <c r="B35" s="10"/>
      <c r="C35" s="525" t="s">
        <v>478</v>
      </c>
      <c r="D35" s="525" t="s">
        <v>479</v>
      </c>
    </row>
    <row r="36" spans="1:6" x14ac:dyDescent="0.35">
      <c r="B36" t="s">
        <v>73</v>
      </c>
      <c r="C36" s="59">
        <v>4205626.74</v>
      </c>
      <c r="D36" s="59">
        <f>SUM(F6,L6,F16,L16)</f>
        <v>4211730.1599999992</v>
      </c>
    </row>
    <row r="37" spans="1:6" x14ac:dyDescent="0.35">
      <c r="B37" t="s">
        <v>76</v>
      </c>
      <c r="C37" s="59">
        <v>7428000</v>
      </c>
      <c r="D37" s="59">
        <f>SUM(F7,L7,F17,L17)</f>
        <v>9998000</v>
      </c>
    </row>
    <row r="38" spans="1:6" x14ac:dyDescent="0.35">
      <c r="B38" t="s">
        <v>100</v>
      </c>
      <c r="C38" s="59">
        <v>1455000</v>
      </c>
      <c r="D38" s="59">
        <f>SUM(F8,L8,F18,L18)</f>
        <v>1570000</v>
      </c>
    </row>
    <row r="39" spans="1:6" x14ac:dyDescent="0.35">
      <c r="B39" t="s">
        <v>216</v>
      </c>
      <c r="C39" s="59">
        <v>827918.92080000008</v>
      </c>
      <c r="D39" s="59">
        <f>SUM(F10,L10,F20,L20)</f>
        <v>1106445.0567999999</v>
      </c>
    </row>
    <row r="40" spans="1:6" x14ac:dyDescent="0.35">
      <c r="B40" t="s">
        <v>101</v>
      </c>
      <c r="C40" s="59">
        <v>6268345.2000000002</v>
      </c>
      <c r="D40" s="59">
        <f t="shared" ref="D40:D42" si="24">SUM(F11,L11,F21,L21)</f>
        <v>3232908.3096000003</v>
      </c>
    </row>
    <row r="41" spans="1:6" x14ac:dyDescent="0.35">
      <c r="B41" t="s">
        <v>475</v>
      </c>
      <c r="C41" s="59">
        <v>10612168.76031271</v>
      </c>
      <c r="D41" s="59">
        <f>SUM(F12,L12,F22,L22)</f>
        <v>15246022.384808931</v>
      </c>
    </row>
    <row r="42" spans="1:6" x14ac:dyDescent="0.35">
      <c r="B42" t="s">
        <v>476</v>
      </c>
      <c r="C42" s="59">
        <v>14950843.57060959</v>
      </c>
      <c r="D42" s="59">
        <f t="shared" si="24"/>
        <v>11773018.079917787</v>
      </c>
    </row>
    <row r="43" spans="1:6" ht="18.5" x14ac:dyDescent="0.45">
      <c r="A43" s="220"/>
    </row>
    <row r="45" spans="1:6" x14ac:dyDescent="0.35">
      <c r="C45" s="525"/>
      <c r="D45" s="525"/>
      <c r="E45" s="39"/>
      <c r="F45" s="39"/>
    </row>
    <row r="46" spans="1:6" x14ac:dyDescent="0.35">
      <c r="C46" s="264"/>
      <c r="D46" s="264"/>
      <c r="E46" s="264"/>
      <c r="F46" s="264"/>
    </row>
    <row r="47" spans="1:6" x14ac:dyDescent="0.35">
      <c r="C47" s="264"/>
      <c r="D47" s="264"/>
      <c r="E47" s="264"/>
      <c r="F47" s="264"/>
    </row>
    <row r="48" spans="1:6" x14ac:dyDescent="0.35">
      <c r="C48" s="525"/>
      <c r="D48" s="525"/>
      <c r="E48" s="264"/>
      <c r="F48" s="264"/>
    </row>
    <row r="49" spans="1:6" x14ac:dyDescent="0.35">
      <c r="C49" s="1"/>
      <c r="D49" s="264"/>
      <c r="E49" s="264"/>
      <c r="F49" s="264"/>
    </row>
    <row r="50" spans="1:6" x14ac:dyDescent="0.35">
      <c r="C50" s="1"/>
      <c r="D50" s="264"/>
    </row>
    <row r="51" spans="1:6" x14ac:dyDescent="0.35">
      <c r="C51" s="1"/>
      <c r="D51" s="264"/>
    </row>
    <row r="54" spans="1:6" x14ac:dyDescent="0.35">
      <c r="A54" s="202"/>
    </row>
    <row r="55" spans="1:6" x14ac:dyDescent="0.35">
      <c r="C55" s="39"/>
      <c r="D55" s="39"/>
      <c r="E55" s="39"/>
      <c r="F55" s="39"/>
    </row>
  </sheetData>
  <mergeCells count="4">
    <mergeCell ref="A14:A23"/>
    <mergeCell ref="G14:G23"/>
    <mergeCell ref="A4:A13"/>
    <mergeCell ref="G4:G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2EB4-86FF-A447-8247-8170E80B7D39}">
  <dimension ref="A1:CM189"/>
  <sheetViews>
    <sheetView zoomScaleNormal="100" workbookViewId="0">
      <selection activeCell="E76" sqref="E76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63" width="12.5" customWidth="1"/>
    <col min="64" max="65" width="11.6640625" customWidth="1"/>
    <col min="66" max="66" width="11.5" bestFit="1" customWidth="1"/>
    <col min="67" max="68" width="11.6640625" customWidth="1"/>
    <col min="69" max="69" width="12.5" bestFit="1" customWidth="1"/>
    <col min="70" max="76" width="11.6640625" customWidth="1"/>
    <col min="77" max="77" width="11.5" customWidth="1"/>
    <col min="78" max="80" width="11.5" bestFit="1" customWidth="1"/>
    <col min="81" max="81" width="23.6640625" bestFit="1" customWidth="1"/>
    <col min="82" max="82" width="10.5" bestFit="1" customWidth="1"/>
    <col min="83" max="84" width="11.5" bestFit="1" customWidth="1"/>
    <col min="85" max="85" width="12.5" bestFit="1" customWidth="1"/>
    <col min="86" max="86" width="11.5" bestFit="1" customWidth="1"/>
    <col min="87" max="87" width="11.6640625" customWidth="1"/>
    <col min="88" max="89" width="12.5" bestFit="1" customWidth="1"/>
  </cols>
  <sheetData>
    <row r="1" spans="1:10" ht="23.5" x14ac:dyDescent="0.55000000000000004">
      <c r="A1" s="61" t="s">
        <v>390</v>
      </c>
    </row>
    <row r="3" spans="1:10" x14ac:dyDescent="0.35">
      <c r="C3" s="6"/>
      <c r="D3" s="1"/>
    </row>
    <row r="4" spans="1:10" ht="21" x14ac:dyDescent="0.5">
      <c r="A4" s="54" t="s">
        <v>41</v>
      </c>
      <c r="C4" s="6"/>
      <c r="D4" s="1"/>
    </row>
    <row r="7" spans="1:10" x14ac:dyDescent="0.35">
      <c r="A7" t="s">
        <v>325</v>
      </c>
      <c r="C7" s="6"/>
      <c r="D7" s="1"/>
    </row>
    <row r="8" spans="1:10" x14ac:dyDescent="0.35">
      <c r="A8" t="s">
        <v>324</v>
      </c>
      <c r="C8" s="6"/>
      <c r="D8" s="1"/>
    </row>
    <row r="9" spans="1:10" x14ac:dyDescent="0.35">
      <c r="A9" t="s">
        <v>102</v>
      </c>
      <c r="C9" s="6"/>
      <c r="D9" s="1"/>
    </row>
    <row r="10" spans="1:10" x14ac:dyDescent="0.35">
      <c r="A10" t="s">
        <v>103</v>
      </c>
      <c r="C10" s="6"/>
      <c r="D10" s="1"/>
    </row>
    <row r="11" spans="1:10" x14ac:dyDescent="0.35">
      <c r="A11" t="s">
        <v>74</v>
      </c>
      <c r="C11" s="6"/>
      <c r="D11" s="1"/>
    </row>
    <row r="12" spans="1:10" x14ac:dyDescent="0.35">
      <c r="C12" s="6"/>
      <c r="D12" s="1"/>
    </row>
    <row r="13" spans="1:10" ht="21" x14ac:dyDescent="0.5">
      <c r="A13" s="190" t="s">
        <v>395</v>
      </c>
    </row>
    <row r="15" spans="1:10" x14ac:dyDescent="0.35">
      <c r="A15" s="8" t="s">
        <v>221</v>
      </c>
      <c r="B15" s="211" t="s">
        <v>274</v>
      </c>
      <c r="C15" s="39" t="s">
        <v>45</v>
      </c>
      <c r="D15" s="39" t="s">
        <v>46</v>
      </c>
      <c r="E15" s="39" t="s">
        <v>47</v>
      </c>
      <c r="G15" s="39"/>
      <c r="H15" s="39"/>
      <c r="I15" s="39"/>
      <c r="J15" s="39"/>
    </row>
    <row r="16" spans="1:10" x14ac:dyDescent="0.35">
      <c r="B16" s="202" t="s">
        <v>73</v>
      </c>
      <c r="C16" s="192">
        <f>BH88</f>
        <v>3</v>
      </c>
      <c r="D16" s="192">
        <f>SUM(BH88:BI88)</f>
        <v>6</v>
      </c>
      <c r="E16" s="193">
        <f>SUM(BH88:BJ88)</f>
        <v>10</v>
      </c>
      <c r="G16" s="31"/>
      <c r="H16" s="43"/>
    </row>
    <row r="17" spans="1:5" x14ac:dyDescent="0.35">
      <c r="B17" s="202" t="s">
        <v>311</v>
      </c>
      <c r="C17" s="193">
        <f>M128</f>
        <v>5</v>
      </c>
      <c r="D17" s="193">
        <f>N128</f>
        <v>7</v>
      </c>
      <c r="E17" s="193">
        <f>O128</f>
        <v>10</v>
      </c>
    </row>
    <row r="18" spans="1:5" x14ac:dyDescent="0.35">
      <c r="B18" s="202" t="s">
        <v>312</v>
      </c>
      <c r="C18" s="193">
        <f>P128</f>
        <v>1</v>
      </c>
      <c r="D18" s="193">
        <f>Q128</f>
        <v>1</v>
      </c>
      <c r="E18" s="193">
        <f>R128</f>
        <v>1</v>
      </c>
    </row>
    <row r="19" spans="1:5" x14ac:dyDescent="0.35">
      <c r="B19" s="202" t="s">
        <v>100</v>
      </c>
      <c r="C19" s="193">
        <f>SUM(BH89,AV127)</f>
        <v>2</v>
      </c>
      <c r="D19" s="193">
        <f>SUM(BH89:BI89,AV127:AW127)</f>
        <v>3</v>
      </c>
      <c r="E19" s="193">
        <f>SUM(BH89:BJ89,AV127:AX127)</f>
        <v>4</v>
      </c>
    </row>
    <row r="20" spans="1:5" x14ac:dyDescent="0.35">
      <c r="B20" s="10"/>
      <c r="C20" s="193"/>
      <c r="D20" s="193"/>
      <c r="E20" s="193"/>
    </row>
    <row r="21" spans="1:5" ht="21" x14ac:dyDescent="0.5">
      <c r="A21" s="190" t="s">
        <v>69</v>
      </c>
      <c r="B21" s="10"/>
      <c r="C21" s="1"/>
      <c r="D21" s="1"/>
      <c r="E21" s="1"/>
    </row>
    <row r="22" spans="1:5" x14ac:dyDescent="0.35">
      <c r="B22" s="10"/>
      <c r="C22" s="1"/>
      <c r="D22" s="1"/>
      <c r="E22" s="1"/>
    </row>
    <row r="23" spans="1:5" x14ac:dyDescent="0.35">
      <c r="A23" s="8" t="s">
        <v>277</v>
      </c>
      <c r="B23" s="10"/>
      <c r="C23" s="39" t="s">
        <v>45</v>
      </c>
      <c r="D23" s="39" t="s">
        <v>46</v>
      </c>
      <c r="E23" s="39" t="s">
        <v>47</v>
      </c>
    </row>
    <row r="24" spans="1:5" x14ac:dyDescent="0.35">
      <c r="B24" s="202" t="s">
        <v>73</v>
      </c>
      <c r="C24" s="59">
        <f>AH87</f>
        <v>7050</v>
      </c>
      <c r="D24" s="59">
        <f>AO87</f>
        <v>7191</v>
      </c>
      <c r="E24" s="59">
        <f>AV87</f>
        <v>9779.76</v>
      </c>
    </row>
    <row r="25" spans="1:5" x14ac:dyDescent="0.35">
      <c r="B25" s="202" t="s">
        <v>76</v>
      </c>
      <c r="C25" s="59">
        <f>SUM(Z124:AA124)</f>
        <v>49000</v>
      </c>
      <c r="D25" s="59">
        <f>SUM(AG124:AH124)</f>
        <v>10000</v>
      </c>
      <c r="E25" s="59">
        <f>SUM(AN124:AO124)</f>
        <v>15000</v>
      </c>
    </row>
    <row r="26" spans="1:5" x14ac:dyDescent="0.35">
      <c r="B26" s="202" t="s">
        <v>100</v>
      </c>
      <c r="C26" s="59">
        <f>AI87+AB124</f>
        <v>10000</v>
      </c>
      <c r="D26" s="59">
        <f>AP87+AI124</f>
        <v>5000</v>
      </c>
      <c r="E26" s="59">
        <f>AW87+AP124</f>
        <v>5000</v>
      </c>
    </row>
    <row r="27" spans="1:5" x14ac:dyDescent="0.35">
      <c r="B27" s="18" t="s">
        <v>281</v>
      </c>
      <c r="C27" s="196">
        <f>SUM(C24:C26)</f>
        <v>66050</v>
      </c>
      <c r="D27" s="196">
        <f t="shared" ref="D27:E27" si="0">SUM(D24:D26)</f>
        <v>22191</v>
      </c>
      <c r="E27" s="196">
        <f t="shared" si="0"/>
        <v>29779.760000000002</v>
      </c>
    </row>
    <row r="28" spans="1:5" x14ac:dyDescent="0.35">
      <c r="A28" s="8" t="s">
        <v>278</v>
      </c>
      <c r="B28" s="10"/>
      <c r="C28" s="1"/>
      <c r="D28" s="1"/>
      <c r="E28" s="1"/>
    </row>
    <row r="29" spans="1:5" x14ac:dyDescent="0.35">
      <c r="A29" s="8"/>
      <c r="B29" s="202" t="s">
        <v>216</v>
      </c>
      <c r="C29" s="59">
        <f>C162</f>
        <v>1345.4355</v>
      </c>
      <c r="D29" s="59">
        <f>D162</f>
        <v>2179.47975</v>
      </c>
      <c r="E29" s="59">
        <f>E162</f>
        <v>3283.6132500000003</v>
      </c>
    </row>
    <row r="30" spans="1:5" x14ac:dyDescent="0.35">
      <c r="B30" s="202" t="s">
        <v>101</v>
      </c>
      <c r="C30" s="59">
        <f>C173</f>
        <v>75950</v>
      </c>
      <c r="D30" s="59">
        <f>D173</f>
        <v>78228.5</v>
      </c>
      <c r="E30" s="59">
        <f>E173</f>
        <v>80575.354999999996</v>
      </c>
    </row>
    <row r="31" spans="1:5" x14ac:dyDescent="0.35">
      <c r="B31" t="s">
        <v>428</v>
      </c>
      <c r="C31" s="59">
        <f>C155</f>
        <v>823612.86095605022</v>
      </c>
      <c r="D31" s="59">
        <f>D155</f>
        <v>248548.5767451484</v>
      </c>
      <c r="E31" s="59">
        <f>E155</f>
        <v>258090.37319206621</v>
      </c>
    </row>
    <row r="32" spans="1:5" x14ac:dyDescent="0.35">
      <c r="B32" t="s">
        <v>310</v>
      </c>
      <c r="C32" s="59">
        <f>SUM(C163:C165)</f>
        <v>26317.778574295036</v>
      </c>
      <c r="D32" s="59">
        <f>SUM(D163:D165)</f>
        <v>56606.569954659142</v>
      </c>
      <c r="E32" s="59">
        <f>SUM(E163:E165)</f>
        <v>85704.646573822596</v>
      </c>
    </row>
    <row r="33" spans="1:91" x14ac:dyDescent="0.35">
      <c r="B33" s="8" t="s">
        <v>280</v>
      </c>
      <c r="C33" s="196">
        <f>SUM(C29:C32)</f>
        <v>927226.07503034524</v>
      </c>
      <c r="D33" s="196">
        <f>SUM(D29:D32)</f>
        <v>385563.12644980755</v>
      </c>
      <c r="E33" s="196">
        <f>SUM(E29:E32)</f>
        <v>427653.98801588878</v>
      </c>
    </row>
    <row r="34" spans="1:91" x14ac:dyDescent="0.35">
      <c r="A34" s="208" t="s">
        <v>279</v>
      </c>
      <c r="B34" s="213">
        <f>SUM(C34:E34)</f>
        <v>1858463.9494960415</v>
      </c>
      <c r="C34" s="207">
        <f>SUM(C27,C33)</f>
        <v>993276.07503034524</v>
      </c>
      <c r="D34" s="207">
        <f>SUM(D27,D33)</f>
        <v>407754.12644980755</v>
      </c>
      <c r="E34" s="207">
        <f>SUM(E27,E33)</f>
        <v>457433.74801588879</v>
      </c>
    </row>
    <row r="35" spans="1:91" x14ac:dyDescent="0.35">
      <c r="C35" s="1"/>
    </row>
    <row r="36" spans="1:91" x14ac:dyDescent="0.3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</row>
    <row r="37" spans="1:91" x14ac:dyDescent="0.35">
      <c r="C37" s="1"/>
    </row>
    <row r="38" spans="1:91" ht="21" x14ac:dyDescent="0.5">
      <c r="A38" s="54" t="s">
        <v>73</v>
      </c>
      <c r="C38" s="1"/>
    </row>
    <row r="39" spans="1:91" x14ac:dyDescent="0.35">
      <c r="C39" s="1"/>
    </row>
    <row r="40" spans="1:91" ht="18.5" x14ac:dyDescent="0.45">
      <c r="A40" s="34" t="s">
        <v>301</v>
      </c>
    </row>
    <row r="42" spans="1:91" ht="34" customHeight="1" thickBot="1" x14ac:dyDescent="0.5">
      <c r="A42" s="582" t="s">
        <v>385</v>
      </c>
      <c r="B42" s="582"/>
      <c r="C42" s="582"/>
      <c r="D42" s="582"/>
      <c r="E42" s="582"/>
      <c r="G42" s="34" t="s">
        <v>214</v>
      </c>
      <c r="AG42" s="34" t="s">
        <v>215</v>
      </c>
    </row>
    <row r="43" spans="1:91" ht="51" customHeight="1" thickBot="1" x14ac:dyDescent="0.4">
      <c r="A43" s="29" t="s">
        <v>62</v>
      </c>
      <c r="B43" s="71" t="s">
        <v>151</v>
      </c>
      <c r="C43" s="72" t="s">
        <v>45</v>
      </c>
      <c r="D43" s="72" t="s">
        <v>46</v>
      </c>
      <c r="E43" s="73" t="s">
        <v>47</v>
      </c>
      <c r="G43" s="402" t="s">
        <v>45</v>
      </c>
      <c r="H43" s="178"/>
      <c r="I43" s="178"/>
      <c r="J43" s="178"/>
      <c r="K43" s="178"/>
      <c r="L43" s="178"/>
      <c r="M43" s="179"/>
      <c r="N43" s="8"/>
      <c r="O43" s="402" t="s">
        <v>46</v>
      </c>
      <c r="P43" s="178"/>
      <c r="Q43" s="178"/>
      <c r="R43" s="178"/>
      <c r="S43" s="178"/>
      <c r="T43" s="178"/>
      <c r="U43" s="178"/>
      <c r="V43" s="179"/>
      <c r="W43" s="8"/>
      <c r="X43" s="66" t="s">
        <v>47</v>
      </c>
      <c r="Y43" s="67"/>
      <c r="Z43" s="67"/>
      <c r="AA43" s="67"/>
      <c r="AB43" s="67"/>
      <c r="AC43" s="67"/>
      <c r="AD43" s="67"/>
      <c r="AE43" s="68"/>
      <c r="AF43" s="8"/>
      <c r="AG43" s="66" t="s">
        <v>45</v>
      </c>
      <c r="AH43" s="67"/>
      <c r="AI43" s="67"/>
      <c r="AJ43" s="67"/>
      <c r="AK43" s="67"/>
      <c r="AL43" s="68"/>
      <c r="AN43" s="66" t="s">
        <v>46</v>
      </c>
      <c r="AO43" s="67"/>
      <c r="AP43" s="67"/>
      <c r="AQ43" s="67"/>
      <c r="AR43" s="67"/>
      <c r="AS43" s="68"/>
      <c r="AU43" s="66" t="s">
        <v>47</v>
      </c>
      <c r="AV43" s="67"/>
      <c r="AW43" s="67"/>
      <c r="AX43" s="67"/>
      <c r="AY43" s="67"/>
      <c r="AZ43" s="68"/>
      <c r="BB43" s="105" t="s">
        <v>202</v>
      </c>
      <c r="BC43" s="105" t="s">
        <v>201</v>
      </c>
      <c r="BD43" s="13" t="s">
        <v>200</v>
      </c>
      <c r="BE43" s="105" t="s">
        <v>199</v>
      </c>
      <c r="BG43" s="71" t="s">
        <v>69</v>
      </c>
      <c r="BH43" s="72"/>
      <c r="BI43" s="72"/>
      <c r="BJ43" s="72"/>
      <c r="BK43" s="73"/>
    </row>
    <row r="44" spans="1:91" ht="35" customHeight="1" thickBot="1" x14ac:dyDescent="0.4">
      <c r="A44" s="26"/>
      <c r="B44" s="216" t="s">
        <v>43</v>
      </c>
      <c r="C44" s="391">
        <v>0</v>
      </c>
      <c r="D44" s="391">
        <v>0</v>
      </c>
      <c r="E44" s="392">
        <v>0</v>
      </c>
      <c r="G44" s="123" t="s">
        <v>48</v>
      </c>
      <c r="H44" s="400" t="s">
        <v>134</v>
      </c>
      <c r="I44" s="110" t="s">
        <v>42</v>
      </c>
      <c r="J44" s="110" t="s">
        <v>29</v>
      </c>
      <c r="K44" s="114" t="s">
        <v>71</v>
      </c>
      <c r="L44" s="110" t="s">
        <v>51</v>
      </c>
      <c r="M44" s="401" t="s">
        <v>222</v>
      </c>
      <c r="N44" s="198"/>
      <c r="O44" s="123" t="s">
        <v>48</v>
      </c>
      <c r="P44" s="400" t="s">
        <v>134</v>
      </c>
      <c r="Q44" s="110" t="s">
        <v>42</v>
      </c>
      <c r="R44" s="110" t="s">
        <v>29</v>
      </c>
      <c r="S44" s="114" t="s">
        <v>95</v>
      </c>
      <c r="T44" s="114" t="s">
        <v>65</v>
      </c>
      <c r="U44" s="114" t="s">
        <v>67</v>
      </c>
      <c r="V44" s="401" t="s">
        <v>222</v>
      </c>
      <c r="W44" s="198"/>
      <c r="X44" s="123" t="s">
        <v>48</v>
      </c>
      <c r="Y44" s="400" t="s">
        <v>134</v>
      </c>
      <c r="Z44" s="110" t="s">
        <v>42</v>
      </c>
      <c r="AA44" s="110" t="s">
        <v>29</v>
      </c>
      <c r="AB44" s="114" t="s">
        <v>95</v>
      </c>
      <c r="AC44" s="114" t="s">
        <v>65</v>
      </c>
      <c r="AD44" s="114" t="s">
        <v>67</v>
      </c>
      <c r="AE44" s="401" t="s">
        <v>222</v>
      </c>
      <c r="AF44" s="198"/>
      <c r="AG44" s="268" t="s">
        <v>48</v>
      </c>
      <c r="AH44" s="201" t="s">
        <v>50</v>
      </c>
      <c r="AI44" s="265" t="s">
        <v>52</v>
      </c>
      <c r="AJ44" s="267" t="s">
        <v>223</v>
      </c>
      <c r="AK44" s="267" t="s">
        <v>54</v>
      </c>
      <c r="AL44" s="266" t="s">
        <v>88</v>
      </c>
      <c r="AN44" s="268" t="s">
        <v>48</v>
      </c>
      <c r="AO44" s="267" t="s">
        <v>66</v>
      </c>
      <c r="AP44" s="267" t="s">
        <v>68</v>
      </c>
      <c r="AQ44" s="267" t="s">
        <v>223</v>
      </c>
      <c r="AR44" s="267" t="s">
        <v>54</v>
      </c>
      <c r="AS44" s="266" t="s">
        <v>88</v>
      </c>
      <c r="AU44" s="268" t="s">
        <v>48</v>
      </c>
      <c r="AV44" s="267" t="s">
        <v>66</v>
      </c>
      <c r="AW44" s="267" t="s">
        <v>68</v>
      </c>
      <c r="AX44" s="267" t="s">
        <v>223</v>
      </c>
      <c r="AY44" s="267" t="s">
        <v>54</v>
      </c>
      <c r="AZ44" s="266" t="s">
        <v>88</v>
      </c>
      <c r="BB44" s="122">
        <f>SUM(AB45)</f>
        <v>0</v>
      </c>
      <c r="BC44" s="122">
        <f>SUM(AD45,U45,L45)</f>
        <v>0</v>
      </c>
      <c r="BD44" s="122">
        <f>SUM(AE45,V45,M45)</f>
        <v>0</v>
      </c>
      <c r="BE44" s="166">
        <f>SUM(AL45,AS45,AZ45)</f>
        <v>0</v>
      </c>
      <c r="BG44" s="64"/>
      <c r="BH44" s="200" t="s">
        <v>45</v>
      </c>
      <c r="BI44" s="200" t="s">
        <v>46</v>
      </c>
      <c r="BJ44" s="200" t="s">
        <v>47</v>
      </c>
      <c r="BK44" s="197" t="s">
        <v>70</v>
      </c>
    </row>
    <row r="45" spans="1:91" ht="16" thickBot="1" x14ac:dyDescent="0.4">
      <c r="A45" s="26"/>
      <c r="B45" s="426" t="s">
        <v>134</v>
      </c>
      <c r="C45" s="21">
        <v>0</v>
      </c>
      <c r="D45" s="21">
        <v>0</v>
      </c>
      <c r="E45" s="88">
        <v>0</v>
      </c>
      <c r="G45" s="173" t="s">
        <v>285</v>
      </c>
      <c r="H45" s="49">
        <v>0</v>
      </c>
      <c r="I45" s="170">
        <f>ROUNDUP($C44/nas_disk,0)</f>
        <v>0</v>
      </c>
      <c r="J45" s="170">
        <f>ROUNDUP($C46/nas_bw,0)</f>
        <v>0</v>
      </c>
      <c r="K45" s="170">
        <f>MAX(I45:J45)</f>
        <v>0</v>
      </c>
      <c r="L45" s="170">
        <f>ROUNDUP(K45/nas_spr,0)</f>
        <v>0</v>
      </c>
      <c r="M45" s="214">
        <f>ROUND(K45*nas_pwr*24*365,0)</f>
        <v>0</v>
      </c>
      <c r="O45" s="173" t="s">
        <v>285</v>
      </c>
      <c r="P45" s="49">
        <v>0</v>
      </c>
      <c r="Q45" s="170">
        <f>ROUNDUP($D44/nas_disk,0)</f>
        <v>0</v>
      </c>
      <c r="R45" s="170">
        <f>ROUNDUP($D46/nas_bw,0)</f>
        <v>0</v>
      </c>
      <c r="S45" s="170">
        <f>MAX(Q45:R45)</f>
        <v>0</v>
      </c>
      <c r="T45" s="45">
        <f>S45-K45</f>
        <v>0</v>
      </c>
      <c r="U45" s="45">
        <f>ROUNDUP(T45/nas_spr,0)</f>
        <v>0</v>
      </c>
      <c r="V45" s="214">
        <f>ROUND(S45*nas_pwr*24*365,0)</f>
        <v>0</v>
      </c>
      <c r="X45" s="173" t="s">
        <v>285</v>
      </c>
      <c r="Y45" s="49">
        <v>0</v>
      </c>
      <c r="Z45" s="170">
        <f>ROUNDUP($E44/nas_disk,0)</f>
        <v>0</v>
      </c>
      <c r="AA45" s="170">
        <f>ROUNDUP($E46/nas_bw,0)</f>
        <v>0</v>
      </c>
      <c r="AB45" s="170">
        <f>MAX(Z45:AA45)</f>
        <v>0</v>
      </c>
      <c r="AC45" s="45">
        <f>AB45-S45</f>
        <v>0</v>
      </c>
      <c r="AD45" s="45">
        <f>ROUNDUP(AC45/nas_spr,0)</f>
        <v>0</v>
      </c>
      <c r="AE45" s="214">
        <f>ROUND(AB45*nas_pwr*24*365,0)</f>
        <v>0</v>
      </c>
      <c r="AG45" s="65" t="s">
        <v>285</v>
      </c>
      <c r="AH45" s="50">
        <f>K45*nas_cost</f>
        <v>0</v>
      </c>
      <c r="AI45" s="50">
        <f>L45*rack_cost</f>
        <v>0</v>
      </c>
      <c r="AJ45" s="50">
        <f>ROUND(M45*mw_pwr,0)</f>
        <v>0</v>
      </c>
      <c r="AK45" s="50">
        <v>0</v>
      </c>
      <c r="AL45" s="212">
        <f>SUM(AH45,AI45,AJ45)</f>
        <v>0</v>
      </c>
      <c r="AN45" s="65" t="s">
        <v>285</v>
      </c>
      <c r="AO45" s="50">
        <f>T45*nas_cost</f>
        <v>0</v>
      </c>
      <c r="AP45" s="50">
        <f>U45*rack_cost</f>
        <v>0</v>
      </c>
      <c r="AQ45" s="50">
        <f>ROUND(V45*mw_pwr,0)</f>
        <v>0</v>
      </c>
      <c r="AR45" s="50">
        <f>AH45*hw_supt</f>
        <v>0</v>
      </c>
      <c r="AS45" s="212">
        <f>SUM(AO45,AP45,AQ45,AR45)</f>
        <v>0</v>
      </c>
      <c r="AU45" s="65" t="s">
        <v>285</v>
      </c>
      <c r="AV45" s="50">
        <f>AC45*nas_cost</f>
        <v>0</v>
      </c>
      <c r="AW45" s="50">
        <f>AD45*rack_cost</f>
        <v>0</v>
      </c>
      <c r="AX45" s="28">
        <f>ROUND(AE45*mw_pwr,0)</f>
        <v>0</v>
      </c>
      <c r="AY45" s="50">
        <f>(AH45+AO45)*hw_supt</f>
        <v>0</v>
      </c>
      <c r="AZ45" s="212">
        <f>SUM(AV45,AW45,AX45,AY45)</f>
        <v>0</v>
      </c>
      <c r="BG45" s="173" t="s">
        <v>82</v>
      </c>
      <c r="BH45" s="177">
        <f>AL45</f>
        <v>0</v>
      </c>
      <c r="BI45" s="177">
        <f>AS45</f>
        <v>0</v>
      </c>
      <c r="BJ45" s="177">
        <f>AZ45</f>
        <v>0</v>
      </c>
      <c r="BK45" s="180">
        <f>SUM(BH45:BJ45)</f>
        <v>0</v>
      </c>
    </row>
    <row r="46" spans="1:91" ht="16" thickBot="1" x14ac:dyDescent="0.4">
      <c r="A46" s="27"/>
      <c r="B46" s="169" t="s">
        <v>44</v>
      </c>
      <c r="C46" s="427">
        <v>0</v>
      </c>
      <c r="D46" s="427">
        <v>0</v>
      </c>
      <c r="E46" s="428">
        <v>0</v>
      </c>
      <c r="BG46" s="64" t="s">
        <v>217</v>
      </c>
      <c r="BH46" s="181">
        <f>K45</f>
        <v>0</v>
      </c>
      <c r="BI46" s="181">
        <f>T45</f>
        <v>0</v>
      </c>
      <c r="BJ46" s="181">
        <f>AC45</f>
        <v>0</v>
      </c>
      <c r="BK46" s="145">
        <f>SUM(BH46:BJ46)</f>
        <v>0</v>
      </c>
    </row>
    <row r="47" spans="1:91" x14ac:dyDescent="0.35">
      <c r="BG47" s="160" t="s">
        <v>218</v>
      </c>
      <c r="BH47" s="4">
        <f>L45</f>
        <v>0</v>
      </c>
      <c r="BI47" s="4">
        <f>U45</f>
        <v>0</v>
      </c>
      <c r="BJ47" s="4">
        <f>AD45</f>
        <v>0</v>
      </c>
      <c r="BK47" s="121">
        <f t="shared" ref="BK47:BK48" si="1">SUM(BH47:BJ47)</f>
        <v>0</v>
      </c>
    </row>
    <row r="48" spans="1:91" ht="16" thickBot="1" x14ac:dyDescent="0.4">
      <c r="BG48" s="65" t="s">
        <v>216</v>
      </c>
      <c r="BH48" s="45">
        <f>M45</f>
        <v>0</v>
      </c>
      <c r="BI48" s="45">
        <f>V45</f>
        <v>0</v>
      </c>
      <c r="BJ48" s="45">
        <f>AE45</f>
        <v>0</v>
      </c>
      <c r="BK48" s="122">
        <f t="shared" si="1"/>
        <v>0</v>
      </c>
    </row>
    <row r="49" spans="1:63" x14ac:dyDescent="0.35">
      <c r="BH49" s="19"/>
    </row>
    <row r="50" spans="1:63" ht="18.5" x14ac:dyDescent="0.45">
      <c r="A50" s="34" t="s">
        <v>283</v>
      </c>
    </row>
    <row r="52" spans="1:63" ht="34" customHeight="1" thickBot="1" x14ac:dyDescent="0.4">
      <c r="A52" s="580" t="s">
        <v>386</v>
      </c>
      <c r="B52" s="580"/>
      <c r="C52" s="580"/>
      <c r="D52" s="580"/>
      <c r="E52" s="580"/>
    </row>
    <row r="53" spans="1:63" ht="51" customHeight="1" thickBot="1" x14ac:dyDescent="0.4">
      <c r="A53" s="29" t="s">
        <v>56</v>
      </c>
      <c r="B53" s="71" t="s">
        <v>151</v>
      </c>
      <c r="C53" s="72" t="s">
        <v>45</v>
      </c>
      <c r="D53" s="72" t="s">
        <v>46</v>
      </c>
      <c r="E53" s="73" t="s">
        <v>47</v>
      </c>
      <c r="G53" s="402" t="s">
        <v>45</v>
      </c>
      <c r="H53" s="178"/>
      <c r="I53" s="178"/>
      <c r="J53" s="178"/>
      <c r="K53" s="178"/>
      <c r="L53" s="178"/>
      <c r="M53" s="179"/>
      <c r="N53" s="8"/>
      <c r="O53" s="402" t="s">
        <v>46</v>
      </c>
      <c r="P53" s="178"/>
      <c r="Q53" s="178"/>
      <c r="R53" s="178"/>
      <c r="S53" s="178"/>
      <c r="T53" s="178"/>
      <c r="U53" s="178"/>
      <c r="V53" s="179"/>
      <c r="W53" s="8"/>
      <c r="X53" s="66" t="s">
        <v>47</v>
      </c>
      <c r="Y53" s="67"/>
      <c r="Z53" s="67"/>
      <c r="AA53" s="67"/>
      <c r="AB53" s="67"/>
      <c r="AC53" s="67"/>
      <c r="AD53" s="67"/>
      <c r="AE53" s="68"/>
      <c r="AF53" s="8"/>
      <c r="AG53" s="66" t="s">
        <v>45</v>
      </c>
      <c r="AH53" s="67"/>
      <c r="AI53" s="67"/>
      <c r="AJ53" s="67"/>
      <c r="AK53" s="67"/>
      <c r="AL53" s="68"/>
      <c r="AN53" s="66" t="s">
        <v>46</v>
      </c>
      <c r="AO53" s="67"/>
      <c r="AP53" s="67"/>
      <c r="AQ53" s="67"/>
      <c r="AR53" s="67"/>
      <c r="AS53" s="68"/>
      <c r="AU53" s="66" t="s">
        <v>47</v>
      </c>
      <c r="AV53" s="67"/>
      <c r="AW53" s="67"/>
      <c r="AX53" s="67"/>
      <c r="AY53" s="67"/>
      <c r="AZ53" s="68"/>
      <c r="BB53" s="105" t="s">
        <v>202</v>
      </c>
      <c r="BC53" s="105" t="s">
        <v>201</v>
      </c>
      <c r="BD53" s="13" t="s">
        <v>200</v>
      </c>
      <c r="BE53" s="105" t="s">
        <v>199</v>
      </c>
      <c r="BG53" s="71" t="s">
        <v>69</v>
      </c>
      <c r="BH53" s="72"/>
      <c r="BI53" s="72"/>
      <c r="BJ53" s="72"/>
      <c r="BK53" s="73"/>
    </row>
    <row r="54" spans="1:63" ht="35" customHeight="1" thickBot="1" x14ac:dyDescent="0.4">
      <c r="A54" s="26"/>
      <c r="B54" s="426" t="s">
        <v>43</v>
      </c>
      <c r="C54" s="391">
        <v>0</v>
      </c>
      <c r="D54" s="391">
        <v>0</v>
      </c>
      <c r="E54" s="392">
        <v>0</v>
      </c>
      <c r="G54" s="123" t="s">
        <v>48</v>
      </c>
      <c r="H54" s="400" t="s">
        <v>134</v>
      </c>
      <c r="I54" s="110" t="s">
        <v>42</v>
      </c>
      <c r="J54" s="110" t="s">
        <v>29</v>
      </c>
      <c r="K54" s="114" t="s">
        <v>71</v>
      </c>
      <c r="L54" s="110" t="s">
        <v>51</v>
      </c>
      <c r="M54" s="401" t="s">
        <v>222</v>
      </c>
      <c r="N54" s="198"/>
      <c r="O54" s="123" t="s">
        <v>48</v>
      </c>
      <c r="P54" s="400" t="s">
        <v>134</v>
      </c>
      <c r="Q54" s="110" t="s">
        <v>42</v>
      </c>
      <c r="R54" s="110" t="s">
        <v>29</v>
      </c>
      <c r="S54" s="114" t="s">
        <v>95</v>
      </c>
      <c r="T54" s="114" t="s">
        <v>65</v>
      </c>
      <c r="U54" s="114" t="s">
        <v>67</v>
      </c>
      <c r="V54" s="401" t="s">
        <v>222</v>
      </c>
      <c r="W54" s="198"/>
      <c r="X54" s="123" t="s">
        <v>48</v>
      </c>
      <c r="Y54" s="400" t="s">
        <v>134</v>
      </c>
      <c r="Z54" s="110" t="s">
        <v>42</v>
      </c>
      <c r="AA54" s="110" t="s">
        <v>29</v>
      </c>
      <c r="AB54" s="114" t="s">
        <v>95</v>
      </c>
      <c r="AC54" s="114" t="s">
        <v>65</v>
      </c>
      <c r="AD54" s="114" t="s">
        <v>67</v>
      </c>
      <c r="AE54" s="401" t="s">
        <v>222</v>
      </c>
      <c r="AF54" s="198"/>
      <c r="AG54" s="268" t="s">
        <v>48</v>
      </c>
      <c r="AH54" s="201" t="s">
        <v>50</v>
      </c>
      <c r="AI54" s="265" t="s">
        <v>52</v>
      </c>
      <c r="AJ54" s="267" t="s">
        <v>223</v>
      </c>
      <c r="AK54" s="267" t="s">
        <v>54</v>
      </c>
      <c r="AL54" s="266" t="s">
        <v>88</v>
      </c>
      <c r="AN54" s="268" t="s">
        <v>48</v>
      </c>
      <c r="AO54" s="267" t="s">
        <v>66</v>
      </c>
      <c r="AP54" s="267" t="s">
        <v>68</v>
      </c>
      <c r="AQ54" s="267" t="s">
        <v>223</v>
      </c>
      <c r="AR54" s="267" t="s">
        <v>54</v>
      </c>
      <c r="AS54" s="266" t="s">
        <v>88</v>
      </c>
      <c r="AU54" s="268" t="s">
        <v>48</v>
      </c>
      <c r="AV54" s="267" t="s">
        <v>66</v>
      </c>
      <c r="AW54" s="267" t="s">
        <v>68</v>
      </c>
      <c r="AX54" s="267" t="s">
        <v>223</v>
      </c>
      <c r="AY54" s="267" t="s">
        <v>54</v>
      </c>
      <c r="AZ54" s="266" t="s">
        <v>88</v>
      </c>
      <c r="BB54" s="122">
        <f>SUM(AB55)</f>
        <v>0</v>
      </c>
      <c r="BC54" s="122">
        <f>SUM(AD55,U55,L55)</f>
        <v>0</v>
      </c>
      <c r="BD54" s="122">
        <f>SUM(AE55,V55,M55)</f>
        <v>0</v>
      </c>
      <c r="BE54" s="166">
        <f>SUM(AL55,AS55,AZ55)</f>
        <v>0</v>
      </c>
      <c r="BG54" s="64"/>
      <c r="BH54" s="200" t="s">
        <v>45</v>
      </c>
      <c r="BI54" s="200" t="s">
        <v>46</v>
      </c>
      <c r="BJ54" s="200" t="s">
        <v>47</v>
      </c>
      <c r="BK54" s="197" t="s">
        <v>70</v>
      </c>
    </row>
    <row r="55" spans="1:63" ht="16" thickBot="1" x14ac:dyDescent="0.4">
      <c r="A55" s="26"/>
      <c r="B55" s="426" t="s">
        <v>134</v>
      </c>
      <c r="C55" s="432">
        <v>0</v>
      </c>
      <c r="D55" s="432">
        <v>0</v>
      </c>
      <c r="E55" s="433">
        <v>0</v>
      </c>
      <c r="G55" s="173" t="s">
        <v>285</v>
      </c>
      <c r="H55" s="49">
        <v>0</v>
      </c>
      <c r="I55" s="170">
        <f>ROUNDUP($C54/nas_disk,0)</f>
        <v>0</v>
      </c>
      <c r="J55" s="170">
        <f>ROUNDUP($C56/nas_bw,0)</f>
        <v>0</v>
      </c>
      <c r="K55" s="170">
        <f>MAX(I55:J55)</f>
        <v>0</v>
      </c>
      <c r="L55" s="170">
        <f>ROUNDUP(K55/nas_spr,0)</f>
        <v>0</v>
      </c>
      <c r="M55" s="214">
        <f>ROUND(K55*nas_pwr*24*365,0)</f>
        <v>0</v>
      </c>
      <c r="O55" s="173" t="s">
        <v>285</v>
      </c>
      <c r="P55" s="49">
        <v>0</v>
      </c>
      <c r="Q55" s="170">
        <f>ROUNDUP($D54/nas_disk,0)</f>
        <v>0</v>
      </c>
      <c r="R55" s="170">
        <f>ROUNDUP($D56/nas_bw,0)</f>
        <v>0</v>
      </c>
      <c r="S55" s="170">
        <f>MAX(Q55:R55)</f>
        <v>0</v>
      </c>
      <c r="T55" s="45">
        <f>S55-K55</f>
        <v>0</v>
      </c>
      <c r="U55" s="45">
        <f>ROUNDUP(T55/nas_spr,0)</f>
        <v>0</v>
      </c>
      <c r="V55" s="214">
        <f>ROUND(S55*nas_pwr*24*365,0)</f>
        <v>0</v>
      </c>
      <c r="X55" s="173" t="s">
        <v>285</v>
      </c>
      <c r="Y55" s="49">
        <v>0</v>
      </c>
      <c r="Z55" s="170">
        <f>ROUNDUP($E54/nas_disk,0)</f>
        <v>0</v>
      </c>
      <c r="AA55" s="170">
        <f>ROUNDUP($E56/nas_bw,0)</f>
        <v>0</v>
      </c>
      <c r="AB55" s="170">
        <f>MAX(Z55:AA55)</f>
        <v>0</v>
      </c>
      <c r="AC55" s="45">
        <f>AB55-S55</f>
        <v>0</v>
      </c>
      <c r="AD55" s="45">
        <f>ROUNDUP(AC55/nas_spr,0)</f>
        <v>0</v>
      </c>
      <c r="AE55" s="214">
        <f>ROUND(AB55*nas_pwr*24*365,0)</f>
        <v>0</v>
      </c>
      <c r="AG55" s="65" t="s">
        <v>285</v>
      </c>
      <c r="AH55" s="50">
        <f>K55*nas_cost</f>
        <v>0</v>
      </c>
      <c r="AI55" s="50">
        <f>L55*rack_cost</f>
        <v>0</v>
      </c>
      <c r="AJ55" s="50">
        <f>ROUND(M55*mw_pwr,0)</f>
        <v>0</v>
      </c>
      <c r="AK55" s="50">
        <v>0</v>
      </c>
      <c r="AL55" s="212">
        <f>SUM(AH55,AI55,AJ55)</f>
        <v>0</v>
      </c>
      <c r="AN55" s="65" t="s">
        <v>285</v>
      </c>
      <c r="AO55" s="28">
        <f>T55*nas_cost</f>
        <v>0</v>
      </c>
      <c r="AP55" s="28">
        <f>U55*rack_cost</f>
        <v>0</v>
      </c>
      <c r="AQ55" s="50">
        <f>ROUND(V55*mw_pwr,0)</f>
        <v>0</v>
      </c>
      <c r="AR55" s="28">
        <f>AH55*hw_supt</f>
        <v>0</v>
      </c>
      <c r="AS55" s="212">
        <f>SUM(AO55,AP55,AQ55,AR55)</f>
        <v>0</v>
      </c>
      <c r="AU55" s="65" t="s">
        <v>285</v>
      </c>
      <c r="AV55" s="28">
        <f>AC55*nas_cost</f>
        <v>0</v>
      </c>
      <c r="AW55" s="28">
        <f>AD55*rack_cost</f>
        <v>0</v>
      </c>
      <c r="AX55" s="28">
        <f>ROUND(AE55*mw_pwr,0)</f>
        <v>0</v>
      </c>
      <c r="AY55" s="28">
        <f>(AH55+AO55)*hw_supt</f>
        <v>0</v>
      </c>
      <c r="AZ55" s="212">
        <f>SUM(AV55,AW55,AX55,AY55)</f>
        <v>0</v>
      </c>
      <c r="BG55" s="173" t="s">
        <v>82</v>
      </c>
      <c r="BH55" s="177">
        <f>AL55</f>
        <v>0</v>
      </c>
      <c r="BI55" s="177">
        <f>AS55</f>
        <v>0</v>
      </c>
      <c r="BJ55" s="177">
        <f>AZ55</f>
        <v>0</v>
      </c>
      <c r="BK55" s="180">
        <f>SUM(BH55:BJ55)</f>
        <v>0</v>
      </c>
    </row>
    <row r="56" spans="1:63" ht="17" customHeight="1" thickBot="1" x14ac:dyDescent="0.4">
      <c r="A56" s="27"/>
      <c r="B56" s="169" t="s">
        <v>44</v>
      </c>
      <c r="C56" s="427">
        <v>0</v>
      </c>
      <c r="D56" s="427">
        <v>0</v>
      </c>
      <c r="E56" s="428">
        <v>0</v>
      </c>
      <c r="BG56" s="64" t="s">
        <v>217</v>
      </c>
      <c r="BH56" s="181">
        <f>K55</f>
        <v>0</v>
      </c>
      <c r="BI56" s="181">
        <f>T55</f>
        <v>0</v>
      </c>
      <c r="BJ56" s="181">
        <f>AC55</f>
        <v>0</v>
      </c>
      <c r="BK56" s="145">
        <f>SUM(BH56:BJ56)</f>
        <v>0</v>
      </c>
    </row>
    <row r="57" spans="1:63" x14ac:dyDescent="0.35">
      <c r="BG57" s="160" t="s">
        <v>218</v>
      </c>
      <c r="BH57" s="4">
        <f>L55</f>
        <v>0</v>
      </c>
      <c r="BI57" s="4">
        <f>U55</f>
        <v>0</v>
      </c>
      <c r="BJ57" s="4">
        <f>AD55</f>
        <v>0</v>
      </c>
      <c r="BK57" s="121">
        <f t="shared" ref="BK57:BK58" si="2">SUM(BH57:BJ57)</f>
        <v>0</v>
      </c>
    </row>
    <row r="58" spans="1:63" ht="16" thickBot="1" x14ac:dyDescent="0.4">
      <c r="BG58" s="65" t="s">
        <v>216</v>
      </c>
      <c r="BH58" s="45">
        <f>M55</f>
        <v>0</v>
      </c>
      <c r="BI58" s="45">
        <f>V55</f>
        <v>0</v>
      </c>
      <c r="BJ58" s="45">
        <f>AE55</f>
        <v>0</v>
      </c>
      <c r="BK58" s="122">
        <f t="shared" si="2"/>
        <v>0</v>
      </c>
    </row>
    <row r="60" spans="1:63" ht="18.5" x14ac:dyDescent="0.45">
      <c r="A60" s="34" t="s">
        <v>309</v>
      </c>
    </row>
    <row r="62" spans="1:63" ht="50" customHeight="1" thickBot="1" x14ac:dyDescent="0.4">
      <c r="A62" s="580" t="s">
        <v>387</v>
      </c>
      <c r="B62" s="580"/>
      <c r="C62" s="580"/>
      <c r="D62" s="580"/>
      <c r="E62" s="580"/>
    </row>
    <row r="63" spans="1:63" ht="51" customHeight="1" thickBot="1" x14ac:dyDescent="0.4">
      <c r="A63" s="29" t="s">
        <v>56</v>
      </c>
      <c r="B63" s="71" t="s">
        <v>151</v>
      </c>
      <c r="C63" s="72" t="s">
        <v>45</v>
      </c>
      <c r="D63" s="72" t="s">
        <v>46</v>
      </c>
      <c r="E63" s="73" t="s">
        <v>47</v>
      </c>
      <c r="G63" s="402" t="s">
        <v>45</v>
      </c>
      <c r="H63" s="178"/>
      <c r="I63" s="178"/>
      <c r="J63" s="178"/>
      <c r="K63" s="178"/>
      <c r="L63" s="178"/>
      <c r="M63" s="179"/>
      <c r="N63" s="8"/>
      <c r="O63" s="402" t="s">
        <v>46</v>
      </c>
      <c r="P63" s="178"/>
      <c r="Q63" s="178"/>
      <c r="R63" s="178"/>
      <c r="S63" s="178"/>
      <c r="T63" s="178"/>
      <c r="U63" s="178"/>
      <c r="V63" s="179"/>
      <c r="W63" s="8"/>
      <c r="X63" s="66" t="s">
        <v>47</v>
      </c>
      <c r="Y63" s="67"/>
      <c r="Z63" s="67"/>
      <c r="AA63" s="67"/>
      <c r="AB63" s="67"/>
      <c r="AC63" s="67"/>
      <c r="AD63" s="67"/>
      <c r="AE63" s="68"/>
      <c r="AF63" s="8"/>
      <c r="AG63" s="66" t="s">
        <v>45</v>
      </c>
      <c r="AH63" s="67"/>
      <c r="AI63" s="67"/>
      <c r="AJ63" s="67"/>
      <c r="AK63" s="67"/>
      <c r="AL63" s="68"/>
      <c r="AN63" s="66" t="s">
        <v>46</v>
      </c>
      <c r="AO63" s="67"/>
      <c r="AP63" s="67"/>
      <c r="AQ63" s="67"/>
      <c r="AR63" s="67"/>
      <c r="AS63" s="68"/>
      <c r="AU63" s="66" t="s">
        <v>47</v>
      </c>
      <c r="AV63" s="67"/>
      <c r="AW63" s="67"/>
      <c r="AX63" s="67"/>
      <c r="AY63" s="67"/>
      <c r="AZ63" s="68"/>
      <c r="BB63" s="105" t="s">
        <v>202</v>
      </c>
      <c r="BC63" s="105" t="s">
        <v>201</v>
      </c>
      <c r="BD63" s="13" t="s">
        <v>200</v>
      </c>
      <c r="BE63" s="105" t="s">
        <v>199</v>
      </c>
      <c r="BG63" s="71" t="s">
        <v>69</v>
      </c>
      <c r="BH63" s="72"/>
      <c r="BI63" s="72"/>
      <c r="BJ63" s="72"/>
      <c r="BK63" s="73"/>
    </row>
    <row r="64" spans="1:63" ht="35" customHeight="1" thickBot="1" x14ac:dyDescent="0.4">
      <c r="A64" s="26"/>
      <c r="B64" s="75" t="s">
        <v>43</v>
      </c>
      <c r="C64" s="391">
        <v>0</v>
      </c>
      <c r="D64" s="391">
        <v>0</v>
      </c>
      <c r="E64" s="392">
        <v>0</v>
      </c>
      <c r="G64" s="123" t="s">
        <v>48</v>
      </c>
      <c r="H64" s="400" t="s">
        <v>134</v>
      </c>
      <c r="I64" s="110" t="s">
        <v>42</v>
      </c>
      <c r="J64" s="110" t="s">
        <v>29</v>
      </c>
      <c r="K64" s="114" t="s">
        <v>71</v>
      </c>
      <c r="L64" s="110" t="s">
        <v>51</v>
      </c>
      <c r="M64" s="401" t="s">
        <v>222</v>
      </c>
      <c r="N64" s="198"/>
      <c r="O64" s="123" t="s">
        <v>48</v>
      </c>
      <c r="P64" s="400" t="s">
        <v>134</v>
      </c>
      <c r="Q64" s="110" t="s">
        <v>42</v>
      </c>
      <c r="R64" s="110" t="s">
        <v>29</v>
      </c>
      <c r="S64" s="114" t="s">
        <v>95</v>
      </c>
      <c r="T64" s="114" t="s">
        <v>65</v>
      </c>
      <c r="U64" s="114" t="s">
        <v>67</v>
      </c>
      <c r="V64" s="401" t="s">
        <v>222</v>
      </c>
      <c r="W64" s="198"/>
      <c r="X64" s="123" t="s">
        <v>48</v>
      </c>
      <c r="Y64" s="400" t="s">
        <v>134</v>
      </c>
      <c r="Z64" s="110" t="s">
        <v>42</v>
      </c>
      <c r="AA64" s="110" t="s">
        <v>29</v>
      </c>
      <c r="AB64" s="114" t="s">
        <v>95</v>
      </c>
      <c r="AC64" s="114" t="s">
        <v>65</v>
      </c>
      <c r="AD64" s="114" t="s">
        <v>67</v>
      </c>
      <c r="AE64" s="401" t="s">
        <v>222</v>
      </c>
      <c r="AF64" s="198"/>
      <c r="AG64" s="268" t="s">
        <v>48</v>
      </c>
      <c r="AH64" s="201" t="s">
        <v>50</v>
      </c>
      <c r="AI64" s="265" t="s">
        <v>52</v>
      </c>
      <c r="AJ64" s="267" t="s">
        <v>223</v>
      </c>
      <c r="AK64" s="267" t="s">
        <v>54</v>
      </c>
      <c r="AL64" s="266" t="s">
        <v>88</v>
      </c>
      <c r="AN64" s="268" t="s">
        <v>48</v>
      </c>
      <c r="AO64" s="267" t="s">
        <v>66</v>
      </c>
      <c r="AP64" s="267" t="s">
        <v>68</v>
      </c>
      <c r="AQ64" s="267" t="s">
        <v>223</v>
      </c>
      <c r="AR64" s="267" t="s">
        <v>54</v>
      </c>
      <c r="AS64" s="266" t="s">
        <v>88</v>
      </c>
      <c r="AU64" s="268" t="s">
        <v>48</v>
      </c>
      <c r="AV64" s="267" t="s">
        <v>66</v>
      </c>
      <c r="AW64" s="267" t="s">
        <v>68</v>
      </c>
      <c r="AX64" s="267" t="s">
        <v>223</v>
      </c>
      <c r="AY64" s="267" t="s">
        <v>54</v>
      </c>
      <c r="AZ64" s="266" t="s">
        <v>88</v>
      </c>
      <c r="BB64" s="122">
        <f>SUM(AB65)</f>
        <v>0</v>
      </c>
      <c r="BC64" s="122">
        <f>SUM(AD65,U65,L65)</f>
        <v>0</v>
      </c>
      <c r="BD64" s="122">
        <f>SUM(AE65,V65,M65)</f>
        <v>0</v>
      </c>
      <c r="BE64" s="166">
        <f>SUM(AL65,AS65,AZ65)</f>
        <v>0</v>
      </c>
      <c r="BG64" s="64"/>
      <c r="BH64" s="200" t="s">
        <v>45</v>
      </c>
      <c r="BI64" s="200" t="s">
        <v>46</v>
      </c>
      <c r="BJ64" s="200" t="s">
        <v>47</v>
      </c>
      <c r="BK64" s="197" t="s">
        <v>70</v>
      </c>
    </row>
    <row r="65" spans="1:68" ht="16" thickBot="1" x14ac:dyDescent="0.4">
      <c r="A65" s="26"/>
      <c r="B65" s="75" t="s">
        <v>134</v>
      </c>
      <c r="C65" s="391">
        <v>0</v>
      </c>
      <c r="D65" s="391">
        <v>0</v>
      </c>
      <c r="E65" s="392">
        <v>0</v>
      </c>
      <c r="G65" s="65" t="s">
        <v>39</v>
      </c>
      <c r="H65" s="49">
        <v>0</v>
      </c>
      <c r="I65" s="45">
        <f>ROUNDUP($C64/gen_xl_disk,0)</f>
        <v>0</v>
      </c>
      <c r="J65" s="45">
        <f>ROUNDUP($C66/gen_xl_bw,0)</f>
        <v>0</v>
      </c>
      <c r="K65" s="45">
        <f>MAX(H65:J65)</f>
        <v>0</v>
      </c>
      <c r="L65" s="45">
        <f>ROUNDUP(K65/gen_xl_spr80,0)</f>
        <v>0</v>
      </c>
      <c r="M65" s="52">
        <f>ROUND(K65*gen_l_pow80*24*365,0)</f>
        <v>0</v>
      </c>
      <c r="N65" s="43"/>
      <c r="O65" s="65" t="s">
        <v>39</v>
      </c>
      <c r="P65" s="49">
        <v>0</v>
      </c>
      <c r="Q65" s="45">
        <f>ROUNDUP($D64/gen_xl_disk,0)</f>
        <v>0</v>
      </c>
      <c r="R65" s="45">
        <f>ROUNDUP($D66/gen_xl_bw,0)</f>
        <v>0</v>
      </c>
      <c r="S65" s="45">
        <f>MAX(P65:R65)</f>
        <v>0</v>
      </c>
      <c r="T65" s="45">
        <f>S65-K65</f>
        <v>0</v>
      </c>
      <c r="U65" s="45">
        <f>ROUNDUP(T65/gen_xl_spr80,0)</f>
        <v>0</v>
      </c>
      <c r="V65" s="52">
        <f>ROUND((S65)*gen_l_pow80*24*365,0)</f>
        <v>0</v>
      </c>
      <c r="W65" s="43"/>
      <c r="X65" s="65" t="s">
        <v>39</v>
      </c>
      <c r="Y65" s="49">
        <f>ROUNDUP($E65/(gen_xl_tps80),0)</f>
        <v>0</v>
      </c>
      <c r="Z65" s="45">
        <f>ROUNDUP($E64/gen_xl_disk,0)</f>
        <v>0</v>
      </c>
      <c r="AA65" s="45">
        <f>ROUNDUP($E66/gen_xl_bw,0)</f>
        <v>0</v>
      </c>
      <c r="AB65" s="45">
        <f>MAX(Y65:AA65)</f>
        <v>0</v>
      </c>
      <c r="AC65" s="45">
        <f>AB65-S65</f>
        <v>0</v>
      </c>
      <c r="AD65" s="45">
        <f>ROUNDUP(AC65/gen_xl_spr80,0)</f>
        <v>0</v>
      </c>
      <c r="AE65" s="52">
        <f>ROUND((AB65)*gen_l_pow80*24*365,0)</f>
        <v>0</v>
      </c>
      <c r="AF65" s="43"/>
      <c r="AG65" s="65" t="s">
        <v>39</v>
      </c>
      <c r="AH65" s="50">
        <f>K65*gen_xl_cost</f>
        <v>0</v>
      </c>
      <c r="AI65" s="50">
        <f>L65*rack_cost</f>
        <v>0</v>
      </c>
      <c r="AJ65" s="50">
        <f>ROUND(M65*mw_pwr,0)</f>
        <v>0</v>
      </c>
      <c r="AK65" s="50">
        <v>0</v>
      </c>
      <c r="AL65" s="212">
        <f>SUM(AH65,AI65,AJ65)</f>
        <v>0</v>
      </c>
      <c r="AN65" s="65" t="s">
        <v>39</v>
      </c>
      <c r="AO65" s="28">
        <f>T65*gen_xl_cost*1.02</f>
        <v>0</v>
      </c>
      <c r="AP65" s="28">
        <f>U65*rack_cost</f>
        <v>0</v>
      </c>
      <c r="AQ65" s="50">
        <f>ROUND(V65*mw_pwr,0)</f>
        <v>0</v>
      </c>
      <c r="AR65" s="28">
        <f>AH65*hw_supt</f>
        <v>0</v>
      </c>
      <c r="AS65" s="212">
        <f>SUM(AO65,AP65,AQ65,AR65)</f>
        <v>0</v>
      </c>
      <c r="AU65" s="65" t="s">
        <v>39</v>
      </c>
      <c r="AV65" s="28">
        <f>AC65*gen_xl_cost*1.0404</f>
        <v>0</v>
      </c>
      <c r="AW65" s="28">
        <f>AD65*rack_cost</f>
        <v>0</v>
      </c>
      <c r="AX65" s="28">
        <f>ROUND(AE65*mw_pwr,0)</f>
        <v>0</v>
      </c>
      <c r="AY65" s="28">
        <f>(AH65+AO65)*hw_supt</f>
        <v>0</v>
      </c>
      <c r="AZ65" s="212">
        <f>SUM(AV65,AW65,AX65,AY65)</f>
        <v>0</v>
      </c>
      <c r="BG65" s="173" t="s">
        <v>82</v>
      </c>
      <c r="BH65" s="177">
        <f>AL65</f>
        <v>0</v>
      </c>
      <c r="BI65" s="177">
        <f>AS65</f>
        <v>0</v>
      </c>
      <c r="BJ65" s="177">
        <f>AZ65</f>
        <v>0</v>
      </c>
      <c r="BK65" s="180">
        <f>SUM(BH65:BJ65)</f>
        <v>0</v>
      </c>
    </row>
    <row r="66" spans="1:68" ht="17" customHeight="1" thickBot="1" x14ac:dyDescent="0.4">
      <c r="A66" s="27"/>
      <c r="B66" s="76" t="s">
        <v>44</v>
      </c>
      <c r="C66" s="427">
        <v>0</v>
      </c>
      <c r="D66" s="427">
        <v>0</v>
      </c>
      <c r="E66" s="428">
        <v>0</v>
      </c>
      <c r="BG66" s="64" t="s">
        <v>217</v>
      </c>
      <c r="BH66" s="181">
        <f>K65</f>
        <v>0</v>
      </c>
      <c r="BI66" s="181">
        <f>T65</f>
        <v>0</v>
      </c>
      <c r="BJ66" s="181">
        <f>AC65</f>
        <v>0</v>
      </c>
      <c r="BK66" s="145">
        <f>SUM(BH66:BJ66)</f>
        <v>0</v>
      </c>
    </row>
    <row r="67" spans="1:68" x14ac:dyDescent="0.35">
      <c r="BG67" s="160" t="s">
        <v>218</v>
      </c>
      <c r="BH67" s="4">
        <f>L65</f>
        <v>0</v>
      </c>
      <c r="BI67" s="4">
        <f>U65</f>
        <v>0</v>
      </c>
      <c r="BJ67" s="4">
        <f>AD65</f>
        <v>0</v>
      </c>
      <c r="BK67" s="121">
        <f t="shared" ref="BK67:BK68" si="3">SUM(BH67:BJ67)</f>
        <v>0</v>
      </c>
    </row>
    <row r="68" spans="1:68" ht="16" thickBot="1" x14ac:dyDescent="0.4">
      <c r="BG68" s="65" t="s">
        <v>216</v>
      </c>
      <c r="BH68" s="45">
        <f>M65</f>
        <v>0</v>
      </c>
      <c r="BI68" s="45">
        <f>V65</f>
        <v>0</v>
      </c>
      <c r="BJ68" s="45">
        <f>AE65</f>
        <v>0</v>
      </c>
      <c r="BK68" s="122">
        <f t="shared" si="3"/>
        <v>0</v>
      </c>
    </row>
    <row r="70" spans="1:68" ht="18.5" x14ac:dyDescent="0.45">
      <c r="A70" s="34" t="s">
        <v>282</v>
      </c>
    </row>
    <row r="72" spans="1:68" ht="95" customHeight="1" thickBot="1" x14ac:dyDescent="0.4">
      <c r="A72" s="581" t="s">
        <v>388</v>
      </c>
      <c r="B72" s="582"/>
      <c r="C72" s="582"/>
      <c r="D72" s="582"/>
      <c r="E72" s="582"/>
    </row>
    <row r="73" spans="1:68" ht="51" customHeight="1" thickBot="1" x14ac:dyDescent="0.4">
      <c r="A73" s="29"/>
      <c r="B73" s="71" t="s">
        <v>151</v>
      </c>
      <c r="C73" s="72" t="s">
        <v>45</v>
      </c>
      <c r="D73" s="72" t="s">
        <v>46</v>
      </c>
      <c r="E73" s="73" t="s">
        <v>47</v>
      </c>
      <c r="G73" s="402" t="s">
        <v>45</v>
      </c>
      <c r="H73" s="178"/>
      <c r="I73" s="178"/>
      <c r="J73" s="178"/>
      <c r="K73" s="178"/>
      <c r="L73" s="178"/>
      <c r="M73" s="179"/>
      <c r="N73" s="8"/>
      <c r="O73" s="402" t="s">
        <v>46</v>
      </c>
      <c r="P73" s="178"/>
      <c r="Q73" s="178"/>
      <c r="R73" s="178"/>
      <c r="S73" s="178"/>
      <c r="T73" s="178"/>
      <c r="U73" s="178"/>
      <c r="V73" s="179"/>
      <c r="W73" s="8"/>
      <c r="X73" s="66" t="s">
        <v>47</v>
      </c>
      <c r="Y73" s="67"/>
      <c r="Z73" s="67"/>
      <c r="AA73" s="67"/>
      <c r="AB73" s="67"/>
      <c r="AC73" s="67"/>
      <c r="AD73" s="67"/>
      <c r="AE73" s="68"/>
      <c r="AF73" s="8"/>
      <c r="AG73" s="66" t="s">
        <v>45</v>
      </c>
      <c r="AH73" s="67"/>
      <c r="AI73" s="67"/>
      <c r="AJ73" s="67"/>
      <c r="AK73" s="67"/>
      <c r="AL73" s="68"/>
      <c r="AN73" s="66" t="s">
        <v>46</v>
      </c>
      <c r="AO73" s="67"/>
      <c r="AP73" s="67"/>
      <c r="AQ73" s="67"/>
      <c r="AR73" s="67"/>
      <c r="AS73" s="68"/>
      <c r="AU73" s="66" t="s">
        <v>47</v>
      </c>
      <c r="AV73" s="67"/>
      <c r="AW73" s="67"/>
      <c r="AX73" s="67"/>
      <c r="AY73" s="67"/>
      <c r="AZ73" s="68"/>
      <c r="BB73" s="105" t="s">
        <v>202</v>
      </c>
      <c r="BC73" s="105" t="s">
        <v>201</v>
      </c>
      <c r="BD73" s="13" t="s">
        <v>200</v>
      </c>
      <c r="BE73" s="105" t="s">
        <v>199</v>
      </c>
      <c r="BG73" s="71" t="s">
        <v>69</v>
      </c>
      <c r="BH73" s="72"/>
      <c r="BI73" s="72"/>
      <c r="BJ73" s="72"/>
      <c r="BK73" s="73"/>
    </row>
    <row r="74" spans="1:68" ht="35" customHeight="1" thickBot="1" x14ac:dyDescent="0.4">
      <c r="A74" s="26"/>
      <c r="B74" s="75" t="s">
        <v>43</v>
      </c>
      <c r="C74" s="391">
        <v>0</v>
      </c>
      <c r="D74" s="391">
        <v>0</v>
      </c>
      <c r="E74" s="392">
        <v>0</v>
      </c>
      <c r="G74" s="123" t="s">
        <v>48</v>
      </c>
      <c r="H74" s="400" t="s">
        <v>134</v>
      </c>
      <c r="I74" s="110" t="s">
        <v>42</v>
      </c>
      <c r="J74" s="110" t="s">
        <v>29</v>
      </c>
      <c r="K74" s="114" t="s">
        <v>71</v>
      </c>
      <c r="L74" s="110" t="s">
        <v>51</v>
      </c>
      <c r="M74" s="401" t="s">
        <v>222</v>
      </c>
      <c r="N74" s="198"/>
      <c r="O74" s="123" t="s">
        <v>48</v>
      </c>
      <c r="P74" s="400" t="s">
        <v>134</v>
      </c>
      <c r="Q74" s="110" t="s">
        <v>42</v>
      </c>
      <c r="R74" s="110" t="s">
        <v>29</v>
      </c>
      <c r="S74" s="114" t="s">
        <v>95</v>
      </c>
      <c r="T74" s="114" t="s">
        <v>65</v>
      </c>
      <c r="U74" s="114" t="s">
        <v>67</v>
      </c>
      <c r="V74" s="401" t="s">
        <v>222</v>
      </c>
      <c r="W74" s="198"/>
      <c r="X74" s="123" t="s">
        <v>48</v>
      </c>
      <c r="Y74" s="400" t="s">
        <v>134</v>
      </c>
      <c r="Z74" s="110" t="s">
        <v>42</v>
      </c>
      <c r="AA74" s="110" t="s">
        <v>29</v>
      </c>
      <c r="AB74" s="114" t="s">
        <v>95</v>
      </c>
      <c r="AC74" s="114" t="s">
        <v>65</v>
      </c>
      <c r="AD74" s="114" t="s">
        <v>67</v>
      </c>
      <c r="AE74" s="401" t="s">
        <v>222</v>
      </c>
      <c r="AF74" s="198"/>
      <c r="AG74" s="268" t="s">
        <v>48</v>
      </c>
      <c r="AH74" s="201" t="s">
        <v>50</v>
      </c>
      <c r="AI74" s="265" t="s">
        <v>52</v>
      </c>
      <c r="AJ74" s="267" t="s">
        <v>223</v>
      </c>
      <c r="AK74" s="267" t="s">
        <v>54</v>
      </c>
      <c r="AL74" s="266" t="s">
        <v>88</v>
      </c>
      <c r="AN74" s="268" t="s">
        <v>48</v>
      </c>
      <c r="AO74" s="267" t="s">
        <v>66</v>
      </c>
      <c r="AP74" s="267" t="s">
        <v>68</v>
      </c>
      <c r="AQ74" s="267" t="s">
        <v>223</v>
      </c>
      <c r="AR74" s="267" t="s">
        <v>54</v>
      </c>
      <c r="AS74" s="266" t="s">
        <v>88</v>
      </c>
      <c r="AU74" s="268" t="s">
        <v>48</v>
      </c>
      <c r="AV74" s="267" t="s">
        <v>66</v>
      </c>
      <c r="AW74" s="267" t="s">
        <v>68</v>
      </c>
      <c r="AX74" s="267" t="s">
        <v>223</v>
      </c>
      <c r="AY74" s="267" t="s">
        <v>54</v>
      </c>
      <c r="AZ74" s="266" t="s">
        <v>88</v>
      </c>
      <c r="BB74" s="122">
        <f>SUM(AB75)</f>
        <v>10</v>
      </c>
      <c r="BC74" s="122">
        <f>SUM(AD75,U75,L75)</f>
        <v>3</v>
      </c>
      <c r="BD74" s="122">
        <f>SUM(AE75,V75,M75)</f>
        <v>43275</v>
      </c>
      <c r="BE74" s="166">
        <f>SUM(AL75,AS75,AZ75)</f>
        <v>46679.960000000006</v>
      </c>
      <c r="BG74" s="64"/>
      <c r="BH74" s="200" t="s">
        <v>45</v>
      </c>
      <c r="BI74" s="200" t="s">
        <v>46</v>
      </c>
      <c r="BJ74" s="200" t="s">
        <v>47</v>
      </c>
      <c r="BK74" s="197" t="s">
        <v>70</v>
      </c>
    </row>
    <row r="75" spans="1:68" ht="16" thickBot="1" x14ac:dyDescent="0.4">
      <c r="A75" s="26"/>
      <c r="B75" s="75" t="s">
        <v>134</v>
      </c>
      <c r="C75" s="391">
        <f>55%*'CPU (Workload)'!G15</f>
        <v>8454.2510937499992</v>
      </c>
      <c r="D75" s="391">
        <f>55%*'CPU (Workload)'!G16</f>
        <v>20034.070833333331</v>
      </c>
      <c r="E75" s="392">
        <f>55%*'CPU (Workload)'!G17</f>
        <v>35617.534791666665</v>
      </c>
      <c r="G75" s="65" t="s">
        <v>39</v>
      </c>
      <c r="H75" s="49">
        <f>ROUNDUP($C75/(gen_xl_tps80),0)</f>
        <v>3</v>
      </c>
      <c r="I75" s="45">
        <f>ROUNDUP($C74/gen_xl_disk,0)</f>
        <v>0</v>
      </c>
      <c r="J75" s="45">
        <f>ROUNDUP($C76/gen_xl_bw,0)</f>
        <v>3</v>
      </c>
      <c r="K75" s="45">
        <f>MAX(H75:J75,2)</f>
        <v>3</v>
      </c>
      <c r="L75" s="45">
        <f>ROUNDUP(K75/gen_xl_spr80,0)</f>
        <v>1</v>
      </c>
      <c r="M75" s="52">
        <f>ROUND(K75*gen_l_pow80*24*365,0)</f>
        <v>6833</v>
      </c>
      <c r="N75" s="43"/>
      <c r="O75" s="65" t="s">
        <v>39</v>
      </c>
      <c r="P75" s="49">
        <f>ROUNDUP($D75/(gen_xl_tps80),0)</f>
        <v>6</v>
      </c>
      <c r="Q75" s="45">
        <f>ROUNDUP($D74/gen_xl_disk,0)</f>
        <v>0</v>
      </c>
      <c r="R75" s="45">
        <f>ROUNDUP($D76/gen_xl_bw,0)</f>
        <v>6</v>
      </c>
      <c r="S75" s="45">
        <f>MAX(P75:R75)</f>
        <v>6</v>
      </c>
      <c r="T75" s="45">
        <f>S75-K75</f>
        <v>3</v>
      </c>
      <c r="U75" s="45">
        <f>ROUNDUP(T75/gen_xl_spr80,0)</f>
        <v>1</v>
      </c>
      <c r="V75" s="52">
        <f>ROUND((S75)*gen_l_pow80*24*365,0)</f>
        <v>13666</v>
      </c>
      <c r="W75" s="43"/>
      <c r="X75" s="65" t="s">
        <v>39</v>
      </c>
      <c r="Y75" s="49">
        <f>ROUNDUP($E75/(gen_xl_tps80),0)</f>
        <v>10</v>
      </c>
      <c r="Z75" s="45">
        <f>ROUNDUP($E74/gen_xl_disk,0)</f>
        <v>0</v>
      </c>
      <c r="AA75" s="45">
        <f>ROUNDUP($E76/gen_xl_bw,0)</f>
        <v>10</v>
      </c>
      <c r="AB75" s="45">
        <f>MAX(Y75:AA75)</f>
        <v>10</v>
      </c>
      <c r="AC75" s="45">
        <f>AB75-S75</f>
        <v>4</v>
      </c>
      <c r="AD75" s="45">
        <f>ROUNDUP(AC75/gen_xl_spr80,0)</f>
        <v>1</v>
      </c>
      <c r="AE75" s="52">
        <f>ROUND((AB75)*gen_l_pow80*24*365,0)</f>
        <v>22776</v>
      </c>
      <c r="AF75" s="43"/>
      <c r="AG75" s="65" t="s">
        <v>39</v>
      </c>
      <c r="AH75" s="50">
        <f>K75*gen_xl_cost</f>
        <v>7050</v>
      </c>
      <c r="AI75" s="50">
        <f>L75*rack_cost</f>
        <v>5000</v>
      </c>
      <c r="AJ75" s="50">
        <f>ROUND(M75*mw_pwr,0)</f>
        <v>537</v>
      </c>
      <c r="AK75" s="50">
        <v>0</v>
      </c>
      <c r="AL75" s="212">
        <f>SUM(AH75,AI75,AJ75)</f>
        <v>12587</v>
      </c>
      <c r="AN75" s="65" t="s">
        <v>39</v>
      </c>
      <c r="AO75" s="28">
        <f>T75*gen_xl_cost*1.02</f>
        <v>7191</v>
      </c>
      <c r="AP75" s="28">
        <f>U75*rack_cost</f>
        <v>5000</v>
      </c>
      <c r="AQ75" s="50">
        <f>ROUND(V75*mw_pwr,0)</f>
        <v>1074</v>
      </c>
      <c r="AR75" s="28">
        <f>AH75*hw_supt</f>
        <v>1410</v>
      </c>
      <c r="AS75" s="212">
        <f>SUM(AO75,AP75,AQ75,AR75)</f>
        <v>14675</v>
      </c>
      <c r="AU75" s="65" t="s">
        <v>39</v>
      </c>
      <c r="AV75" s="28">
        <f>AC75*gen_xl_cost*1.0404</f>
        <v>9779.76</v>
      </c>
      <c r="AW75" s="28">
        <f>AD75*rack_cost</f>
        <v>5000</v>
      </c>
      <c r="AX75" s="28">
        <f>ROUND(AE75*mw_pwr,0)</f>
        <v>1790</v>
      </c>
      <c r="AY75" s="28">
        <f>(AH75+AO75)*hw_supt</f>
        <v>2848.2000000000003</v>
      </c>
      <c r="AZ75" s="212">
        <f>SUM(AV75,AW75,AX75,AY75)</f>
        <v>19417.960000000003</v>
      </c>
      <c r="BG75" s="173" t="s">
        <v>82</v>
      </c>
      <c r="BH75" s="177">
        <f>AL75</f>
        <v>12587</v>
      </c>
      <c r="BI75" s="177">
        <f>AS75</f>
        <v>14675</v>
      </c>
      <c r="BJ75" s="177">
        <f>AZ75</f>
        <v>19417.960000000003</v>
      </c>
      <c r="BK75" s="180">
        <f>SUM(BH75:BJ75)</f>
        <v>46679.960000000006</v>
      </c>
    </row>
    <row r="76" spans="1:68" ht="17" customHeight="1" thickBot="1" x14ac:dyDescent="0.4">
      <c r="A76" s="27"/>
      <c r="B76" s="76" t="s">
        <v>44</v>
      </c>
      <c r="C76" s="427">
        <f>55%*Bandwidth!O47+Bandwidth!H62+Bandwidth!K62</f>
        <v>4.9442852622333326</v>
      </c>
      <c r="D76" s="427">
        <f>55%*Bandwidth!O48+Bandwidth!H63+Bandwidth!K63</f>
        <v>11.716491537866668</v>
      </c>
      <c r="E76" s="428">
        <f>55%*Bandwidth!O49+Bandwidth!H64+Bandwidth!K64</f>
        <v>20.830142228225</v>
      </c>
      <c r="BG76" s="64" t="s">
        <v>217</v>
      </c>
      <c r="BH76" s="181">
        <f>K75</f>
        <v>3</v>
      </c>
      <c r="BI76" s="181">
        <f>T75</f>
        <v>3</v>
      </c>
      <c r="BJ76" s="181">
        <f>AC75</f>
        <v>4</v>
      </c>
      <c r="BK76" s="145">
        <f>SUM(BH76:BJ76)</f>
        <v>10</v>
      </c>
    </row>
    <row r="77" spans="1:68" x14ac:dyDescent="0.35">
      <c r="BG77" s="160" t="s">
        <v>218</v>
      </c>
      <c r="BH77" s="4">
        <f>L75</f>
        <v>1</v>
      </c>
      <c r="BI77" s="4">
        <f>U75</f>
        <v>1</v>
      </c>
      <c r="BJ77" s="4">
        <f>AD75</f>
        <v>1</v>
      </c>
      <c r="BK77" s="121">
        <f t="shared" ref="BK77:BK78" si="4">SUM(BH77:BJ77)</f>
        <v>3</v>
      </c>
    </row>
    <row r="78" spans="1:68" ht="16" thickBot="1" x14ac:dyDescent="0.4">
      <c r="BG78" s="65" t="s">
        <v>216</v>
      </c>
      <c r="BH78" s="45">
        <f>M75</f>
        <v>6833</v>
      </c>
      <c r="BI78" s="45">
        <f>V75</f>
        <v>13666</v>
      </c>
      <c r="BJ78" s="45">
        <f>AE75</f>
        <v>22776</v>
      </c>
      <c r="BK78" s="122">
        <f t="shared" si="4"/>
        <v>43275</v>
      </c>
    </row>
    <row r="79" spans="1:68" x14ac:dyDescent="0.35">
      <c r="BH79" s="4"/>
      <c r="BI79" s="4"/>
      <c r="BJ79" s="4"/>
      <c r="BK79" s="4"/>
    </row>
    <row r="80" spans="1:68" ht="16" thickBot="1" x14ac:dyDescent="0.4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91" ht="16" thickTop="1" x14ac:dyDescent="0.35"/>
    <row r="82" spans="1:91" ht="21" customHeight="1" x14ac:dyDescent="0.5">
      <c r="A82" s="54" t="s">
        <v>75</v>
      </c>
    </row>
    <row r="83" spans="1:91" x14ac:dyDescent="0.35">
      <c r="A83" t="s">
        <v>97</v>
      </c>
    </row>
    <row r="84" spans="1:91" ht="34" customHeight="1" thickBot="1" x14ac:dyDescent="0.4"/>
    <row r="85" spans="1:91" ht="51" customHeight="1" thickBot="1" x14ac:dyDescent="0.4">
      <c r="A85" s="29" t="s">
        <v>72</v>
      </c>
      <c r="B85" s="71" t="s">
        <v>151</v>
      </c>
      <c r="C85" s="72" t="s">
        <v>45</v>
      </c>
      <c r="D85" s="72" t="s">
        <v>46</v>
      </c>
      <c r="E85" s="73" t="s">
        <v>47</v>
      </c>
      <c r="G85" s="402" t="s">
        <v>45</v>
      </c>
      <c r="H85" s="178"/>
      <c r="I85" s="178"/>
      <c r="J85" s="178"/>
      <c r="K85" s="178"/>
      <c r="L85" s="178"/>
      <c r="M85" s="179"/>
      <c r="N85" s="8"/>
      <c r="O85" s="402" t="s">
        <v>46</v>
      </c>
      <c r="P85" s="178"/>
      <c r="Q85" s="178"/>
      <c r="R85" s="178"/>
      <c r="S85" s="178"/>
      <c r="T85" s="178"/>
      <c r="U85" s="178"/>
      <c r="V85" s="179"/>
      <c r="W85" s="8"/>
      <c r="X85" s="66" t="s">
        <v>47</v>
      </c>
      <c r="Y85" s="67"/>
      <c r="Z85" s="67"/>
      <c r="AA85" s="67"/>
      <c r="AB85" s="67"/>
      <c r="AC85" s="67"/>
      <c r="AD85" s="67"/>
      <c r="AE85" s="68"/>
      <c r="AF85" s="8"/>
      <c r="AG85" s="66" t="s">
        <v>45</v>
      </c>
      <c r="AH85" s="67"/>
      <c r="AI85" s="67"/>
      <c r="AJ85" s="67"/>
      <c r="AK85" s="67"/>
      <c r="AL85" s="68"/>
      <c r="AN85" s="66" t="s">
        <v>46</v>
      </c>
      <c r="AO85" s="67"/>
      <c r="AP85" s="67"/>
      <c r="AQ85" s="67"/>
      <c r="AR85" s="67"/>
      <c r="AS85" s="68"/>
      <c r="AU85" s="66" t="s">
        <v>47</v>
      </c>
      <c r="AV85" s="67"/>
      <c r="AW85" s="67"/>
      <c r="AX85" s="67"/>
      <c r="AY85" s="67"/>
      <c r="AZ85" s="68"/>
      <c r="BB85" s="8"/>
      <c r="BC85" s="8"/>
      <c r="BD85" s="182"/>
      <c r="BE85" s="39"/>
      <c r="BG85" s="71" t="s">
        <v>69</v>
      </c>
      <c r="BH85" s="72"/>
      <c r="BI85" s="72"/>
      <c r="BJ85" s="72"/>
      <c r="BK85" s="73"/>
      <c r="BM85" s="7"/>
      <c r="BN85" s="7"/>
      <c r="BO85" s="7"/>
      <c r="BP85" s="198"/>
    </row>
    <row r="86" spans="1:91" ht="47" thickBot="1" x14ac:dyDescent="0.4">
      <c r="A86" s="26"/>
      <c r="B86" s="75" t="s">
        <v>43</v>
      </c>
      <c r="C86" s="391">
        <f t="shared" ref="C86:E88" si="5">SUM(C44,C54,C64,C74)</f>
        <v>0</v>
      </c>
      <c r="D86" s="391">
        <f t="shared" si="5"/>
        <v>0</v>
      </c>
      <c r="E86" s="392">
        <f t="shared" si="5"/>
        <v>0</v>
      </c>
      <c r="G86" s="123" t="s">
        <v>48</v>
      </c>
      <c r="H86" s="400" t="s">
        <v>134</v>
      </c>
      <c r="I86" s="110" t="s">
        <v>42</v>
      </c>
      <c r="J86" s="110" t="s">
        <v>29</v>
      </c>
      <c r="K86" s="114" t="s">
        <v>71</v>
      </c>
      <c r="L86" s="110" t="s">
        <v>51</v>
      </c>
      <c r="M86" s="401" t="s">
        <v>222</v>
      </c>
      <c r="N86" s="198"/>
      <c r="O86" s="123" t="s">
        <v>48</v>
      </c>
      <c r="P86" s="400" t="s">
        <v>134</v>
      </c>
      <c r="Q86" s="110" t="s">
        <v>42</v>
      </c>
      <c r="R86" s="110" t="s">
        <v>29</v>
      </c>
      <c r="S86" s="114" t="s">
        <v>95</v>
      </c>
      <c r="T86" s="114" t="s">
        <v>65</v>
      </c>
      <c r="U86" s="114" t="s">
        <v>67</v>
      </c>
      <c r="V86" s="401" t="s">
        <v>222</v>
      </c>
      <c r="W86" s="198"/>
      <c r="X86" s="123" t="s">
        <v>48</v>
      </c>
      <c r="Y86" s="400" t="s">
        <v>134</v>
      </c>
      <c r="Z86" s="110" t="s">
        <v>42</v>
      </c>
      <c r="AA86" s="110" t="s">
        <v>29</v>
      </c>
      <c r="AB86" s="114" t="s">
        <v>95</v>
      </c>
      <c r="AC86" s="114" t="s">
        <v>65</v>
      </c>
      <c r="AD86" s="114" t="s">
        <v>67</v>
      </c>
      <c r="AE86" s="401" t="s">
        <v>222</v>
      </c>
      <c r="AF86" s="198"/>
      <c r="AG86" s="268" t="s">
        <v>48</v>
      </c>
      <c r="AH86" s="201" t="s">
        <v>50</v>
      </c>
      <c r="AI86" s="265" t="s">
        <v>52</v>
      </c>
      <c r="AJ86" s="267" t="s">
        <v>223</v>
      </c>
      <c r="AK86" s="267" t="s">
        <v>54</v>
      </c>
      <c r="AL86" s="266" t="s">
        <v>88</v>
      </c>
      <c r="AN86" s="268" t="s">
        <v>48</v>
      </c>
      <c r="AO86" s="267" t="s">
        <v>66</v>
      </c>
      <c r="AP86" s="267" t="s">
        <v>68</v>
      </c>
      <c r="AQ86" s="267" t="s">
        <v>223</v>
      </c>
      <c r="AR86" s="267" t="s">
        <v>54</v>
      </c>
      <c r="AS86" s="266" t="s">
        <v>88</v>
      </c>
      <c r="AU86" s="268" t="s">
        <v>48</v>
      </c>
      <c r="AV86" s="267" t="s">
        <v>66</v>
      </c>
      <c r="AW86" s="267" t="s">
        <v>68</v>
      </c>
      <c r="AX86" s="267" t="s">
        <v>223</v>
      </c>
      <c r="AY86" s="267" t="s">
        <v>54</v>
      </c>
      <c r="AZ86" s="266" t="s">
        <v>88</v>
      </c>
      <c r="BG86" s="64"/>
      <c r="BH86" s="200" t="s">
        <v>45</v>
      </c>
      <c r="BI86" s="200" t="s">
        <v>46</v>
      </c>
      <c r="BJ86" s="200" t="s">
        <v>47</v>
      </c>
      <c r="BK86" s="197" t="s">
        <v>70</v>
      </c>
      <c r="BM86" s="43"/>
      <c r="BN86" s="43"/>
      <c r="BO86" s="43"/>
      <c r="BP86" s="43"/>
    </row>
    <row r="87" spans="1:91" ht="16" thickBot="1" x14ac:dyDescent="0.4">
      <c r="A87" s="26"/>
      <c r="B87" s="75" t="s">
        <v>134</v>
      </c>
      <c r="C87" s="391">
        <f t="shared" si="5"/>
        <v>8454.2510937499992</v>
      </c>
      <c r="D87" s="391">
        <f t="shared" si="5"/>
        <v>20034.070833333331</v>
      </c>
      <c r="E87" s="392">
        <f t="shared" si="5"/>
        <v>35617.534791666665</v>
      </c>
      <c r="G87" s="65" t="s">
        <v>39</v>
      </c>
      <c r="H87" s="69"/>
      <c r="I87" s="70"/>
      <c r="J87" s="70"/>
      <c r="K87" s="45">
        <f>SUM(K65,K75)</f>
        <v>3</v>
      </c>
      <c r="L87" s="45">
        <f>SUM(L65,L75)</f>
        <v>1</v>
      </c>
      <c r="M87" s="52">
        <f>SUM(M65,M75)</f>
        <v>6833</v>
      </c>
      <c r="N87" s="43"/>
      <c r="O87" s="65" t="s">
        <v>39</v>
      </c>
      <c r="P87" s="69"/>
      <c r="Q87" s="70"/>
      <c r="R87" s="70"/>
      <c r="S87" s="45">
        <f t="shared" ref="S87:U87" si="6">SUM(S65,S75)</f>
        <v>6</v>
      </c>
      <c r="T87" s="45">
        <f t="shared" si="6"/>
        <v>3</v>
      </c>
      <c r="U87" s="45">
        <f t="shared" si="6"/>
        <v>1</v>
      </c>
      <c r="V87" s="52">
        <f>SUM(V65,V75)</f>
        <v>13666</v>
      </c>
      <c r="W87" s="43"/>
      <c r="X87" s="65" t="s">
        <v>39</v>
      </c>
      <c r="Y87" s="69"/>
      <c r="Z87" s="70"/>
      <c r="AA87" s="70"/>
      <c r="AB87" s="45">
        <f t="shared" ref="AB87:AD87" si="7">SUM(AB65,AB75)</f>
        <v>10</v>
      </c>
      <c r="AC87" s="45">
        <f t="shared" si="7"/>
        <v>4</v>
      </c>
      <c r="AD87" s="45">
        <f t="shared" si="7"/>
        <v>1</v>
      </c>
      <c r="AE87" s="52">
        <f>SUM(AE65,AE75)</f>
        <v>22776</v>
      </c>
      <c r="AF87" s="43"/>
      <c r="AG87" s="65" t="s">
        <v>39</v>
      </c>
      <c r="AH87" s="50">
        <f>SUM(AH65,AH75)</f>
        <v>7050</v>
      </c>
      <c r="AI87" s="50">
        <f>SUM(AI65,AI75)</f>
        <v>5000</v>
      </c>
      <c r="AJ87" s="50">
        <f>SUM(AJ65,AJ75)</f>
        <v>537</v>
      </c>
      <c r="AK87" s="50">
        <f>SUM(AK65,AK75)</f>
        <v>0</v>
      </c>
      <c r="AL87" s="212">
        <f>SUM(AL65,AL75)</f>
        <v>12587</v>
      </c>
      <c r="AN87" s="65" t="s">
        <v>39</v>
      </c>
      <c r="AO87" s="28">
        <f>SUM(AO65,AO75)</f>
        <v>7191</v>
      </c>
      <c r="AP87" s="28">
        <f>SUM(AP65,AP75)</f>
        <v>5000</v>
      </c>
      <c r="AQ87" s="28">
        <f>SUM(AQ65,AQ75)</f>
        <v>1074</v>
      </c>
      <c r="AR87" s="28">
        <f>SUM(AR65,AR75)</f>
        <v>1410</v>
      </c>
      <c r="AS87" s="212">
        <f>SUM(AS65,AS75)</f>
        <v>14675</v>
      </c>
      <c r="AU87" s="65" t="s">
        <v>39</v>
      </c>
      <c r="AV87" s="28">
        <f>SUM(AV65,AV75)</f>
        <v>9779.76</v>
      </c>
      <c r="AW87" s="28">
        <f>SUM(AW65,AW75)</f>
        <v>5000</v>
      </c>
      <c r="AX87" s="28">
        <f>SUM(AX65,AX75)</f>
        <v>1790</v>
      </c>
      <c r="AY87" s="28">
        <f>SUM(AY65,AY75)</f>
        <v>2848.2000000000003</v>
      </c>
      <c r="AZ87" s="212">
        <f>SUM(AZ65,AZ75)</f>
        <v>19417.960000000003</v>
      </c>
      <c r="BB87" s="4"/>
      <c r="BC87" s="4"/>
      <c r="BD87" s="4"/>
      <c r="BE87" s="59"/>
      <c r="BG87" s="173" t="s">
        <v>82</v>
      </c>
      <c r="BH87" s="177">
        <f t="shared" ref="BH87:BJ90" si="8">SUM(BH45,BH55,BH65,BH75)</f>
        <v>12587</v>
      </c>
      <c r="BI87" s="177">
        <f t="shared" si="8"/>
        <v>14675</v>
      </c>
      <c r="BJ87" s="177">
        <f t="shared" si="8"/>
        <v>19417.960000000003</v>
      </c>
      <c r="BK87" s="180">
        <f>SUM(BH87:BJ87)</f>
        <v>46679.960000000006</v>
      </c>
    </row>
    <row r="88" spans="1:91" ht="16" thickBot="1" x14ac:dyDescent="0.4">
      <c r="A88" s="27"/>
      <c r="B88" s="76" t="s">
        <v>44</v>
      </c>
      <c r="C88" s="427">
        <f t="shared" si="5"/>
        <v>4.9442852622333326</v>
      </c>
      <c r="D88" s="427">
        <f t="shared" si="5"/>
        <v>11.716491537866668</v>
      </c>
      <c r="E88" s="428">
        <f t="shared" si="5"/>
        <v>20.830142228225</v>
      </c>
      <c r="G88" s="65" t="s">
        <v>285</v>
      </c>
      <c r="H88" s="69"/>
      <c r="I88" s="70"/>
      <c r="J88" s="70"/>
      <c r="K88" s="45">
        <f>SUM(K45,K55)</f>
        <v>0</v>
      </c>
      <c r="L88" s="45">
        <f>SUM(L45,L55)</f>
        <v>0</v>
      </c>
      <c r="M88" s="52">
        <f>SUM(M45,M55,M66,M76)</f>
        <v>0</v>
      </c>
      <c r="O88" s="65" t="s">
        <v>285</v>
      </c>
      <c r="P88" s="69"/>
      <c r="Q88" s="70"/>
      <c r="R88" s="70"/>
      <c r="S88" s="45">
        <f t="shared" ref="S88:U88" si="9">SUM(S45,S55)</f>
        <v>0</v>
      </c>
      <c r="T88" s="45">
        <f t="shared" si="9"/>
        <v>0</v>
      </c>
      <c r="U88" s="45">
        <f t="shared" si="9"/>
        <v>0</v>
      </c>
      <c r="V88" s="52">
        <f>SUM(V45,V55,V66,V76)</f>
        <v>0</v>
      </c>
      <c r="X88" s="65" t="s">
        <v>285</v>
      </c>
      <c r="Y88" s="69"/>
      <c r="Z88" s="70"/>
      <c r="AA88" s="70"/>
      <c r="AB88" s="45">
        <f t="shared" ref="AB88:AD88" si="10">SUM(AB45,AB55)</f>
        <v>0</v>
      </c>
      <c r="AC88" s="45">
        <f t="shared" si="10"/>
        <v>0</v>
      </c>
      <c r="AD88" s="45">
        <f t="shared" si="10"/>
        <v>0</v>
      </c>
      <c r="AE88" s="52">
        <f>SUM(AE45,AE55,AE66,AE76)</f>
        <v>0</v>
      </c>
      <c r="AG88" s="65" t="s">
        <v>285</v>
      </c>
      <c r="AH88" s="50">
        <f>SUM(AH45,AH55,AH66,AH76)</f>
        <v>0</v>
      </c>
      <c r="AI88" s="50">
        <f>SUM(AI45,AI55,AI66,AI76)</f>
        <v>0</v>
      </c>
      <c r="AJ88" s="50">
        <f>SUM(AJ45,AJ55,AJ66,AJ76)</f>
        <v>0</v>
      </c>
      <c r="AK88" s="50">
        <f>SUM(AK45,AK55,AK66,AK76)</f>
        <v>0</v>
      </c>
      <c r="AL88" s="212">
        <f>SUM(AL45,AL55,AL66,AL76)</f>
        <v>0</v>
      </c>
      <c r="AN88" s="65" t="s">
        <v>285</v>
      </c>
      <c r="AO88" s="28">
        <f>SUM(AO45,AO55,AO66,AO76)</f>
        <v>0</v>
      </c>
      <c r="AP88" s="28">
        <f>SUM(AP45,AP55,AP66,AP76)</f>
        <v>0</v>
      </c>
      <c r="AQ88" s="28">
        <f>SUM(AQ45,AQ55,AQ66,AQ76)</f>
        <v>0</v>
      </c>
      <c r="AR88" s="28">
        <f>SUM(AR45,AR55,AR66,AR76)</f>
        <v>0</v>
      </c>
      <c r="AS88" s="212">
        <f>SUM(AS45,AS55,AS66,AS76)</f>
        <v>0</v>
      </c>
      <c r="AU88" s="65" t="s">
        <v>285</v>
      </c>
      <c r="AV88" s="28">
        <f>SUM(AV45,AV55,AV66,AV76)</f>
        <v>0</v>
      </c>
      <c r="AW88" s="28">
        <f>SUM(AW45,AW55,AW66,AW76)</f>
        <v>0</v>
      </c>
      <c r="AX88" s="28">
        <f>SUM(AX45,AX55,AX66,AX76)</f>
        <v>0</v>
      </c>
      <c r="AY88" s="28">
        <f>SUM(AY45,AY55,AY66,AY76)</f>
        <v>0</v>
      </c>
      <c r="AZ88" s="212">
        <f>SUM(AZ45,AZ55,AZ66,AZ76)</f>
        <v>0</v>
      </c>
      <c r="BB88" s="4"/>
      <c r="BC88" s="4"/>
      <c r="BD88" s="4"/>
      <c r="BE88" s="59"/>
      <c r="BG88" s="64" t="s">
        <v>217</v>
      </c>
      <c r="BH88" s="181">
        <f t="shared" si="8"/>
        <v>3</v>
      </c>
      <c r="BI88" s="181">
        <f t="shared" si="8"/>
        <v>3</v>
      </c>
      <c r="BJ88" s="181">
        <f>SUM(BJ46,BJ56,BJ66,BJ76)</f>
        <v>4</v>
      </c>
      <c r="BK88" s="145">
        <f>SUM(BH88:BJ88)</f>
        <v>10</v>
      </c>
    </row>
    <row r="89" spans="1:91" x14ac:dyDescent="0.35">
      <c r="BG89" s="160" t="s">
        <v>218</v>
      </c>
      <c r="BH89" s="4">
        <f t="shared" si="8"/>
        <v>1</v>
      </c>
      <c r="BI89" s="4">
        <f t="shared" si="8"/>
        <v>1</v>
      </c>
      <c r="BJ89" s="4">
        <f t="shared" si="8"/>
        <v>1</v>
      </c>
      <c r="BK89" s="121">
        <f t="shared" ref="BK89:BK90" si="11">SUM(BH89:BJ89)</f>
        <v>3</v>
      </c>
    </row>
    <row r="90" spans="1:91" ht="16" thickBot="1" x14ac:dyDescent="0.4">
      <c r="BG90" s="65" t="s">
        <v>216</v>
      </c>
      <c r="BH90" s="45">
        <f t="shared" si="8"/>
        <v>6833</v>
      </c>
      <c r="BI90" s="45">
        <f t="shared" si="8"/>
        <v>13666</v>
      </c>
      <c r="BJ90" s="45">
        <f t="shared" si="8"/>
        <v>22776</v>
      </c>
      <c r="BK90" s="122">
        <f t="shared" si="11"/>
        <v>43275</v>
      </c>
    </row>
    <row r="92" spans="1:91" x14ac:dyDescent="0.3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</row>
    <row r="94" spans="1:91" ht="21" x14ac:dyDescent="0.5">
      <c r="A94" s="54" t="s">
        <v>76</v>
      </c>
    </row>
    <row r="95" spans="1:91" x14ac:dyDescent="0.35">
      <c r="A95" t="s">
        <v>153</v>
      </c>
    </row>
    <row r="96" spans="1:91" x14ac:dyDescent="0.35">
      <c r="A96" t="s">
        <v>154</v>
      </c>
    </row>
    <row r="97" spans="1:11" x14ac:dyDescent="0.35">
      <c r="A97" t="s">
        <v>155</v>
      </c>
    </row>
    <row r="98" spans="1:11" x14ac:dyDescent="0.35">
      <c r="A98" t="s">
        <v>194</v>
      </c>
    </row>
    <row r="99" spans="1:11" x14ac:dyDescent="0.35">
      <c r="A99" t="s">
        <v>303</v>
      </c>
    </row>
    <row r="100" spans="1:11" x14ac:dyDescent="0.35">
      <c r="A100" t="s">
        <v>379</v>
      </c>
    </row>
    <row r="102" spans="1:11" x14ac:dyDescent="0.35">
      <c r="A102" s="8" t="s">
        <v>205</v>
      </c>
    </row>
    <row r="103" spans="1:11" ht="16" thickBot="1" x14ac:dyDescent="0.4"/>
    <row r="104" spans="1:11" ht="16" thickBot="1" x14ac:dyDescent="0.4">
      <c r="A104" s="29" t="s">
        <v>198</v>
      </c>
      <c r="B104" s="64"/>
      <c r="C104" s="200" t="s">
        <v>45</v>
      </c>
      <c r="D104" s="200" t="s">
        <v>46</v>
      </c>
      <c r="E104" s="53" t="s">
        <v>47</v>
      </c>
      <c r="G104" s="578" t="s">
        <v>85</v>
      </c>
      <c r="H104" s="167" t="s">
        <v>195</v>
      </c>
      <c r="I104" s="163"/>
      <c r="J104" s="164"/>
      <c r="K104" t="s">
        <v>381</v>
      </c>
    </row>
    <row r="105" spans="1:11" ht="34" customHeight="1" thickBot="1" x14ac:dyDescent="0.4">
      <c r="A105" s="27"/>
      <c r="B105" s="169" t="s">
        <v>44</v>
      </c>
      <c r="C105" s="158">
        <f>C88</f>
        <v>4.9442852622333326</v>
      </c>
      <c r="D105" s="158">
        <f>D88</f>
        <v>11.716491537866668</v>
      </c>
      <c r="E105" s="159">
        <f>E88</f>
        <v>20.830142228225</v>
      </c>
      <c r="G105" s="579"/>
      <c r="H105" s="123" t="s">
        <v>45</v>
      </c>
      <c r="I105" s="161" t="s">
        <v>46</v>
      </c>
      <c r="J105" s="162" t="s">
        <v>47</v>
      </c>
    </row>
    <row r="106" spans="1:11" x14ac:dyDescent="0.35">
      <c r="C106" s="2"/>
      <c r="G106" s="160" t="s">
        <v>81</v>
      </c>
      <c r="H106" s="121">
        <f>ROUNDUP(C105/gig_bw,0)*1.5</f>
        <v>10.5</v>
      </c>
      <c r="I106" s="121">
        <f>ROUNDUP(D105/gig_bw,0)*1.5</f>
        <v>24</v>
      </c>
      <c r="J106" s="121">
        <f>ROUNDUP(E105/gig_bw,0)*1.5</f>
        <v>42</v>
      </c>
    </row>
    <row r="107" spans="1:11" x14ac:dyDescent="0.35">
      <c r="G107" s="160" t="s">
        <v>83</v>
      </c>
      <c r="H107" s="121">
        <f>ROUNDUP(C105/oc48_bw,0)*1.5</f>
        <v>4.5</v>
      </c>
      <c r="I107" s="121">
        <f>ROUNDUP(D105/oc48_bw,0)*1.5</f>
        <v>10.5</v>
      </c>
      <c r="J107" s="121">
        <f>ROUNDUP(E105/oc48_bw,0)*1.5</f>
        <v>18</v>
      </c>
    </row>
    <row r="108" spans="1:11" ht="16" thickBot="1" x14ac:dyDescent="0.4">
      <c r="G108" s="65" t="s">
        <v>84</v>
      </c>
      <c r="H108" s="122">
        <f>ROUNDUP(C105/oc192_bw,0)*1.5</f>
        <v>1.5</v>
      </c>
      <c r="I108" s="122">
        <f>ROUNDUP(D105/oc192_bw,0)*1.5</f>
        <v>3</v>
      </c>
      <c r="J108" s="122">
        <f>ROUNDUP(E105/oc192_bw,0)*1.5</f>
        <v>4.5</v>
      </c>
    </row>
    <row r="111" spans="1:11" x14ac:dyDescent="0.35">
      <c r="A111" s="8" t="s">
        <v>206</v>
      </c>
    </row>
    <row r="112" spans="1:11" x14ac:dyDescent="0.35">
      <c r="A112" t="s">
        <v>203</v>
      </c>
    </row>
    <row r="113" spans="1:51" x14ac:dyDescent="0.35">
      <c r="A113" t="s">
        <v>196</v>
      </c>
      <c r="F113" s="46"/>
      <c r="N113" s="46"/>
    </row>
    <row r="114" spans="1:51" x14ac:dyDescent="0.35">
      <c r="A114" t="s">
        <v>197</v>
      </c>
      <c r="C114" s="4"/>
      <c r="E114" s="2"/>
      <c r="F114" s="60"/>
      <c r="G114" s="46"/>
      <c r="H114" s="7"/>
      <c r="I114" s="59"/>
    </row>
    <row r="115" spans="1:51" ht="16" thickBot="1" x14ac:dyDescent="0.4">
      <c r="G115" s="4"/>
      <c r="H115" s="4"/>
    </row>
    <row r="116" spans="1:51" ht="17" customHeight="1" thickBot="1" x14ac:dyDescent="0.4">
      <c r="A116" s="168" t="s">
        <v>198</v>
      </c>
      <c r="B116" s="64"/>
      <c r="C116" s="200" t="s">
        <v>45</v>
      </c>
      <c r="D116" s="200" t="s">
        <v>46</v>
      </c>
      <c r="E116" s="53" t="s">
        <v>47</v>
      </c>
      <c r="G116" s="578"/>
      <c r="H116" s="167" t="s">
        <v>195</v>
      </c>
      <c r="I116" s="163"/>
      <c r="J116" s="164"/>
    </row>
    <row r="117" spans="1:51" ht="16" thickBot="1" x14ac:dyDescent="0.4">
      <c r="A117" s="48"/>
      <c r="B117" s="169" t="s">
        <v>288</v>
      </c>
      <c r="C117" s="119">
        <f>K75+K65</f>
        <v>3</v>
      </c>
      <c r="D117" s="119">
        <f>S75+S65</f>
        <v>6</v>
      </c>
      <c r="E117" s="116">
        <f>AB75+AB65</f>
        <v>10</v>
      </c>
      <c r="G117" s="579"/>
      <c r="H117" s="123" t="s">
        <v>45</v>
      </c>
      <c r="I117" s="161" t="s">
        <v>46</v>
      </c>
      <c r="J117" s="162" t="s">
        <v>47</v>
      </c>
    </row>
    <row r="118" spans="1:51" ht="16" thickBot="1" x14ac:dyDescent="0.4">
      <c r="A118" s="173"/>
      <c r="B118" s="215" t="s">
        <v>289</v>
      </c>
      <c r="C118" s="218">
        <f>K88</f>
        <v>0</v>
      </c>
      <c r="D118" s="218">
        <f>S88</f>
        <v>0</v>
      </c>
      <c r="E118" s="217">
        <f>AB88</f>
        <v>0</v>
      </c>
      <c r="G118" s="65" t="s">
        <v>81</v>
      </c>
      <c r="H118" s="122">
        <f>C117*gen_xl_ports</f>
        <v>12</v>
      </c>
      <c r="I118" s="122">
        <f>D117*gen_xl_ports</f>
        <v>24</v>
      </c>
      <c r="J118" s="122">
        <f>E117*gen_xl_ports</f>
        <v>40</v>
      </c>
      <c r="K118" t="s">
        <v>204</v>
      </c>
    </row>
    <row r="119" spans="1:51" ht="16" thickBot="1" x14ac:dyDescent="0.4">
      <c r="G119" s="65" t="s">
        <v>84</v>
      </c>
      <c r="H119" s="122">
        <f>C118*nas_ports</f>
        <v>0</v>
      </c>
      <c r="I119" s="122">
        <f>D118*nas_ports</f>
        <v>0</v>
      </c>
      <c r="J119" s="122">
        <f>E118*nas_ports</f>
        <v>0</v>
      </c>
      <c r="K119" t="s">
        <v>380</v>
      </c>
    </row>
    <row r="121" spans="1:51" ht="19" thickBot="1" x14ac:dyDescent="0.5">
      <c r="A121" s="34" t="s">
        <v>210</v>
      </c>
    </row>
    <row r="122" spans="1:51" ht="16" thickBot="1" x14ac:dyDescent="0.4">
      <c r="A122" t="s">
        <v>211</v>
      </c>
      <c r="G122" s="578"/>
      <c r="H122" s="73" t="s">
        <v>213</v>
      </c>
      <c r="I122" s="163"/>
      <c r="J122" s="164"/>
      <c r="L122" s="578"/>
      <c r="M122" s="71" t="s">
        <v>98</v>
      </c>
      <c r="N122" s="72"/>
      <c r="O122" s="73"/>
      <c r="P122" s="71" t="s">
        <v>89</v>
      </c>
      <c r="Q122" s="72"/>
      <c r="R122" s="73"/>
      <c r="S122" s="71" t="s">
        <v>212</v>
      </c>
      <c r="T122" s="72"/>
      <c r="U122" s="72"/>
      <c r="V122" s="71" t="s">
        <v>224</v>
      </c>
      <c r="W122" s="72"/>
      <c r="X122" s="73"/>
      <c r="Z122" s="71" t="s">
        <v>45</v>
      </c>
      <c r="AA122" s="72"/>
      <c r="AB122" s="72"/>
      <c r="AC122" s="72"/>
      <c r="AD122" s="72"/>
      <c r="AE122" s="73"/>
      <c r="AG122" s="71" t="s">
        <v>46</v>
      </c>
      <c r="AH122" s="72"/>
      <c r="AI122" s="72"/>
      <c r="AJ122" s="72"/>
      <c r="AK122" s="72"/>
      <c r="AL122" s="73"/>
      <c r="AN122" s="71" t="s">
        <v>47</v>
      </c>
      <c r="AO122" s="72"/>
      <c r="AP122" s="72"/>
      <c r="AQ122" s="72"/>
      <c r="AR122" s="72"/>
      <c r="AS122" s="73"/>
      <c r="AU122" s="71" t="s">
        <v>69</v>
      </c>
      <c r="AV122" s="72"/>
      <c r="AW122" s="72"/>
      <c r="AX122" s="72"/>
      <c r="AY122" s="73"/>
    </row>
    <row r="123" spans="1:51" ht="31.5" thickBot="1" x14ac:dyDescent="0.4">
      <c r="A123" t="s">
        <v>207</v>
      </c>
      <c r="G123" s="583"/>
      <c r="H123" s="123" t="s">
        <v>45</v>
      </c>
      <c r="I123" s="161" t="s">
        <v>46</v>
      </c>
      <c r="J123" s="162" t="s">
        <v>47</v>
      </c>
      <c r="L123" s="579"/>
      <c r="M123" s="201" t="s">
        <v>45</v>
      </c>
      <c r="N123" s="139" t="s">
        <v>46</v>
      </c>
      <c r="O123" s="140" t="s">
        <v>47</v>
      </c>
      <c r="P123" s="109" t="s">
        <v>45</v>
      </c>
      <c r="Q123" s="72" t="s">
        <v>46</v>
      </c>
      <c r="R123" s="73" t="s">
        <v>47</v>
      </c>
      <c r="S123" s="109" t="s">
        <v>45</v>
      </c>
      <c r="T123" s="72" t="s">
        <v>46</v>
      </c>
      <c r="U123" s="72" t="s">
        <v>47</v>
      </c>
      <c r="V123" s="109" t="s">
        <v>45</v>
      </c>
      <c r="W123" s="72" t="s">
        <v>46</v>
      </c>
      <c r="X123" s="73" t="s">
        <v>47</v>
      </c>
      <c r="Z123" s="109" t="s">
        <v>156</v>
      </c>
      <c r="AA123" s="110" t="s">
        <v>78</v>
      </c>
      <c r="AB123" s="110" t="s">
        <v>52</v>
      </c>
      <c r="AC123" s="114" t="s">
        <v>223</v>
      </c>
      <c r="AD123" s="114" t="s">
        <v>54</v>
      </c>
      <c r="AE123" s="123" t="s">
        <v>88</v>
      </c>
      <c r="AG123" s="109" t="s">
        <v>156</v>
      </c>
      <c r="AH123" s="110" t="s">
        <v>78</v>
      </c>
      <c r="AI123" s="110" t="s">
        <v>52</v>
      </c>
      <c r="AJ123" s="114" t="s">
        <v>223</v>
      </c>
      <c r="AK123" s="114" t="s">
        <v>54</v>
      </c>
      <c r="AL123" s="123" t="s">
        <v>88</v>
      </c>
      <c r="AN123" s="109" t="s">
        <v>156</v>
      </c>
      <c r="AO123" s="110" t="s">
        <v>78</v>
      </c>
      <c r="AP123" s="110" t="s">
        <v>52</v>
      </c>
      <c r="AQ123" s="114" t="s">
        <v>223</v>
      </c>
      <c r="AR123" s="114" t="s">
        <v>54</v>
      </c>
      <c r="AS123" s="123" t="s">
        <v>88</v>
      </c>
      <c r="AU123" s="64"/>
      <c r="AV123" s="199" t="s">
        <v>45</v>
      </c>
      <c r="AW123" s="200" t="s">
        <v>46</v>
      </c>
      <c r="AX123" s="53" t="s">
        <v>47</v>
      </c>
      <c r="AY123" s="197" t="s">
        <v>70</v>
      </c>
    </row>
    <row r="124" spans="1:51" ht="17" customHeight="1" thickBot="1" x14ac:dyDescent="0.4">
      <c r="A124" s="580" t="s">
        <v>208</v>
      </c>
      <c r="B124" s="580"/>
      <c r="C124" s="580"/>
      <c r="D124" s="580"/>
      <c r="E124" s="580"/>
      <c r="G124" s="47" t="s">
        <v>81</v>
      </c>
      <c r="H124" s="121">
        <f>H118</f>
        <v>12</v>
      </c>
      <c r="I124" s="121">
        <f t="shared" ref="I124:J124" si="12">I118</f>
        <v>24</v>
      </c>
      <c r="J124" s="121">
        <f t="shared" si="12"/>
        <v>40</v>
      </c>
      <c r="L124" s="160" t="s">
        <v>81</v>
      </c>
      <c r="M124" s="174">
        <f>ROUNDUP(H124/gig_ports,0)</f>
        <v>2</v>
      </c>
      <c r="N124" s="4">
        <f>ROUNDUP(I124/gig_ports,0)</f>
        <v>3</v>
      </c>
      <c r="O124" s="51">
        <f>ROUNDUP(J124/gig_ports,0)</f>
        <v>5</v>
      </c>
      <c r="P124" s="174">
        <f>ROUNDUP(M124/22,0)</f>
        <v>1</v>
      </c>
      <c r="Q124" s="4">
        <f>ROUNDUP(N124/22,0)</f>
        <v>1</v>
      </c>
      <c r="R124" s="51">
        <f>ROUNDUP(O124/22,0)</f>
        <v>1</v>
      </c>
      <c r="S124" s="176"/>
      <c r="T124" s="176"/>
      <c r="U124" s="176"/>
      <c r="V124" s="174">
        <f>ROUNDUP(M124*gig_pwr*24*365,0)</f>
        <v>947</v>
      </c>
      <c r="W124" s="4">
        <f>ROUNDUP(N124*gig_pwr*24*365,0)</f>
        <v>1420</v>
      </c>
      <c r="X124" s="51">
        <f>ROUNDUP(O124*gig_pwr*24*365,0)</f>
        <v>2366</v>
      </c>
      <c r="Z124" s="44">
        <f>M124*gig_cost+M125*oc48_cost+(M126+M127)*oc192_cost</f>
        <v>39000</v>
      </c>
      <c r="AA124" s="50">
        <f>P128*shelf_cost</f>
        <v>10000</v>
      </c>
      <c r="AB124" s="50">
        <f>S128*rack_cost</f>
        <v>5000</v>
      </c>
      <c r="AC124" s="50">
        <f>ROUNDUP(V128*mw_pwr,0)</f>
        <v>540</v>
      </c>
      <c r="AD124" s="50">
        <v>0</v>
      </c>
      <c r="AE124" s="165">
        <f>SUM(Z124:AD124)</f>
        <v>54540</v>
      </c>
      <c r="AG124" s="44">
        <f>N124*gig_cost+N125*oc48_cost+(N126+N127)*oc192_cost-Z124</f>
        <v>10000</v>
      </c>
      <c r="AH124" s="50">
        <f>Q128*shelf_cost-AA124</f>
        <v>0</v>
      </c>
      <c r="AI124" s="50">
        <f>T128*rack_cost-AB124</f>
        <v>0</v>
      </c>
      <c r="AJ124" s="50">
        <f>ROUNDUP(W128*mw_pwr,0)</f>
        <v>670</v>
      </c>
      <c r="AK124" s="50">
        <f>ROUND(hw_supt*SUM(Z124,AA124),0)</f>
        <v>9800</v>
      </c>
      <c r="AL124" s="165">
        <f>SUM(AG124:AK124)</f>
        <v>20470</v>
      </c>
      <c r="AN124" s="44">
        <f>O124*gig_cost+O125*oc48_cost+(O126+O127)*oc192_cost-AG124-Z124</f>
        <v>15000</v>
      </c>
      <c r="AO124" s="50">
        <f>R128*shelf_cost-AH124-AA124</f>
        <v>0</v>
      </c>
      <c r="AP124" s="50">
        <f>U128*rack_cost-AI124-AB124</f>
        <v>0</v>
      </c>
      <c r="AQ124" s="50">
        <f>ROUNDUP(X128*mw_pwr,0)</f>
        <v>837</v>
      </c>
      <c r="AR124" s="50">
        <f>ROUND(hw_supt*SUM(Z124,AG124,AA124,AH124),0)</f>
        <v>11800</v>
      </c>
      <c r="AS124" s="165">
        <f>SUM(AN124:AR124)</f>
        <v>27637</v>
      </c>
      <c r="AU124" s="173" t="s">
        <v>82</v>
      </c>
      <c r="AV124" s="186">
        <f>AE124</f>
        <v>54540</v>
      </c>
      <c r="AW124" s="187">
        <f>AL124</f>
        <v>20470</v>
      </c>
      <c r="AX124" s="188">
        <f>AS124</f>
        <v>27637</v>
      </c>
      <c r="AY124" s="189">
        <f>SUM(AV124:AX124)</f>
        <v>102647</v>
      </c>
    </row>
    <row r="125" spans="1:51" x14ac:dyDescent="0.35">
      <c r="A125" s="580"/>
      <c r="B125" s="580"/>
      <c r="C125" s="580"/>
      <c r="D125" s="580"/>
      <c r="E125" s="580"/>
      <c r="G125" s="47" t="s">
        <v>83</v>
      </c>
      <c r="H125" s="121">
        <f>H107</f>
        <v>4.5</v>
      </c>
      <c r="I125" s="121">
        <f t="shared" ref="I125:J125" si="13">I107</f>
        <v>10.5</v>
      </c>
      <c r="J125" s="121">
        <f t="shared" si="13"/>
        <v>18</v>
      </c>
      <c r="L125" s="160" t="s">
        <v>83</v>
      </c>
      <c r="M125" s="174">
        <f>ROUNDUP(H125/oc48_ports,0)</f>
        <v>1</v>
      </c>
      <c r="N125" s="4">
        <f>ROUNDUP(I125/oc48_ports,0)</f>
        <v>2</v>
      </c>
      <c r="O125" s="51">
        <f>ROUNDUP(J125/oc48_ports,0)</f>
        <v>3</v>
      </c>
      <c r="P125" s="174">
        <f>ROUNDUP(M125/6,0)</f>
        <v>1</v>
      </c>
      <c r="Q125" s="4">
        <f>ROUNDUP(N125/6,0)</f>
        <v>1</v>
      </c>
      <c r="R125" s="51">
        <f>ROUNDUP(O125/6,0)</f>
        <v>1</v>
      </c>
      <c r="S125" s="176"/>
      <c r="T125" s="176"/>
      <c r="U125" s="176"/>
      <c r="V125" s="174">
        <f>ROUNDUP(M125*oc48_pwr*24*365,0)</f>
        <v>1183</v>
      </c>
      <c r="W125" s="4">
        <f>ROUNDUP(N125*oc48_pwr*24*365,0)</f>
        <v>2366</v>
      </c>
      <c r="X125" s="51">
        <f>ROUNDUP(O125*oc48_pwr*24*365,0)</f>
        <v>3548</v>
      </c>
      <c r="AU125" s="160" t="s">
        <v>219</v>
      </c>
      <c r="AV125" s="174">
        <f>M128</f>
        <v>5</v>
      </c>
      <c r="AW125" s="4">
        <f>N128-M128</f>
        <v>2</v>
      </c>
      <c r="AX125" s="51">
        <f>O128-N128</f>
        <v>3</v>
      </c>
      <c r="AY125" s="121">
        <f>SUM(AV125:AX125)</f>
        <v>10</v>
      </c>
    </row>
    <row r="126" spans="1:51" ht="16" thickBot="1" x14ac:dyDescent="0.4">
      <c r="A126" s="580"/>
      <c r="B126" s="580"/>
      <c r="C126" s="580"/>
      <c r="D126" s="580"/>
      <c r="E126" s="580"/>
      <c r="G126" s="47" t="s">
        <v>84</v>
      </c>
      <c r="H126" s="121">
        <f>H119</f>
        <v>0</v>
      </c>
      <c r="I126" s="121">
        <f t="shared" ref="I126:J126" si="14">I119</f>
        <v>0</v>
      </c>
      <c r="J126" s="121">
        <f t="shared" si="14"/>
        <v>0</v>
      </c>
      <c r="L126" s="160" t="s">
        <v>290</v>
      </c>
      <c r="M126" s="174">
        <f>ROUNDUP(H126/oc192_ports,0)</f>
        <v>0</v>
      </c>
      <c r="N126" s="4">
        <f>ROUNDUP(I126/oc192_ports,0)</f>
        <v>0</v>
      </c>
      <c r="O126" s="51">
        <f>ROUNDUP(J126/oc192_ports,0)</f>
        <v>0</v>
      </c>
      <c r="P126" s="174">
        <f>ROUNDUP(M126/2,0)</f>
        <v>0</v>
      </c>
      <c r="Q126" s="4">
        <f t="shared" ref="Q126:R126" si="15">ROUNDUP(N126/4,0)</f>
        <v>0</v>
      </c>
      <c r="R126" s="51">
        <f t="shared" si="15"/>
        <v>0</v>
      </c>
      <c r="S126" s="176"/>
      <c r="T126" s="176"/>
      <c r="U126" s="176"/>
      <c r="V126" s="174">
        <f t="shared" ref="V126:X127" si="16">ROUNDUP(M126*oc192_pwr*24*365,0)</f>
        <v>0</v>
      </c>
      <c r="W126" s="4">
        <f t="shared" si="16"/>
        <v>0</v>
      </c>
      <c r="X126" s="51">
        <f t="shared" si="16"/>
        <v>0</v>
      </c>
      <c r="AU126" s="160" t="s">
        <v>220</v>
      </c>
      <c r="AV126" s="174">
        <f>P128</f>
        <v>1</v>
      </c>
      <c r="AW126" s="4">
        <f>Q128-P128</f>
        <v>0</v>
      </c>
      <c r="AX126" s="51">
        <f>R128-Q128</f>
        <v>0</v>
      </c>
      <c r="AY126" s="121">
        <f t="shared" ref="AY126:AY128" si="17">SUM(AV126:AX126)</f>
        <v>1</v>
      </c>
    </row>
    <row r="127" spans="1:51" ht="16" thickBot="1" x14ac:dyDescent="0.4">
      <c r="G127" s="71" t="s">
        <v>75</v>
      </c>
      <c r="H127" s="172">
        <f>SUM(H124:H125)</f>
        <v>16.5</v>
      </c>
      <c r="I127" s="172">
        <f t="shared" ref="I127:J127" si="18">SUM(I124:I125)</f>
        <v>34.5</v>
      </c>
      <c r="J127" s="172">
        <f t="shared" si="18"/>
        <v>58</v>
      </c>
      <c r="L127" s="160" t="s">
        <v>291</v>
      </c>
      <c r="M127" s="174">
        <f>P128*2</f>
        <v>2</v>
      </c>
      <c r="N127" s="4">
        <f>Q128*2</f>
        <v>2</v>
      </c>
      <c r="O127" s="51">
        <f>R128*2</f>
        <v>2</v>
      </c>
      <c r="P127" s="183" t="s">
        <v>182</v>
      </c>
      <c r="Q127" s="184" t="s">
        <v>182</v>
      </c>
      <c r="R127" s="185" t="s">
        <v>182</v>
      </c>
      <c r="S127" s="176"/>
      <c r="T127" s="176"/>
      <c r="U127" s="176"/>
      <c r="V127" s="174">
        <f t="shared" si="16"/>
        <v>4731</v>
      </c>
      <c r="W127" s="4">
        <f t="shared" si="16"/>
        <v>4731</v>
      </c>
      <c r="X127" s="51">
        <f t="shared" si="16"/>
        <v>4731</v>
      </c>
      <c r="AU127" s="160" t="s">
        <v>218</v>
      </c>
      <c r="AV127" s="174">
        <f>S128</f>
        <v>1</v>
      </c>
      <c r="AW127" s="4">
        <f>T128-S128</f>
        <v>0</v>
      </c>
      <c r="AX127" s="51">
        <f>U128-T128</f>
        <v>0</v>
      </c>
      <c r="AY127" s="121">
        <f t="shared" si="17"/>
        <v>1</v>
      </c>
    </row>
    <row r="128" spans="1:51" ht="16" thickBot="1" x14ac:dyDescent="0.4">
      <c r="L128" s="173" t="s">
        <v>75</v>
      </c>
      <c r="M128" s="175">
        <f>SUM(M124:M127)</f>
        <v>5</v>
      </c>
      <c r="N128" s="170">
        <f>SUM(N124:N127)</f>
        <v>7</v>
      </c>
      <c r="O128" s="171">
        <f>SUM(O124:O127)</f>
        <v>10</v>
      </c>
      <c r="P128" s="175">
        <f>MAX(P124:P127)</f>
        <v>1</v>
      </c>
      <c r="Q128" s="170">
        <f>MAX(Q124:Q127)</f>
        <v>1</v>
      </c>
      <c r="R128" s="171">
        <f>MAX(R124:R127)</f>
        <v>1</v>
      </c>
      <c r="S128" s="175">
        <f>P128</f>
        <v>1</v>
      </c>
      <c r="T128" s="170">
        <f t="shared" ref="T128:U128" si="19">Q128</f>
        <v>1</v>
      </c>
      <c r="U128" s="170">
        <f t="shared" si="19"/>
        <v>1</v>
      </c>
      <c r="V128" s="175">
        <f>SUM(V124:V127)</f>
        <v>6861</v>
      </c>
      <c r="W128" s="170">
        <f>SUM(W124:W127)</f>
        <v>8517</v>
      </c>
      <c r="X128" s="171">
        <f>SUM(X124:X127)</f>
        <v>10645</v>
      </c>
      <c r="AU128" s="65" t="s">
        <v>216</v>
      </c>
      <c r="AV128" s="74">
        <f>V128</f>
        <v>6861</v>
      </c>
      <c r="AW128" s="45">
        <f>W128</f>
        <v>8517</v>
      </c>
      <c r="AX128" s="52">
        <f>X128</f>
        <v>10645</v>
      </c>
      <c r="AY128" s="122">
        <f t="shared" si="17"/>
        <v>26023</v>
      </c>
    </row>
    <row r="130" spans="1:91" x14ac:dyDescent="0.3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</row>
    <row r="132" spans="1:91" ht="18.5" x14ac:dyDescent="0.45">
      <c r="A132" s="55" t="s">
        <v>92</v>
      </c>
    </row>
    <row r="133" spans="1:91" x14ac:dyDescent="0.35">
      <c r="A133" t="s">
        <v>273</v>
      </c>
    </row>
    <row r="134" spans="1:91" x14ac:dyDescent="0.35">
      <c r="A134" t="s">
        <v>382</v>
      </c>
    </row>
    <row r="135" spans="1:91" x14ac:dyDescent="0.35">
      <c r="A135" t="s">
        <v>266</v>
      </c>
    </row>
    <row r="137" spans="1:91" x14ac:dyDescent="0.35">
      <c r="C137" s="8" t="s">
        <v>45</v>
      </c>
      <c r="D137" s="8" t="s">
        <v>46</v>
      </c>
      <c r="E137" s="8" t="s">
        <v>47</v>
      </c>
    </row>
    <row r="138" spans="1:91" x14ac:dyDescent="0.35">
      <c r="A138" s="8" t="s">
        <v>428</v>
      </c>
      <c r="B138" s="195"/>
      <c r="C138" s="196"/>
      <c r="D138" s="196"/>
      <c r="E138" s="196"/>
    </row>
    <row r="139" spans="1:91" x14ac:dyDescent="0.35">
      <c r="A139" s="8"/>
      <c r="B139" s="202" t="s">
        <v>259</v>
      </c>
      <c r="C139" s="196"/>
      <c r="D139" s="196"/>
      <c r="E139" s="196"/>
    </row>
    <row r="140" spans="1:91" x14ac:dyDescent="0.35">
      <c r="B140" s="10" t="s">
        <v>433</v>
      </c>
      <c r="C140" s="1">
        <f>C19*rack_sf*2</f>
        <v>128</v>
      </c>
      <c r="D140" s="1">
        <f>D19*rack_sf*2</f>
        <v>192</v>
      </c>
      <c r="E140" s="1">
        <f>E19*rack_sf*2</f>
        <v>256</v>
      </c>
    </row>
    <row r="141" spans="1:91" x14ac:dyDescent="0.35">
      <c r="B141" s="10" t="s">
        <v>462</v>
      </c>
      <c r="C141" s="205">
        <f>3000*E140</f>
        <v>768000</v>
      </c>
      <c r="D141" s="205">
        <f>25%*C141</f>
        <v>192000</v>
      </c>
      <c r="E141" s="205">
        <f>25%*C141</f>
        <v>192000</v>
      </c>
    </row>
    <row r="142" spans="1:91" x14ac:dyDescent="0.35">
      <c r="B142" s="10" t="s">
        <v>252</v>
      </c>
      <c r="C142" s="205">
        <f>C158*23801/2*50%</f>
        <v>11627.100956050228</v>
      </c>
      <c r="D142" s="205">
        <f t="shared" ref="D142:E142" si="20">D158*23801/2*50%</f>
        <v>18834.816745148401</v>
      </c>
      <c r="E142" s="205">
        <f t="shared" si="20"/>
        <v>28376.613192066212</v>
      </c>
    </row>
    <row r="143" spans="1:91" x14ac:dyDescent="0.35">
      <c r="B143" s="10" t="s">
        <v>253</v>
      </c>
      <c r="C143" s="205">
        <f>C140/2*262*50%</f>
        <v>8384</v>
      </c>
      <c r="D143" s="205">
        <f>(D140-C140)/2*262*50%</f>
        <v>4192</v>
      </c>
      <c r="E143" s="205">
        <f>(E140-D140)/2*262*50%</f>
        <v>4192</v>
      </c>
    </row>
    <row r="144" spans="1:91" x14ac:dyDescent="0.35">
      <c r="B144" s="10" t="s">
        <v>262</v>
      </c>
      <c r="C144" s="481"/>
      <c r="D144" s="482"/>
      <c r="E144" s="482"/>
    </row>
    <row r="145" spans="1:5" x14ac:dyDescent="0.35">
      <c r="B145" s="10" t="s">
        <v>263</v>
      </c>
      <c r="C145" s="205">
        <v>0</v>
      </c>
      <c r="D145" s="205">
        <v>0</v>
      </c>
      <c r="E145" s="205">
        <v>0</v>
      </c>
    </row>
    <row r="146" spans="1:5" x14ac:dyDescent="0.35">
      <c r="B146" s="10" t="s">
        <v>264</v>
      </c>
      <c r="C146" s="2"/>
    </row>
    <row r="147" spans="1:5" x14ac:dyDescent="0.35">
      <c r="B147" s="31" t="s">
        <v>231</v>
      </c>
      <c r="C147" s="4">
        <f>H107</f>
        <v>4.5</v>
      </c>
      <c r="D147" s="4">
        <f>I107-H107</f>
        <v>6</v>
      </c>
      <c r="E147" s="4">
        <f>J107-I107</f>
        <v>7.5</v>
      </c>
    </row>
    <row r="148" spans="1:5" x14ac:dyDescent="0.35">
      <c r="B148" s="31" t="s">
        <v>226</v>
      </c>
      <c r="C148" s="4">
        <f>ROUNDUP(C147/144,0)</f>
        <v>1</v>
      </c>
      <c r="D148" s="4">
        <f t="shared" ref="D148:E148" si="21">ROUNDUP(D147/144,0)</f>
        <v>1</v>
      </c>
      <c r="E148" s="4">
        <f t="shared" si="21"/>
        <v>1</v>
      </c>
    </row>
    <row r="149" spans="1:5" x14ac:dyDescent="0.35">
      <c r="B149" s="31" t="s">
        <v>228</v>
      </c>
      <c r="C149" s="1">
        <f>C148*fiber_run*110%</f>
        <v>5808.0000000000009</v>
      </c>
      <c r="D149" s="1">
        <f>D148*fiber_run*110%</f>
        <v>5808.0000000000009</v>
      </c>
      <c r="E149" s="1">
        <f>E148*fiber_run*110%</f>
        <v>5808.0000000000009</v>
      </c>
    </row>
    <row r="150" spans="1:5" x14ac:dyDescent="0.35">
      <c r="B150" s="31" t="s">
        <v>229</v>
      </c>
      <c r="C150" s="59">
        <f>C149*fiber_cost</f>
        <v>11441.760000000002</v>
      </c>
      <c r="D150" s="59">
        <f>D149*fiber_cost</f>
        <v>11441.760000000002</v>
      </c>
      <c r="E150" s="59">
        <f>E149*fiber_cost</f>
        <v>11441.760000000002</v>
      </c>
    </row>
    <row r="151" spans="1:5" x14ac:dyDescent="0.35">
      <c r="B151" s="31" t="s">
        <v>232</v>
      </c>
      <c r="C151" s="59">
        <f>20000*C148</f>
        <v>20000</v>
      </c>
      <c r="D151" s="59">
        <f t="shared" ref="D151:E151" si="22">20000*D148</f>
        <v>20000</v>
      </c>
      <c r="E151" s="59">
        <f t="shared" si="22"/>
        <v>20000</v>
      </c>
    </row>
    <row r="152" spans="1:5" x14ac:dyDescent="0.35">
      <c r="B152" s="31" t="s">
        <v>233</v>
      </c>
      <c r="C152" s="43">
        <f>SUM(C150:C151)</f>
        <v>31441.760000000002</v>
      </c>
      <c r="D152" s="43">
        <f t="shared" ref="D152:E152" si="23">SUM(D150:D151)</f>
        <v>31441.760000000002</v>
      </c>
      <c r="E152" s="43">
        <f t="shared" si="23"/>
        <v>31441.760000000002</v>
      </c>
    </row>
    <row r="153" spans="1:5" x14ac:dyDescent="0.35">
      <c r="B153" s="209" t="s">
        <v>271</v>
      </c>
      <c r="C153" s="210">
        <f>C140/2*65</f>
        <v>4160</v>
      </c>
      <c r="D153" s="210">
        <f>(D140-C140)/2*65</f>
        <v>2080</v>
      </c>
      <c r="E153" s="210">
        <f>(E140-D140)/2*65</f>
        <v>2080</v>
      </c>
    </row>
    <row r="154" spans="1:5" x14ac:dyDescent="0.35">
      <c r="B154" s="10" t="s">
        <v>265</v>
      </c>
      <c r="C154" s="43">
        <v>0</v>
      </c>
      <c r="D154" s="19">
        <v>0</v>
      </c>
      <c r="E154" s="19">
        <v>0</v>
      </c>
    </row>
    <row r="155" spans="1:5" x14ac:dyDescent="0.35">
      <c r="B155" s="18" t="s">
        <v>269</v>
      </c>
      <c r="C155" s="196">
        <f>SUM(C141:C145,C152,C153,C154)</f>
        <v>823612.86095605022</v>
      </c>
      <c r="D155" s="196">
        <f t="shared" ref="D155:E155" si="24">SUM(D141:D145,D152,D153,D154)</f>
        <v>248548.5767451484</v>
      </c>
      <c r="E155" s="196">
        <f t="shared" si="24"/>
        <v>258090.37319206621</v>
      </c>
    </row>
    <row r="156" spans="1:5" x14ac:dyDescent="0.35">
      <c r="A156" s="8" t="s">
        <v>432</v>
      </c>
      <c r="B156" s="20"/>
      <c r="C156" s="196"/>
      <c r="D156" s="204"/>
      <c r="E156" s="204"/>
    </row>
    <row r="157" spans="1:5" x14ac:dyDescent="0.35">
      <c r="B157" t="s">
        <v>254</v>
      </c>
      <c r="C157" s="19"/>
      <c r="D157" s="19"/>
      <c r="E157" s="19"/>
    </row>
    <row r="158" spans="1:5" x14ac:dyDescent="0.35">
      <c r="A158" s="8"/>
      <c r="B158" s="191" t="s">
        <v>261</v>
      </c>
      <c r="C158" s="21">
        <f>C161/24/365</f>
        <v>1.9540525114155249</v>
      </c>
      <c r="D158" s="21">
        <f t="shared" ref="D158:E158" si="25">D161/24/365</f>
        <v>3.1653824200913241</v>
      </c>
      <c r="E158" s="21">
        <f t="shared" si="25"/>
        <v>4.7689783105022832</v>
      </c>
    </row>
    <row r="159" spans="1:5" x14ac:dyDescent="0.35">
      <c r="B159" s="191" t="s">
        <v>257</v>
      </c>
      <c r="C159" s="1">
        <f>(BH90+AV128)</f>
        <v>13694</v>
      </c>
      <c r="D159" s="1">
        <f>(BI90+AW128)</f>
        <v>22183</v>
      </c>
      <c r="E159" s="1">
        <f>(BJ90+AX128)</f>
        <v>33421</v>
      </c>
    </row>
    <row r="160" spans="1:5" x14ac:dyDescent="0.35">
      <c r="B160" s="191" t="s">
        <v>258</v>
      </c>
      <c r="C160" s="1">
        <f>25%*C159</f>
        <v>3423.5</v>
      </c>
      <c r="D160" s="1">
        <f t="shared" ref="D160:E160" si="26">25%*D159</f>
        <v>5545.75</v>
      </c>
      <c r="E160" s="1">
        <f t="shared" si="26"/>
        <v>8355.25</v>
      </c>
    </row>
    <row r="161" spans="1:5" x14ac:dyDescent="0.35">
      <c r="B161" s="191" t="s">
        <v>256</v>
      </c>
      <c r="C161" s="1">
        <f>SUM(C159:C160)</f>
        <v>17117.5</v>
      </c>
      <c r="D161" s="1">
        <f t="shared" ref="D161:E161" si="27">SUM(D159:D160)</f>
        <v>27728.75</v>
      </c>
      <c r="E161" s="1">
        <f t="shared" si="27"/>
        <v>41776.25</v>
      </c>
    </row>
    <row r="162" spans="1:5" x14ac:dyDescent="0.35">
      <c r="B162" s="191" t="s">
        <v>267</v>
      </c>
      <c r="C162" s="205">
        <f>C161*mw_pwr</f>
        <v>1345.4355</v>
      </c>
      <c r="D162" s="205">
        <f>D161*mw_pwr</f>
        <v>2179.47975</v>
      </c>
      <c r="E162" s="205">
        <f>E161*mw_pwr</f>
        <v>3283.6132500000003</v>
      </c>
    </row>
    <row r="163" spans="1:5" x14ac:dyDescent="0.35">
      <c r="B163" s="202" t="s">
        <v>268</v>
      </c>
      <c r="C163" s="205">
        <f>C105/2*1000*mw_it*12</f>
        <v>13349.57020803</v>
      </c>
      <c r="D163" s="205">
        <f>D105/2*1000*mw_it*12</f>
        <v>31634.527152240007</v>
      </c>
      <c r="E163" s="205">
        <f>E105/2*1000*mw_it*12</f>
        <v>56241.384016207507</v>
      </c>
    </row>
    <row r="164" spans="1:5" x14ac:dyDescent="0.35">
      <c r="B164" s="202" t="s">
        <v>275</v>
      </c>
      <c r="C164" s="205">
        <v>0</v>
      </c>
      <c r="D164" s="205">
        <f>AR87+AK124</f>
        <v>11210</v>
      </c>
      <c r="E164" s="205">
        <f>SUM(AY87,AR124)</f>
        <v>14648.2</v>
      </c>
    </row>
    <row r="165" spans="1:5" x14ac:dyDescent="0.35">
      <c r="B165" s="202" t="s">
        <v>247</v>
      </c>
      <c r="C165" s="59">
        <f>mw_tax*SUM(C141,C142,C150,C27)</f>
        <v>12968.208366265038</v>
      </c>
      <c r="D165" s="59">
        <f>mw_tax*SUM(C141,C150:D150,C142:D142,C27:D27)</f>
        <v>13762.042802419135</v>
      </c>
      <c r="E165" s="59">
        <f>mw_tax*SUM(C141,C150:E150,C142:E142,C27:E27)</f>
        <v>14815.062557615096</v>
      </c>
    </row>
    <row r="166" spans="1:5" x14ac:dyDescent="0.35">
      <c r="B166" s="18" t="s">
        <v>270</v>
      </c>
      <c r="C166" s="206">
        <f>SUM(C162,C163,C164,C165)</f>
        <v>27663.214074295036</v>
      </c>
      <c r="D166" s="206">
        <f t="shared" ref="D166:E166" si="28">SUM(D162,D163,D164,D165)</f>
        <v>58786.049704659141</v>
      </c>
      <c r="E166" s="206">
        <f t="shared" si="28"/>
        <v>88988.259823822606</v>
      </c>
    </row>
    <row r="167" spans="1:5" x14ac:dyDescent="0.35">
      <c r="A167" s="18" t="s">
        <v>248</v>
      </c>
    </row>
    <row r="168" spans="1:5" x14ac:dyDescent="0.35">
      <c r="B168" s="202" t="s">
        <v>467</v>
      </c>
      <c r="C168" s="59">
        <f>D188*1000</f>
        <v>0</v>
      </c>
      <c r="D168" s="43">
        <f>C168*1.03</f>
        <v>0</v>
      </c>
      <c r="E168" s="43">
        <f>D168*1.03</f>
        <v>0</v>
      </c>
    </row>
    <row r="169" spans="1:5" x14ac:dyDescent="0.35">
      <c r="B169" s="202" t="s">
        <v>468</v>
      </c>
      <c r="C169" s="59">
        <f>E188*1000</f>
        <v>0</v>
      </c>
      <c r="D169" s="43">
        <f t="shared" ref="D169:E173" si="29">C169*1.03</f>
        <v>0</v>
      </c>
      <c r="E169" s="43">
        <f t="shared" si="29"/>
        <v>0</v>
      </c>
    </row>
    <row r="170" spans="1:5" x14ac:dyDescent="0.35">
      <c r="B170" s="202" t="s">
        <v>469</v>
      </c>
      <c r="C170" s="59">
        <f>F188*1000</f>
        <v>75950</v>
      </c>
      <c r="D170" s="43">
        <f t="shared" si="29"/>
        <v>78228.5</v>
      </c>
      <c r="E170" s="43">
        <f t="shared" si="29"/>
        <v>80575.354999999996</v>
      </c>
    </row>
    <row r="171" spans="1:5" x14ac:dyDescent="0.35">
      <c r="B171" s="202" t="s">
        <v>250</v>
      </c>
      <c r="C171" s="59">
        <f>G188*1000</f>
        <v>0</v>
      </c>
      <c r="D171" s="43">
        <f t="shared" si="29"/>
        <v>0</v>
      </c>
      <c r="E171" s="43">
        <f t="shared" si="29"/>
        <v>0</v>
      </c>
    </row>
    <row r="172" spans="1:5" x14ac:dyDescent="0.35">
      <c r="B172" s="202" t="s">
        <v>249</v>
      </c>
      <c r="C172" s="59">
        <f>E189*C140</f>
        <v>0</v>
      </c>
      <c r="D172" s="43">
        <f>C172*1.03</f>
        <v>0</v>
      </c>
      <c r="E172" s="43">
        <f>D172*1.03</f>
        <v>0</v>
      </c>
    </row>
    <row r="173" spans="1:5" x14ac:dyDescent="0.35">
      <c r="B173" s="18" t="s">
        <v>251</v>
      </c>
      <c r="C173" s="206">
        <f>SUM(C168:C171)</f>
        <v>75950</v>
      </c>
      <c r="D173" s="206">
        <f t="shared" si="29"/>
        <v>78228.5</v>
      </c>
      <c r="E173" s="206">
        <f t="shared" si="29"/>
        <v>80575.354999999996</v>
      </c>
    </row>
    <row r="174" spans="1:5" x14ac:dyDescent="0.35">
      <c r="A174" s="8" t="s">
        <v>272</v>
      </c>
      <c r="B174" s="519">
        <f>SUM(C174:E174)</f>
        <v>1740443.1894960415</v>
      </c>
      <c r="C174" s="206">
        <f>SUM(C155,C166,C173)</f>
        <v>927226.07503034524</v>
      </c>
      <c r="D174" s="206">
        <f>SUM(D155,D166,D173)</f>
        <v>385563.12644980755</v>
      </c>
      <c r="E174" s="206">
        <f>SUM(E155,E166,E173)</f>
        <v>427653.98801588878</v>
      </c>
    </row>
    <row r="175" spans="1:5" x14ac:dyDescent="0.35">
      <c r="B175" s="195"/>
      <c r="C175" s="203"/>
      <c r="D175" s="203"/>
      <c r="E175" s="203"/>
    </row>
    <row r="176" spans="1:5" x14ac:dyDescent="0.35">
      <c r="B176" s="195"/>
      <c r="C176" s="203"/>
      <c r="D176" s="203"/>
      <c r="E176" s="203"/>
    </row>
    <row r="181" spans="2:6" x14ac:dyDescent="0.35">
      <c r="B181" t="s">
        <v>255</v>
      </c>
    </row>
    <row r="183" spans="2:6" ht="31" x14ac:dyDescent="0.35">
      <c r="D183" s="522" t="s">
        <v>465</v>
      </c>
      <c r="E183" s="523" t="s">
        <v>466</v>
      </c>
      <c r="F183" s="523" t="s">
        <v>442</v>
      </c>
    </row>
    <row r="184" spans="2:6" x14ac:dyDescent="0.35">
      <c r="B184" t="s">
        <v>235</v>
      </c>
      <c r="C184" t="s">
        <v>236</v>
      </c>
      <c r="D184" s="520">
        <f>E184*120%</f>
        <v>99.408000000000001</v>
      </c>
      <c r="E184" s="520">
        <f>mw_admin/1000</f>
        <v>82.84</v>
      </c>
      <c r="F184" s="520">
        <f>mw_tech/1000</f>
        <v>75.95</v>
      </c>
    </row>
    <row r="185" spans="2:6" x14ac:dyDescent="0.35">
      <c r="B185" t="s">
        <v>237</v>
      </c>
      <c r="C185" t="s">
        <v>238</v>
      </c>
      <c r="D185" s="520">
        <v>0</v>
      </c>
      <c r="E185" s="520">
        <v>0</v>
      </c>
      <c r="F185" s="520">
        <v>1</v>
      </c>
    </row>
    <row r="186" spans="2:6" x14ac:dyDescent="0.35">
      <c r="B186" t="s">
        <v>239</v>
      </c>
      <c r="C186" t="s">
        <v>238</v>
      </c>
      <c r="D186" s="520">
        <v>1</v>
      </c>
      <c r="E186" s="520">
        <v>1</v>
      </c>
      <c r="F186" s="520">
        <v>1</v>
      </c>
    </row>
    <row r="187" spans="2:6" x14ac:dyDescent="0.35">
      <c r="B187" t="s">
        <v>240</v>
      </c>
      <c r="C187" t="s">
        <v>241</v>
      </c>
      <c r="D187" s="521">
        <v>0</v>
      </c>
      <c r="E187" s="521">
        <v>0</v>
      </c>
      <c r="F187" s="521">
        <v>0</v>
      </c>
    </row>
    <row r="188" spans="2:6" x14ac:dyDescent="0.35">
      <c r="B188" t="s">
        <v>242</v>
      </c>
      <c r="C188" t="s">
        <v>236</v>
      </c>
      <c r="D188" s="520">
        <f>D185*D186*D184*(1+D187)</f>
        <v>0</v>
      </c>
      <c r="E188" s="520">
        <f>E185*E186*E184*(1+E187)</f>
        <v>0</v>
      </c>
      <c r="F188" s="520">
        <f>F185*F186*F184*(1+F187)</f>
        <v>75.95</v>
      </c>
    </row>
    <row r="189" spans="2:6" x14ac:dyDescent="0.35">
      <c r="B189" t="s">
        <v>243</v>
      </c>
      <c r="E189" s="19">
        <v>0</v>
      </c>
      <c r="F189" t="s">
        <v>244</v>
      </c>
    </row>
  </sheetData>
  <mergeCells count="9">
    <mergeCell ref="G122:G123"/>
    <mergeCell ref="L122:L123"/>
    <mergeCell ref="A124:E126"/>
    <mergeCell ref="A42:E42"/>
    <mergeCell ref="A52:E52"/>
    <mergeCell ref="A62:E62"/>
    <mergeCell ref="A72:E72"/>
    <mergeCell ref="G104:G105"/>
    <mergeCell ref="G116:G117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CCF-DB33-B64F-BC67-5DD0351C6FD7}">
  <dimension ref="A1:CM189"/>
  <sheetViews>
    <sheetView zoomScaleNormal="100" workbookViewId="0">
      <selection activeCell="B34" sqref="B34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63" width="12.5" customWidth="1"/>
    <col min="64" max="65" width="11.6640625" customWidth="1"/>
    <col min="66" max="66" width="11.5" bestFit="1" customWidth="1"/>
    <col min="67" max="68" width="11.6640625" customWidth="1"/>
    <col min="69" max="69" width="12.5" bestFit="1" customWidth="1"/>
    <col min="70" max="76" width="11.6640625" customWidth="1"/>
    <col min="77" max="77" width="11.5" customWidth="1"/>
    <col min="78" max="80" width="11.5" bestFit="1" customWidth="1"/>
    <col min="81" max="81" width="23.6640625" bestFit="1" customWidth="1"/>
    <col min="82" max="82" width="10.5" bestFit="1" customWidth="1"/>
    <col min="83" max="84" width="11.5" bestFit="1" customWidth="1"/>
    <col min="85" max="85" width="12.5" bestFit="1" customWidth="1"/>
    <col min="86" max="86" width="11.5" bestFit="1" customWidth="1"/>
    <col min="87" max="87" width="11.6640625" customWidth="1"/>
    <col min="88" max="89" width="12.5" bestFit="1" customWidth="1"/>
  </cols>
  <sheetData>
    <row r="1" spans="1:10" ht="23.5" x14ac:dyDescent="0.55000000000000004">
      <c r="A1" s="61" t="s">
        <v>391</v>
      </c>
    </row>
    <row r="3" spans="1:10" x14ac:dyDescent="0.35">
      <c r="C3" s="6"/>
      <c r="D3" s="1"/>
    </row>
    <row r="4" spans="1:10" ht="21" x14ac:dyDescent="0.5">
      <c r="A4" s="54" t="s">
        <v>41</v>
      </c>
      <c r="C4" s="6"/>
      <c r="D4" s="1"/>
    </row>
    <row r="7" spans="1:10" x14ac:dyDescent="0.35">
      <c r="A7" t="s">
        <v>325</v>
      </c>
      <c r="C7" s="6"/>
      <c r="D7" s="1"/>
    </row>
    <row r="8" spans="1:10" x14ac:dyDescent="0.35">
      <c r="A8" t="s">
        <v>324</v>
      </c>
      <c r="C8" s="6"/>
      <c r="D8" s="1"/>
    </row>
    <row r="9" spans="1:10" x14ac:dyDescent="0.35">
      <c r="A9" t="s">
        <v>102</v>
      </c>
      <c r="C9" s="6"/>
      <c r="D9" s="1"/>
    </row>
    <row r="10" spans="1:10" x14ac:dyDescent="0.35">
      <c r="A10" t="s">
        <v>103</v>
      </c>
      <c r="C10" s="6"/>
      <c r="D10" s="1"/>
    </row>
    <row r="11" spans="1:10" x14ac:dyDescent="0.35">
      <c r="A11" t="s">
        <v>74</v>
      </c>
      <c r="C11" s="6"/>
      <c r="D11" s="1"/>
    </row>
    <row r="12" spans="1:10" x14ac:dyDescent="0.35">
      <c r="C12" s="6"/>
      <c r="D12" s="1"/>
    </row>
    <row r="13" spans="1:10" ht="21" x14ac:dyDescent="0.5">
      <c r="A13" s="190" t="s">
        <v>395</v>
      </c>
    </row>
    <row r="15" spans="1:10" x14ac:dyDescent="0.35">
      <c r="A15" s="8" t="s">
        <v>221</v>
      </c>
      <c r="B15" s="211" t="s">
        <v>274</v>
      </c>
      <c r="C15" s="39" t="s">
        <v>45</v>
      </c>
      <c r="D15" s="39" t="s">
        <v>46</v>
      </c>
      <c r="E15" s="39" t="s">
        <v>47</v>
      </c>
      <c r="G15" s="39"/>
      <c r="H15" s="39"/>
      <c r="I15" s="39"/>
      <c r="J15" s="39"/>
    </row>
    <row r="16" spans="1:10" x14ac:dyDescent="0.35">
      <c r="B16" s="202" t="s">
        <v>73</v>
      </c>
      <c r="C16" s="192">
        <f>BH88</f>
        <v>3</v>
      </c>
      <c r="D16" s="192">
        <f>SUM(BH88:BI88)</f>
        <v>6</v>
      </c>
      <c r="E16" s="193">
        <f>SUM(BH88:BJ88)</f>
        <v>10</v>
      </c>
      <c r="G16" s="31"/>
      <c r="H16" s="43"/>
    </row>
    <row r="17" spans="1:9" x14ac:dyDescent="0.35">
      <c r="B17" s="202" t="s">
        <v>311</v>
      </c>
      <c r="C17" s="193">
        <f>M128</f>
        <v>5</v>
      </c>
      <c r="D17" s="193">
        <f>N128</f>
        <v>7</v>
      </c>
      <c r="E17" s="193">
        <f>O128</f>
        <v>10</v>
      </c>
    </row>
    <row r="18" spans="1:9" x14ac:dyDescent="0.35">
      <c r="B18" s="202" t="s">
        <v>312</v>
      </c>
      <c r="C18" s="193">
        <f>P128</f>
        <v>1</v>
      </c>
      <c r="D18" s="193">
        <f>Q128</f>
        <v>1</v>
      </c>
      <c r="E18" s="193">
        <f>R128</f>
        <v>1</v>
      </c>
    </row>
    <row r="19" spans="1:9" x14ac:dyDescent="0.35">
      <c r="B19" s="202" t="s">
        <v>100</v>
      </c>
      <c r="C19" s="193">
        <f>SUM(BH89,AV127)</f>
        <v>2</v>
      </c>
      <c r="D19" s="193">
        <f>SUM(BH89:BI89,AV127:AW127)</f>
        <v>3</v>
      </c>
      <c r="E19" s="193">
        <f>SUM(BH89:BJ89,AV127:AX127)</f>
        <v>4</v>
      </c>
    </row>
    <row r="20" spans="1:9" x14ac:dyDescent="0.35">
      <c r="B20" s="10"/>
      <c r="C20" s="193"/>
      <c r="D20" s="193"/>
      <c r="E20" s="193"/>
    </row>
    <row r="21" spans="1:9" ht="21" x14ac:dyDescent="0.5">
      <c r="A21" s="190" t="s">
        <v>69</v>
      </c>
      <c r="B21" s="10"/>
      <c r="C21" s="1"/>
      <c r="D21" s="1"/>
      <c r="E21" s="1"/>
    </row>
    <row r="22" spans="1:9" x14ac:dyDescent="0.35">
      <c r="B22" s="10"/>
      <c r="C22" s="1"/>
      <c r="D22" s="1"/>
      <c r="E22" s="1"/>
    </row>
    <row r="23" spans="1:9" x14ac:dyDescent="0.35">
      <c r="A23" s="8" t="s">
        <v>277</v>
      </c>
      <c r="B23" s="10"/>
      <c r="C23" s="39" t="s">
        <v>45</v>
      </c>
      <c r="D23" s="39" t="s">
        <v>46</v>
      </c>
      <c r="E23" s="39" t="s">
        <v>47</v>
      </c>
    </row>
    <row r="24" spans="1:9" x14ac:dyDescent="0.35">
      <c r="B24" s="202" t="s">
        <v>73</v>
      </c>
      <c r="C24" s="59">
        <f>AH87</f>
        <v>7050</v>
      </c>
      <c r="D24" s="59">
        <f>AO87</f>
        <v>7191</v>
      </c>
      <c r="E24" s="59">
        <f>AV87</f>
        <v>9779.76</v>
      </c>
      <c r="G24" s="59">
        <v>7050</v>
      </c>
      <c r="H24" s="59">
        <v>7191</v>
      </c>
      <c r="I24" s="59">
        <v>9779.76</v>
      </c>
    </row>
    <row r="25" spans="1:9" x14ac:dyDescent="0.35">
      <c r="B25" s="202" t="s">
        <v>76</v>
      </c>
      <c r="C25" s="59">
        <f>SUM(Z124:AA124)</f>
        <v>49000</v>
      </c>
      <c r="D25" s="59">
        <f>SUM(AG124:AH124)</f>
        <v>10000</v>
      </c>
      <c r="E25" s="59">
        <f>SUM(AN124:AO124)</f>
        <v>15000</v>
      </c>
      <c r="G25" s="59">
        <v>49000</v>
      </c>
      <c r="H25" s="59">
        <v>10000</v>
      </c>
      <c r="I25" s="59">
        <v>15000</v>
      </c>
    </row>
    <row r="26" spans="1:9" x14ac:dyDescent="0.35">
      <c r="B26" s="202" t="s">
        <v>100</v>
      </c>
      <c r="C26" s="59">
        <f>AI87+AB124</f>
        <v>10000</v>
      </c>
      <c r="D26" s="59">
        <f>AP87+AI124</f>
        <v>5000</v>
      </c>
      <c r="E26" s="59">
        <f>AW87+AP124</f>
        <v>5000</v>
      </c>
      <c r="G26" s="59">
        <v>10000</v>
      </c>
      <c r="H26" s="59">
        <v>5000</v>
      </c>
      <c r="I26" s="59">
        <v>5000</v>
      </c>
    </row>
    <row r="27" spans="1:9" x14ac:dyDescent="0.35">
      <c r="B27" s="18" t="s">
        <v>281</v>
      </c>
      <c r="C27" s="196">
        <f>SUM(C24:C26)</f>
        <v>66050</v>
      </c>
      <c r="D27" s="196">
        <f t="shared" ref="D27:E27" si="0">SUM(D24:D26)</f>
        <v>22191</v>
      </c>
      <c r="E27" s="196">
        <f t="shared" si="0"/>
        <v>29779.760000000002</v>
      </c>
      <c r="G27" s="59">
        <v>1991035.1590501671</v>
      </c>
      <c r="H27" s="59">
        <v>3167800.6892095162</v>
      </c>
      <c r="I27" s="59">
        <v>5556739.3135750787</v>
      </c>
    </row>
    <row r="28" spans="1:9" x14ac:dyDescent="0.35">
      <c r="A28" s="8" t="s">
        <v>278</v>
      </c>
      <c r="B28" s="10"/>
      <c r="C28" s="1"/>
      <c r="D28" s="1"/>
      <c r="E28" s="1"/>
      <c r="G28" s="59">
        <v>953.44475</v>
      </c>
      <c r="H28" s="59">
        <v>1544.4913750000001</v>
      </c>
      <c r="I28" s="59">
        <v>2326.9371249999999</v>
      </c>
    </row>
    <row r="29" spans="1:9" x14ac:dyDescent="0.35">
      <c r="A29" s="8"/>
      <c r="B29" s="202" t="s">
        <v>216</v>
      </c>
      <c r="C29" s="59">
        <f>C162</f>
        <v>953.44475</v>
      </c>
      <c r="D29" s="59">
        <f>D162</f>
        <v>1544.4913750000001</v>
      </c>
      <c r="E29" s="59">
        <f>E162</f>
        <v>2326.9371249999999</v>
      </c>
      <c r="G29" s="59">
        <v>79370</v>
      </c>
      <c r="H29" s="59">
        <v>81751.100000000006</v>
      </c>
      <c r="I29" s="59">
        <v>84203.633000000002</v>
      </c>
    </row>
    <row r="30" spans="1:9" x14ac:dyDescent="0.35">
      <c r="B30" s="202" t="s">
        <v>101</v>
      </c>
      <c r="C30" s="59">
        <f>C173</f>
        <v>79370</v>
      </c>
      <c r="D30" s="59">
        <f>D173</f>
        <v>81751.100000000006</v>
      </c>
      <c r="E30" s="59">
        <f>E173</f>
        <v>84203.633000000002</v>
      </c>
      <c r="G30" s="59">
        <v>863013.41600385273</v>
      </c>
      <c r="H30" s="59">
        <v>249699.91758240582</v>
      </c>
      <c r="I30" s="59">
        <v>259718.80385166951</v>
      </c>
    </row>
    <row r="31" spans="1:9" x14ac:dyDescent="0.35">
      <c r="B31" t="s">
        <v>428</v>
      </c>
      <c r="C31" s="59">
        <f>C155</f>
        <v>863013.41600385273</v>
      </c>
      <c r="D31" s="59">
        <f>D155</f>
        <v>249699.91758240582</v>
      </c>
      <c r="E31" s="59">
        <f>E155</f>
        <v>259718.80385166951</v>
      </c>
      <c r="G31" s="59">
        <v>1047698.2982963142</v>
      </c>
      <c r="H31" s="59">
        <v>2834805.1802521106</v>
      </c>
      <c r="I31" s="59">
        <v>5210489.9395984095</v>
      </c>
    </row>
    <row r="32" spans="1:9" x14ac:dyDescent="0.35">
      <c r="B32" t="s">
        <v>310</v>
      </c>
      <c r="C32" s="59">
        <f>SUM(C163:C165)</f>
        <v>34931.682327749833</v>
      </c>
      <c r="D32" s="59">
        <f>SUM(D163:D165)</f>
        <v>65657.857416332292</v>
      </c>
      <c r="E32" s="59">
        <f>SUM(E163:E165)</f>
        <v>95334.311460763856</v>
      </c>
    </row>
    <row r="33" spans="1:91" x14ac:dyDescent="0.35">
      <c r="B33" s="8" t="s">
        <v>280</v>
      </c>
      <c r="C33" s="196">
        <f>SUM(C29:C32)</f>
        <v>978268.54308160255</v>
      </c>
      <c r="D33" s="196">
        <f>SUM(D29:D32)</f>
        <v>398653.3663737381</v>
      </c>
      <c r="E33" s="196">
        <f>SUM(E29:E32)</f>
        <v>441583.68543743336</v>
      </c>
    </row>
    <row r="34" spans="1:91" x14ac:dyDescent="0.35">
      <c r="A34" s="208" t="s">
        <v>279</v>
      </c>
      <c r="B34" s="213">
        <f>SUM(C34:E34)</f>
        <v>1936526.354892774</v>
      </c>
      <c r="C34" s="207">
        <f>SUM(C27,C33)</f>
        <v>1044318.5430816025</v>
      </c>
      <c r="D34" s="207">
        <f>SUM(D27,D33)</f>
        <v>420844.3663737381</v>
      </c>
      <c r="E34" s="207">
        <f>SUM(E27,E33)</f>
        <v>471363.44543743337</v>
      </c>
    </row>
    <row r="35" spans="1:91" x14ac:dyDescent="0.35">
      <c r="C35" s="1"/>
    </row>
    <row r="36" spans="1:91" x14ac:dyDescent="0.3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</row>
    <row r="37" spans="1:91" x14ac:dyDescent="0.35">
      <c r="C37" s="1"/>
    </row>
    <row r="38" spans="1:91" ht="21" x14ac:dyDescent="0.5">
      <c r="A38" s="54" t="s">
        <v>73</v>
      </c>
      <c r="C38" s="1"/>
    </row>
    <row r="39" spans="1:91" x14ac:dyDescent="0.35">
      <c r="C39" s="1"/>
    </row>
    <row r="40" spans="1:91" ht="18.5" x14ac:dyDescent="0.45">
      <c r="A40" s="34" t="s">
        <v>301</v>
      </c>
    </row>
    <row r="42" spans="1:91" ht="34" customHeight="1" thickBot="1" x14ac:dyDescent="0.5">
      <c r="A42" s="582" t="s">
        <v>385</v>
      </c>
      <c r="B42" s="582"/>
      <c r="C42" s="582"/>
      <c r="D42" s="582"/>
      <c r="E42" s="582"/>
      <c r="G42" s="34" t="s">
        <v>214</v>
      </c>
      <c r="AG42" s="34" t="s">
        <v>215</v>
      </c>
    </row>
    <row r="43" spans="1:91" ht="51" customHeight="1" thickBot="1" x14ac:dyDescent="0.4">
      <c r="A43" s="29" t="s">
        <v>62</v>
      </c>
      <c r="B43" s="71" t="s">
        <v>151</v>
      </c>
      <c r="C43" s="72" t="s">
        <v>45</v>
      </c>
      <c r="D43" s="72" t="s">
        <v>46</v>
      </c>
      <c r="E43" s="73" t="s">
        <v>47</v>
      </c>
      <c r="G43" s="402" t="s">
        <v>45</v>
      </c>
      <c r="H43" s="178"/>
      <c r="I43" s="178"/>
      <c r="J43" s="178"/>
      <c r="K43" s="178"/>
      <c r="L43" s="178"/>
      <c r="M43" s="179"/>
      <c r="N43" s="8"/>
      <c r="O43" s="402" t="s">
        <v>46</v>
      </c>
      <c r="P43" s="178"/>
      <c r="Q43" s="178"/>
      <c r="R43" s="178"/>
      <c r="S43" s="178"/>
      <c r="T43" s="178"/>
      <c r="U43" s="178"/>
      <c r="V43" s="179"/>
      <c r="W43" s="8"/>
      <c r="X43" s="66" t="s">
        <v>47</v>
      </c>
      <c r="Y43" s="67"/>
      <c r="Z43" s="67"/>
      <c r="AA43" s="67"/>
      <c r="AB43" s="67"/>
      <c r="AC43" s="67"/>
      <c r="AD43" s="67"/>
      <c r="AE43" s="68"/>
      <c r="AF43" s="8"/>
      <c r="AG43" s="66" t="s">
        <v>45</v>
      </c>
      <c r="AH43" s="67"/>
      <c r="AI43" s="67"/>
      <c r="AJ43" s="67"/>
      <c r="AK43" s="67"/>
      <c r="AL43" s="68"/>
      <c r="AN43" s="66" t="s">
        <v>46</v>
      </c>
      <c r="AO43" s="67"/>
      <c r="AP43" s="67"/>
      <c r="AQ43" s="67"/>
      <c r="AR43" s="67"/>
      <c r="AS43" s="68"/>
      <c r="AU43" s="66" t="s">
        <v>47</v>
      </c>
      <c r="AV43" s="67"/>
      <c r="AW43" s="67"/>
      <c r="AX43" s="67"/>
      <c r="AY43" s="67"/>
      <c r="AZ43" s="68"/>
      <c r="BB43" s="105" t="s">
        <v>202</v>
      </c>
      <c r="BC43" s="105" t="s">
        <v>201</v>
      </c>
      <c r="BD43" s="13" t="s">
        <v>200</v>
      </c>
      <c r="BE43" s="105" t="s">
        <v>199</v>
      </c>
      <c r="BG43" s="71" t="s">
        <v>69</v>
      </c>
      <c r="BH43" s="72"/>
      <c r="BI43" s="72"/>
      <c r="BJ43" s="72"/>
      <c r="BK43" s="73"/>
    </row>
    <row r="44" spans="1:91" ht="35" customHeight="1" thickBot="1" x14ac:dyDescent="0.4">
      <c r="A44" s="26"/>
      <c r="B44" s="216" t="s">
        <v>43</v>
      </c>
      <c r="C44" s="391">
        <v>0</v>
      </c>
      <c r="D44" s="391">
        <v>0</v>
      </c>
      <c r="E44" s="392">
        <v>0</v>
      </c>
      <c r="G44" s="123" t="s">
        <v>48</v>
      </c>
      <c r="H44" s="400" t="s">
        <v>134</v>
      </c>
      <c r="I44" s="110" t="s">
        <v>42</v>
      </c>
      <c r="J44" s="110" t="s">
        <v>29</v>
      </c>
      <c r="K44" s="114" t="s">
        <v>71</v>
      </c>
      <c r="L44" s="110" t="s">
        <v>51</v>
      </c>
      <c r="M44" s="401" t="s">
        <v>222</v>
      </c>
      <c r="N44" s="198"/>
      <c r="O44" s="123" t="s">
        <v>48</v>
      </c>
      <c r="P44" s="400" t="s">
        <v>134</v>
      </c>
      <c r="Q44" s="110" t="s">
        <v>42</v>
      </c>
      <c r="R44" s="110" t="s">
        <v>29</v>
      </c>
      <c r="S44" s="114" t="s">
        <v>95</v>
      </c>
      <c r="T44" s="114" t="s">
        <v>65</v>
      </c>
      <c r="U44" s="114" t="s">
        <v>67</v>
      </c>
      <c r="V44" s="401" t="s">
        <v>222</v>
      </c>
      <c r="W44" s="198"/>
      <c r="X44" s="123" t="s">
        <v>48</v>
      </c>
      <c r="Y44" s="400" t="s">
        <v>134</v>
      </c>
      <c r="Z44" s="110" t="s">
        <v>42</v>
      </c>
      <c r="AA44" s="110" t="s">
        <v>29</v>
      </c>
      <c r="AB44" s="114" t="s">
        <v>95</v>
      </c>
      <c r="AC44" s="114" t="s">
        <v>65</v>
      </c>
      <c r="AD44" s="114" t="s">
        <v>67</v>
      </c>
      <c r="AE44" s="401" t="s">
        <v>222</v>
      </c>
      <c r="AF44" s="198"/>
      <c r="AG44" s="268" t="s">
        <v>48</v>
      </c>
      <c r="AH44" s="201" t="s">
        <v>50</v>
      </c>
      <c r="AI44" s="265" t="s">
        <v>52</v>
      </c>
      <c r="AJ44" s="267" t="s">
        <v>223</v>
      </c>
      <c r="AK44" s="267" t="s">
        <v>54</v>
      </c>
      <c r="AL44" s="266" t="s">
        <v>88</v>
      </c>
      <c r="AN44" s="268" t="s">
        <v>48</v>
      </c>
      <c r="AO44" s="267" t="s">
        <v>66</v>
      </c>
      <c r="AP44" s="267" t="s">
        <v>68</v>
      </c>
      <c r="AQ44" s="267" t="s">
        <v>223</v>
      </c>
      <c r="AR44" s="267" t="s">
        <v>54</v>
      </c>
      <c r="AS44" s="266" t="s">
        <v>88</v>
      </c>
      <c r="AU44" s="268" t="s">
        <v>48</v>
      </c>
      <c r="AV44" s="267" t="s">
        <v>66</v>
      </c>
      <c r="AW44" s="267" t="s">
        <v>68</v>
      </c>
      <c r="AX44" s="267" t="s">
        <v>223</v>
      </c>
      <c r="AY44" s="267" t="s">
        <v>54</v>
      </c>
      <c r="AZ44" s="266" t="s">
        <v>88</v>
      </c>
      <c r="BB44" s="122">
        <f>SUM(AB45)</f>
        <v>0</v>
      </c>
      <c r="BC44" s="122">
        <f>SUM(AD45,U45,L45)</f>
        <v>0</v>
      </c>
      <c r="BD44" s="122">
        <f>SUM(AE45,V45,M45)</f>
        <v>0</v>
      </c>
      <c r="BE44" s="166">
        <f>SUM(AL45,AS45,AZ45)</f>
        <v>0</v>
      </c>
      <c r="BG44" s="64"/>
      <c r="BH44" s="200" t="s">
        <v>45</v>
      </c>
      <c r="BI44" s="200" t="s">
        <v>46</v>
      </c>
      <c r="BJ44" s="200" t="s">
        <v>47</v>
      </c>
      <c r="BK44" s="197" t="s">
        <v>70</v>
      </c>
    </row>
    <row r="45" spans="1:91" ht="16" thickBot="1" x14ac:dyDescent="0.4">
      <c r="A45" s="26"/>
      <c r="B45" s="426" t="s">
        <v>134</v>
      </c>
      <c r="C45" s="21">
        <v>0</v>
      </c>
      <c r="D45" s="21">
        <v>0</v>
      </c>
      <c r="E45" s="88">
        <v>0</v>
      </c>
      <c r="G45" s="173" t="s">
        <v>285</v>
      </c>
      <c r="H45" s="49">
        <v>0</v>
      </c>
      <c r="I45" s="170">
        <f>ROUNDUP($C44/nas_disk,0)</f>
        <v>0</v>
      </c>
      <c r="J45" s="170">
        <f>ROUNDUP($C46/nas_bw,0)</f>
        <v>0</v>
      </c>
      <c r="K45" s="170">
        <f>MAX(I45:J45)</f>
        <v>0</v>
      </c>
      <c r="L45" s="170">
        <f>ROUNDUP(K45/nas_spr,0)</f>
        <v>0</v>
      </c>
      <c r="M45" s="214">
        <f>ROUND(K45*nas_pwr*24*365,0)</f>
        <v>0</v>
      </c>
      <c r="O45" s="173" t="s">
        <v>285</v>
      </c>
      <c r="P45" s="49">
        <v>0</v>
      </c>
      <c r="Q45" s="170">
        <f>ROUNDUP($D44/nas_disk,0)</f>
        <v>0</v>
      </c>
      <c r="R45" s="170">
        <f>ROUNDUP($D46/nas_bw,0)</f>
        <v>0</v>
      </c>
      <c r="S45" s="170">
        <f>MAX(Q45:R45)</f>
        <v>0</v>
      </c>
      <c r="T45" s="45">
        <f>S45-K45</f>
        <v>0</v>
      </c>
      <c r="U45" s="45">
        <f>ROUNDUP(T45/nas_spr,0)</f>
        <v>0</v>
      </c>
      <c r="V45" s="214">
        <f>ROUND(S45*nas_pwr*24*365,0)</f>
        <v>0</v>
      </c>
      <c r="X45" s="173" t="s">
        <v>285</v>
      </c>
      <c r="Y45" s="49">
        <v>0</v>
      </c>
      <c r="Z45" s="170">
        <f>ROUNDUP($E44/nas_disk,0)</f>
        <v>0</v>
      </c>
      <c r="AA45" s="170">
        <f>ROUNDUP($E46/nas_bw,0)</f>
        <v>0</v>
      </c>
      <c r="AB45" s="170">
        <f>MAX(Z45:AA45)</f>
        <v>0</v>
      </c>
      <c r="AC45" s="45">
        <f>AB45-S45</f>
        <v>0</v>
      </c>
      <c r="AD45" s="45">
        <f>ROUNDUP(AC45/nas_spr,0)</f>
        <v>0</v>
      </c>
      <c r="AE45" s="214">
        <f>ROUND(AB45*nas_pwr*24*365,0)</f>
        <v>0</v>
      </c>
      <c r="AG45" s="65" t="s">
        <v>285</v>
      </c>
      <c r="AH45" s="50">
        <f>K45*nas_cost</f>
        <v>0</v>
      </c>
      <c r="AI45" s="50">
        <f>L45*rack_cost</f>
        <v>0</v>
      </c>
      <c r="AJ45" s="50">
        <f>ROUND(M45*s_pwr,0)</f>
        <v>0</v>
      </c>
      <c r="AK45" s="50">
        <v>0</v>
      </c>
      <c r="AL45" s="212">
        <f>SUM(AH45,AI45,AJ45)</f>
        <v>0</v>
      </c>
      <c r="AN45" s="65" t="s">
        <v>285</v>
      </c>
      <c r="AO45" s="50">
        <f>T45*nas_cost</f>
        <v>0</v>
      </c>
      <c r="AP45" s="50">
        <f>U45*rack_cost</f>
        <v>0</v>
      </c>
      <c r="AQ45" s="50">
        <f>ROUND(V45*s_pwr,0)</f>
        <v>0</v>
      </c>
      <c r="AR45" s="50">
        <f>AH45*hw_supt</f>
        <v>0</v>
      </c>
      <c r="AS45" s="212">
        <f>SUM(AO45,AP45,AQ45,AR45)</f>
        <v>0</v>
      </c>
      <c r="AU45" s="65" t="s">
        <v>285</v>
      </c>
      <c r="AV45" s="50">
        <f>AC45*nas_cost</f>
        <v>0</v>
      </c>
      <c r="AW45" s="50">
        <f>AD45*rack_cost</f>
        <v>0</v>
      </c>
      <c r="AX45" s="50">
        <f>ROUND(AE45*s_pwr,0)</f>
        <v>0</v>
      </c>
      <c r="AY45" s="50">
        <f>(AH45+AO45)*hw_supt</f>
        <v>0</v>
      </c>
      <c r="AZ45" s="212">
        <f>SUM(AV45,AW45,AX45,AY45)</f>
        <v>0</v>
      </c>
      <c r="BG45" s="173" t="s">
        <v>82</v>
      </c>
      <c r="BH45" s="177">
        <f>AL45</f>
        <v>0</v>
      </c>
      <c r="BI45" s="177">
        <f>AS45</f>
        <v>0</v>
      </c>
      <c r="BJ45" s="177">
        <f>AZ45</f>
        <v>0</v>
      </c>
      <c r="BK45" s="180">
        <f>SUM(BH45:BJ45)</f>
        <v>0</v>
      </c>
    </row>
    <row r="46" spans="1:91" ht="16" thickBot="1" x14ac:dyDescent="0.4">
      <c r="A46" s="27"/>
      <c r="B46" s="169" t="s">
        <v>44</v>
      </c>
      <c r="C46" s="427">
        <v>0</v>
      </c>
      <c r="D46" s="427">
        <v>0</v>
      </c>
      <c r="E46" s="428">
        <v>0</v>
      </c>
      <c r="BG46" s="64" t="s">
        <v>217</v>
      </c>
      <c r="BH46" s="181">
        <f>K45</f>
        <v>0</v>
      </c>
      <c r="BI46" s="181">
        <f>T45</f>
        <v>0</v>
      </c>
      <c r="BJ46" s="181">
        <f>AC45</f>
        <v>0</v>
      </c>
      <c r="BK46" s="145">
        <f>SUM(BH46:BJ46)</f>
        <v>0</v>
      </c>
    </row>
    <row r="47" spans="1:91" x14ac:dyDescent="0.35">
      <c r="BG47" s="160" t="s">
        <v>218</v>
      </c>
      <c r="BH47" s="4">
        <f>L45</f>
        <v>0</v>
      </c>
      <c r="BI47" s="4">
        <f>U45</f>
        <v>0</v>
      </c>
      <c r="BJ47" s="4">
        <f>AD45</f>
        <v>0</v>
      </c>
      <c r="BK47" s="121">
        <f t="shared" ref="BK47:BK48" si="1">SUM(BH47:BJ47)</f>
        <v>0</v>
      </c>
    </row>
    <row r="48" spans="1:91" ht="16" thickBot="1" x14ac:dyDescent="0.4">
      <c r="BG48" s="65" t="s">
        <v>216</v>
      </c>
      <c r="BH48" s="45">
        <f>M45</f>
        <v>0</v>
      </c>
      <c r="BI48" s="45">
        <f>V45</f>
        <v>0</v>
      </c>
      <c r="BJ48" s="45">
        <f>AE45</f>
        <v>0</v>
      </c>
      <c r="BK48" s="122">
        <f t="shared" si="1"/>
        <v>0</v>
      </c>
    </row>
    <row r="49" spans="1:63" x14ac:dyDescent="0.35">
      <c r="BH49" s="19"/>
    </row>
    <row r="50" spans="1:63" ht="18.5" x14ac:dyDescent="0.45">
      <c r="A50" s="34" t="s">
        <v>283</v>
      </c>
    </row>
    <row r="52" spans="1:63" ht="34" customHeight="1" thickBot="1" x14ac:dyDescent="0.4">
      <c r="A52" s="580" t="s">
        <v>386</v>
      </c>
      <c r="B52" s="580"/>
      <c r="C52" s="580"/>
      <c r="D52" s="580"/>
      <c r="E52" s="580"/>
    </row>
    <row r="53" spans="1:63" ht="51" customHeight="1" thickBot="1" x14ac:dyDescent="0.4">
      <c r="A53" s="29" t="s">
        <v>56</v>
      </c>
      <c r="B53" s="71" t="s">
        <v>151</v>
      </c>
      <c r="C53" s="72" t="s">
        <v>45</v>
      </c>
      <c r="D53" s="72" t="s">
        <v>46</v>
      </c>
      <c r="E53" s="73" t="s">
        <v>47</v>
      </c>
      <c r="G53" s="402" t="s">
        <v>45</v>
      </c>
      <c r="H53" s="178"/>
      <c r="I53" s="178"/>
      <c r="J53" s="178"/>
      <c r="K53" s="178"/>
      <c r="L53" s="178"/>
      <c r="M53" s="179"/>
      <c r="N53" s="8"/>
      <c r="O53" s="402" t="s">
        <v>46</v>
      </c>
      <c r="P53" s="178"/>
      <c r="Q53" s="178"/>
      <c r="R53" s="178"/>
      <c r="S53" s="178"/>
      <c r="T53" s="178"/>
      <c r="U53" s="178"/>
      <c r="V53" s="179"/>
      <c r="W53" s="8"/>
      <c r="X53" s="66" t="s">
        <v>47</v>
      </c>
      <c r="Y53" s="67"/>
      <c r="Z53" s="67"/>
      <c r="AA53" s="67"/>
      <c r="AB53" s="67"/>
      <c r="AC53" s="67"/>
      <c r="AD53" s="67"/>
      <c r="AE53" s="68"/>
      <c r="AF53" s="8"/>
      <c r="AG53" s="66" t="s">
        <v>45</v>
      </c>
      <c r="AH53" s="67"/>
      <c r="AI53" s="67"/>
      <c r="AJ53" s="67"/>
      <c r="AK53" s="67"/>
      <c r="AL53" s="68"/>
      <c r="AN53" s="66" t="s">
        <v>46</v>
      </c>
      <c r="AO53" s="67"/>
      <c r="AP53" s="67"/>
      <c r="AQ53" s="67"/>
      <c r="AR53" s="67"/>
      <c r="AS53" s="68"/>
      <c r="AU53" s="66" t="s">
        <v>47</v>
      </c>
      <c r="AV53" s="67"/>
      <c r="AW53" s="67"/>
      <c r="AX53" s="67"/>
      <c r="AY53" s="67"/>
      <c r="AZ53" s="68"/>
      <c r="BB53" s="105" t="s">
        <v>202</v>
      </c>
      <c r="BC53" s="105" t="s">
        <v>201</v>
      </c>
      <c r="BD53" s="13" t="s">
        <v>200</v>
      </c>
      <c r="BE53" s="105" t="s">
        <v>199</v>
      </c>
      <c r="BG53" s="71" t="s">
        <v>69</v>
      </c>
      <c r="BH53" s="72"/>
      <c r="BI53" s="72"/>
      <c r="BJ53" s="72"/>
      <c r="BK53" s="73"/>
    </row>
    <row r="54" spans="1:63" ht="35" customHeight="1" thickBot="1" x14ac:dyDescent="0.4">
      <c r="A54" s="26"/>
      <c r="B54" s="426" t="s">
        <v>43</v>
      </c>
      <c r="C54" s="391">
        <v>0</v>
      </c>
      <c r="D54" s="391">
        <v>0</v>
      </c>
      <c r="E54" s="392">
        <v>0</v>
      </c>
      <c r="G54" s="123" t="s">
        <v>48</v>
      </c>
      <c r="H54" s="400" t="s">
        <v>134</v>
      </c>
      <c r="I54" s="110" t="s">
        <v>42</v>
      </c>
      <c r="J54" s="110" t="s">
        <v>29</v>
      </c>
      <c r="K54" s="114" t="s">
        <v>71</v>
      </c>
      <c r="L54" s="110" t="s">
        <v>51</v>
      </c>
      <c r="M54" s="401" t="s">
        <v>222</v>
      </c>
      <c r="N54" s="198"/>
      <c r="O54" s="123" t="s">
        <v>48</v>
      </c>
      <c r="P54" s="400" t="s">
        <v>134</v>
      </c>
      <c r="Q54" s="110" t="s">
        <v>42</v>
      </c>
      <c r="R54" s="110" t="s">
        <v>29</v>
      </c>
      <c r="S54" s="114" t="s">
        <v>95</v>
      </c>
      <c r="T54" s="114" t="s">
        <v>65</v>
      </c>
      <c r="U54" s="114" t="s">
        <v>67</v>
      </c>
      <c r="V54" s="401" t="s">
        <v>222</v>
      </c>
      <c r="W54" s="198"/>
      <c r="X54" s="123" t="s">
        <v>48</v>
      </c>
      <c r="Y54" s="400" t="s">
        <v>134</v>
      </c>
      <c r="Z54" s="110" t="s">
        <v>42</v>
      </c>
      <c r="AA54" s="110" t="s">
        <v>29</v>
      </c>
      <c r="AB54" s="114" t="s">
        <v>95</v>
      </c>
      <c r="AC54" s="114" t="s">
        <v>65</v>
      </c>
      <c r="AD54" s="114" t="s">
        <v>67</v>
      </c>
      <c r="AE54" s="401" t="s">
        <v>222</v>
      </c>
      <c r="AF54" s="198"/>
      <c r="AG54" s="268" t="s">
        <v>48</v>
      </c>
      <c r="AH54" s="201" t="s">
        <v>50</v>
      </c>
      <c r="AI54" s="265" t="s">
        <v>52</v>
      </c>
      <c r="AJ54" s="267" t="s">
        <v>223</v>
      </c>
      <c r="AK54" s="267" t="s">
        <v>54</v>
      </c>
      <c r="AL54" s="266" t="s">
        <v>88</v>
      </c>
      <c r="AN54" s="268" t="s">
        <v>48</v>
      </c>
      <c r="AO54" s="267" t="s">
        <v>66</v>
      </c>
      <c r="AP54" s="267" t="s">
        <v>68</v>
      </c>
      <c r="AQ54" s="267" t="s">
        <v>223</v>
      </c>
      <c r="AR54" s="267" t="s">
        <v>54</v>
      </c>
      <c r="AS54" s="266" t="s">
        <v>88</v>
      </c>
      <c r="AU54" s="268" t="s">
        <v>48</v>
      </c>
      <c r="AV54" s="267" t="s">
        <v>66</v>
      </c>
      <c r="AW54" s="267" t="s">
        <v>68</v>
      </c>
      <c r="AX54" s="267" t="s">
        <v>223</v>
      </c>
      <c r="AY54" s="267" t="s">
        <v>54</v>
      </c>
      <c r="AZ54" s="266" t="s">
        <v>88</v>
      </c>
      <c r="BB54" s="122">
        <f>SUM(AB55)</f>
        <v>0</v>
      </c>
      <c r="BC54" s="122">
        <f>SUM(AD55,U55,L55)</f>
        <v>0</v>
      </c>
      <c r="BD54" s="122">
        <f>SUM(AE55,V55,M55)</f>
        <v>0</v>
      </c>
      <c r="BE54" s="166">
        <f>SUM(AL55,AS55,AZ55)</f>
        <v>0</v>
      </c>
      <c r="BG54" s="64"/>
      <c r="BH54" s="200" t="s">
        <v>45</v>
      </c>
      <c r="BI54" s="200" t="s">
        <v>46</v>
      </c>
      <c r="BJ54" s="200" t="s">
        <v>47</v>
      </c>
      <c r="BK54" s="197" t="s">
        <v>70</v>
      </c>
    </row>
    <row r="55" spans="1:63" ht="16" thickBot="1" x14ac:dyDescent="0.4">
      <c r="A55" s="26"/>
      <c r="B55" s="426" t="s">
        <v>134</v>
      </c>
      <c r="C55" s="432">
        <v>0</v>
      </c>
      <c r="D55" s="432">
        <v>0</v>
      </c>
      <c r="E55" s="433">
        <v>0</v>
      </c>
      <c r="G55" s="173" t="s">
        <v>285</v>
      </c>
      <c r="H55" s="49">
        <v>0</v>
      </c>
      <c r="I55" s="170">
        <f>ROUNDUP($C54/nas_disk,0)</f>
        <v>0</v>
      </c>
      <c r="J55" s="170">
        <f>ROUNDUP($C56/nas_bw,0)</f>
        <v>0</v>
      </c>
      <c r="K55" s="170">
        <f>MAX(I55:J55)</f>
        <v>0</v>
      </c>
      <c r="L55" s="170">
        <f>ROUNDUP(K55/nas_spr,0)</f>
        <v>0</v>
      </c>
      <c r="M55" s="214">
        <f>ROUND(K55*nas_pwr*24*365,0)</f>
        <v>0</v>
      </c>
      <c r="O55" s="173" t="s">
        <v>285</v>
      </c>
      <c r="P55" s="49">
        <v>0</v>
      </c>
      <c r="Q55" s="170">
        <f>ROUNDUP($D54/nas_disk,0)</f>
        <v>0</v>
      </c>
      <c r="R55" s="170">
        <f>ROUNDUP($D56/nas_bw,0)</f>
        <v>0</v>
      </c>
      <c r="S55" s="170">
        <f>MAX(Q55:R55)</f>
        <v>0</v>
      </c>
      <c r="T55" s="45">
        <f>S55-K55</f>
        <v>0</v>
      </c>
      <c r="U55" s="45">
        <f>ROUNDUP(T55/nas_spr,0)</f>
        <v>0</v>
      </c>
      <c r="V55" s="214">
        <f>ROUND(S55*nas_pwr*24*365,0)</f>
        <v>0</v>
      </c>
      <c r="X55" s="173" t="s">
        <v>285</v>
      </c>
      <c r="Y55" s="49">
        <v>0</v>
      </c>
      <c r="Z55" s="170">
        <f>ROUNDUP($E54/nas_disk,0)</f>
        <v>0</v>
      </c>
      <c r="AA55" s="170">
        <f>ROUNDUP($E56/nas_bw,0)</f>
        <v>0</v>
      </c>
      <c r="AB55" s="170">
        <f>MAX(Z55:AA55)</f>
        <v>0</v>
      </c>
      <c r="AC55" s="45">
        <f>AB55-S55</f>
        <v>0</v>
      </c>
      <c r="AD55" s="45">
        <f>ROUNDUP(AC55/nas_spr,0)</f>
        <v>0</v>
      </c>
      <c r="AE55" s="214">
        <f>ROUND(AB55*nas_pwr*24*365,0)</f>
        <v>0</v>
      </c>
      <c r="AG55" s="65" t="s">
        <v>285</v>
      </c>
      <c r="AH55" s="50">
        <f>K55*nas_cost</f>
        <v>0</v>
      </c>
      <c r="AI55" s="50">
        <f>L55*rack_cost</f>
        <v>0</v>
      </c>
      <c r="AJ55" s="50">
        <f>ROUND(M55*s_pwr,0)</f>
        <v>0</v>
      </c>
      <c r="AK55" s="50">
        <v>0</v>
      </c>
      <c r="AL55" s="212">
        <f>SUM(AH55,AI55,AJ55)</f>
        <v>0</v>
      </c>
      <c r="AN55" s="65" t="s">
        <v>285</v>
      </c>
      <c r="AO55" s="28">
        <f>T55*nas_cost</f>
        <v>0</v>
      </c>
      <c r="AP55" s="28">
        <f>U55*rack_cost</f>
        <v>0</v>
      </c>
      <c r="AQ55" s="28">
        <f>ROUND(V55*s_pwr,0)</f>
        <v>0</v>
      </c>
      <c r="AR55" s="28">
        <f>AH55*hw_supt</f>
        <v>0</v>
      </c>
      <c r="AS55" s="212">
        <f>SUM(AO55,AP55,AQ55,AR55)</f>
        <v>0</v>
      </c>
      <c r="AU55" s="65" t="s">
        <v>285</v>
      </c>
      <c r="AV55" s="28">
        <f>AC55*nas_cost</f>
        <v>0</v>
      </c>
      <c r="AW55" s="28">
        <f>AD55*rack_cost</f>
        <v>0</v>
      </c>
      <c r="AX55" s="28">
        <f>ROUND(AE55*s_pwr,0)</f>
        <v>0</v>
      </c>
      <c r="AY55" s="28">
        <f>(AH55+AO55)*hw_supt</f>
        <v>0</v>
      </c>
      <c r="AZ55" s="212">
        <f>SUM(AV55,AW55,AX55,AY55)</f>
        <v>0</v>
      </c>
      <c r="BG55" s="173" t="s">
        <v>82</v>
      </c>
      <c r="BH55" s="177">
        <f>AL55</f>
        <v>0</v>
      </c>
      <c r="BI55" s="177">
        <f>AS55</f>
        <v>0</v>
      </c>
      <c r="BJ55" s="177">
        <f>AZ55</f>
        <v>0</v>
      </c>
      <c r="BK55" s="180">
        <f>SUM(BH55:BJ55)</f>
        <v>0</v>
      </c>
    </row>
    <row r="56" spans="1:63" ht="17" customHeight="1" thickBot="1" x14ac:dyDescent="0.4">
      <c r="A56" s="27"/>
      <c r="B56" s="169" t="s">
        <v>44</v>
      </c>
      <c r="C56" s="427">
        <v>0</v>
      </c>
      <c r="D56" s="427">
        <v>0</v>
      </c>
      <c r="E56" s="428">
        <v>0</v>
      </c>
      <c r="BG56" s="64" t="s">
        <v>217</v>
      </c>
      <c r="BH56" s="181">
        <f>K55</f>
        <v>0</v>
      </c>
      <c r="BI56" s="181">
        <f>T55</f>
        <v>0</v>
      </c>
      <c r="BJ56" s="181">
        <f>AC55</f>
        <v>0</v>
      </c>
      <c r="BK56" s="145">
        <f>SUM(BH56:BJ56)</f>
        <v>0</v>
      </c>
    </row>
    <row r="57" spans="1:63" x14ac:dyDescent="0.35">
      <c r="BG57" s="160" t="s">
        <v>218</v>
      </c>
      <c r="BH57" s="4">
        <f>L55</f>
        <v>0</v>
      </c>
      <c r="BI57" s="4">
        <f>U55</f>
        <v>0</v>
      </c>
      <c r="BJ57" s="4">
        <f>AD55</f>
        <v>0</v>
      </c>
      <c r="BK57" s="121">
        <f t="shared" ref="BK57:BK58" si="2">SUM(BH57:BJ57)</f>
        <v>0</v>
      </c>
    </row>
    <row r="58" spans="1:63" ht="16" thickBot="1" x14ac:dyDescent="0.4">
      <c r="BG58" s="65" t="s">
        <v>216</v>
      </c>
      <c r="BH58" s="45">
        <f>M55</f>
        <v>0</v>
      </c>
      <c r="BI58" s="45">
        <f>V55</f>
        <v>0</v>
      </c>
      <c r="BJ58" s="45">
        <f>AE55</f>
        <v>0</v>
      </c>
      <c r="BK58" s="122">
        <f t="shared" si="2"/>
        <v>0</v>
      </c>
    </row>
    <row r="60" spans="1:63" ht="18.5" x14ac:dyDescent="0.45">
      <c r="A60" s="34" t="s">
        <v>309</v>
      </c>
    </row>
    <row r="62" spans="1:63" ht="50" customHeight="1" thickBot="1" x14ac:dyDescent="0.4">
      <c r="A62" s="580" t="s">
        <v>387</v>
      </c>
      <c r="B62" s="580"/>
      <c r="C62" s="580"/>
      <c r="D62" s="580"/>
      <c r="E62" s="580"/>
    </row>
    <row r="63" spans="1:63" ht="51" customHeight="1" thickBot="1" x14ac:dyDescent="0.4">
      <c r="A63" s="29" t="s">
        <v>56</v>
      </c>
      <c r="B63" s="71" t="s">
        <v>151</v>
      </c>
      <c r="C63" s="72" t="s">
        <v>45</v>
      </c>
      <c r="D63" s="72" t="s">
        <v>46</v>
      </c>
      <c r="E63" s="73" t="s">
        <v>47</v>
      </c>
      <c r="G63" s="402" t="s">
        <v>45</v>
      </c>
      <c r="H63" s="178"/>
      <c r="I63" s="178"/>
      <c r="J63" s="178"/>
      <c r="K63" s="178"/>
      <c r="L63" s="178"/>
      <c r="M63" s="179"/>
      <c r="N63" s="8"/>
      <c r="O63" s="402" t="s">
        <v>46</v>
      </c>
      <c r="P63" s="178"/>
      <c r="Q63" s="178"/>
      <c r="R63" s="178"/>
      <c r="S63" s="178"/>
      <c r="T63" s="178"/>
      <c r="U63" s="178"/>
      <c r="V63" s="179"/>
      <c r="W63" s="8"/>
      <c r="X63" s="66" t="s">
        <v>47</v>
      </c>
      <c r="Y63" s="67"/>
      <c r="Z63" s="67"/>
      <c r="AA63" s="67"/>
      <c r="AB63" s="67"/>
      <c r="AC63" s="67"/>
      <c r="AD63" s="67"/>
      <c r="AE63" s="68"/>
      <c r="AF63" s="8"/>
      <c r="AG63" s="66" t="s">
        <v>45</v>
      </c>
      <c r="AH63" s="67"/>
      <c r="AI63" s="67"/>
      <c r="AJ63" s="67"/>
      <c r="AK63" s="67"/>
      <c r="AL63" s="68"/>
      <c r="AN63" s="66" t="s">
        <v>46</v>
      </c>
      <c r="AO63" s="67"/>
      <c r="AP63" s="67"/>
      <c r="AQ63" s="67"/>
      <c r="AR63" s="67"/>
      <c r="AS63" s="68"/>
      <c r="AU63" s="66" t="s">
        <v>47</v>
      </c>
      <c r="AV63" s="67"/>
      <c r="AW63" s="67"/>
      <c r="AX63" s="67"/>
      <c r="AY63" s="67"/>
      <c r="AZ63" s="68"/>
      <c r="BB63" s="105" t="s">
        <v>202</v>
      </c>
      <c r="BC63" s="105" t="s">
        <v>201</v>
      </c>
      <c r="BD63" s="13" t="s">
        <v>200</v>
      </c>
      <c r="BE63" s="105" t="s">
        <v>199</v>
      </c>
      <c r="BG63" s="71" t="s">
        <v>69</v>
      </c>
      <c r="BH63" s="72"/>
      <c r="BI63" s="72"/>
      <c r="BJ63" s="72"/>
      <c r="BK63" s="73"/>
    </row>
    <row r="64" spans="1:63" ht="35" customHeight="1" thickBot="1" x14ac:dyDescent="0.4">
      <c r="A64" s="26"/>
      <c r="B64" s="75" t="s">
        <v>43</v>
      </c>
      <c r="C64" s="391">
        <v>0</v>
      </c>
      <c r="D64" s="391">
        <v>0</v>
      </c>
      <c r="E64" s="392">
        <v>0</v>
      </c>
      <c r="G64" s="123" t="s">
        <v>48</v>
      </c>
      <c r="H64" s="400" t="s">
        <v>134</v>
      </c>
      <c r="I64" s="110" t="s">
        <v>42</v>
      </c>
      <c r="J64" s="110" t="s">
        <v>29</v>
      </c>
      <c r="K64" s="114" t="s">
        <v>71</v>
      </c>
      <c r="L64" s="110" t="s">
        <v>51</v>
      </c>
      <c r="M64" s="401" t="s">
        <v>222</v>
      </c>
      <c r="N64" s="198"/>
      <c r="O64" s="123" t="s">
        <v>48</v>
      </c>
      <c r="P64" s="400" t="s">
        <v>134</v>
      </c>
      <c r="Q64" s="110" t="s">
        <v>42</v>
      </c>
      <c r="R64" s="110" t="s">
        <v>29</v>
      </c>
      <c r="S64" s="114" t="s">
        <v>95</v>
      </c>
      <c r="T64" s="114" t="s">
        <v>65</v>
      </c>
      <c r="U64" s="114" t="s">
        <v>67</v>
      </c>
      <c r="V64" s="401" t="s">
        <v>222</v>
      </c>
      <c r="W64" s="198"/>
      <c r="X64" s="123" t="s">
        <v>48</v>
      </c>
      <c r="Y64" s="400" t="s">
        <v>134</v>
      </c>
      <c r="Z64" s="110" t="s">
        <v>42</v>
      </c>
      <c r="AA64" s="110" t="s">
        <v>29</v>
      </c>
      <c r="AB64" s="114" t="s">
        <v>95</v>
      </c>
      <c r="AC64" s="114" t="s">
        <v>65</v>
      </c>
      <c r="AD64" s="114" t="s">
        <v>67</v>
      </c>
      <c r="AE64" s="401" t="s">
        <v>222</v>
      </c>
      <c r="AF64" s="198"/>
      <c r="AG64" s="268" t="s">
        <v>48</v>
      </c>
      <c r="AH64" s="201" t="s">
        <v>50</v>
      </c>
      <c r="AI64" s="265" t="s">
        <v>52</v>
      </c>
      <c r="AJ64" s="267" t="s">
        <v>223</v>
      </c>
      <c r="AK64" s="267" t="s">
        <v>54</v>
      </c>
      <c r="AL64" s="266" t="s">
        <v>88</v>
      </c>
      <c r="AN64" s="268" t="s">
        <v>48</v>
      </c>
      <c r="AO64" s="267" t="s">
        <v>66</v>
      </c>
      <c r="AP64" s="267" t="s">
        <v>68</v>
      </c>
      <c r="AQ64" s="267" t="s">
        <v>223</v>
      </c>
      <c r="AR64" s="267" t="s">
        <v>54</v>
      </c>
      <c r="AS64" s="266" t="s">
        <v>88</v>
      </c>
      <c r="AU64" s="268" t="s">
        <v>48</v>
      </c>
      <c r="AV64" s="267" t="s">
        <v>66</v>
      </c>
      <c r="AW64" s="267" t="s">
        <v>68</v>
      </c>
      <c r="AX64" s="267" t="s">
        <v>223</v>
      </c>
      <c r="AY64" s="267" t="s">
        <v>54</v>
      </c>
      <c r="AZ64" s="266" t="s">
        <v>88</v>
      </c>
      <c r="BB64" s="122">
        <f>SUM(AB65)</f>
        <v>0</v>
      </c>
      <c r="BC64" s="122">
        <f>SUM(AD65,U65,L65)</f>
        <v>0</v>
      </c>
      <c r="BD64" s="122">
        <f>SUM(AE65,V65,M65)</f>
        <v>0</v>
      </c>
      <c r="BE64" s="166">
        <f>SUM(AL65,AS65,AZ65)</f>
        <v>0</v>
      </c>
      <c r="BG64" s="64"/>
      <c r="BH64" s="200" t="s">
        <v>45</v>
      </c>
      <c r="BI64" s="200" t="s">
        <v>46</v>
      </c>
      <c r="BJ64" s="200" t="s">
        <v>47</v>
      </c>
      <c r="BK64" s="197" t="s">
        <v>70</v>
      </c>
    </row>
    <row r="65" spans="1:68" ht="16" thickBot="1" x14ac:dyDescent="0.4">
      <c r="A65" s="26"/>
      <c r="B65" s="75" t="s">
        <v>134</v>
      </c>
      <c r="C65" s="391">
        <v>0</v>
      </c>
      <c r="D65" s="391">
        <v>0</v>
      </c>
      <c r="E65" s="392">
        <v>0</v>
      </c>
      <c r="G65" s="65" t="s">
        <v>39</v>
      </c>
      <c r="H65" s="49">
        <v>0</v>
      </c>
      <c r="I65" s="45">
        <f>ROUNDUP($C64/gen_xl_disk,0)</f>
        <v>0</v>
      </c>
      <c r="J65" s="45">
        <f>ROUNDUP($C66/gen_xl_bw,0)</f>
        <v>0</v>
      </c>
      <c r="K65" s="45">
        <f>MAX(H65:J65)</f>
        <v>0</v>
      </c>
      <c r="L65" s="45">
        <f>ROUNDUP(K65/gen_xl_spr80,0)</f>
        <v>0</v>
      </c>
      <c r="M65" s="52">
        <f>ROUND(K65*gen_l_pow80*24*365,0)</f>
        <v>0</v>
      </c>
      <c r="N65" s="43"/>
      <c r="O65" s="65" t="s">
        <v>39</v>
      </c>
      <c r="P65" s="49">
        <v>0</v>
      </c>
      <c r="Q65" s="45">
        <f>ROUNDUP($D64/gen_xl_disk,0)</f>
        <v>0</v>
      </c>
      <c r="R65" s="45">
        <f>ROUNDUP($D66/gen_xl_bw,0)</f>
        <v>0</v>
      </c>
      <c r="S65" s="45">
        <f>MAX(P65:R65)</f>
        <v>0</v>
      </c>
      <c r="T65" s="45">
        <f>S65-K65</f>
        <v>0</v>
      </c>
      <c r="U65" s="45">
        <f>ROUNDUP(T65/gen_xl_spr80,0)</f>
        <v>0</v>
      </c>
      <c r="V65" s="52">
        <f>ROUND((S65)*gen_l_pow80*24*365,0)</f>
        <v>0</v>
      </c>
      <c r="W65" s="43"/>
      <c r="X65" s="65" t="s">
        <v>39</v>
      </c>
      <c r="Y65" s="49">
        <f>ROUNDUP($E65/(gen_xl_tps80),0)</f>
        <v>0</v>
      </c>
      <c r="Z65" s="45">
        <f>ROUNDUP($E64/gen_xl_disk,0)</f>
        <v>0</v>
      </c>
      <c r="AA65" s="45">
        <f>ROUNDUP($E66/gen_xl_bw,0)</f>
        <v>0</v>
      </c>
      <c r="AB65" s="45">
        <f>MAX(Y65:AA65)</f>
        <v>0</v>
      </c>
      <c r="AC65" s="45">
        <f>AB65-S65</f>
        <v>0</v>
      </c>
      <c r="AD65" s="45">
        <f>ROUNDUP(AC65/gen_xl_spr80,0)</f>
        <v>0</v>
      </c>
      <c r="AE65" s="52">
        <f>ROUND((AB65)*gen_l_pow80*24*365,0)</f>
        <v>0</v>
      </c>
      <c r="AF65" s="43"/>
      <c r="AG65" s="65" t="s">
        <v>39</v>
      </c>
      <c r="AH65" s="50">
        <f>K65*gen_xl_cost</f>
        <v>0</v>
      </c>
      <c r="AI65" s="50">
        <f>L65*rack_cost</f>
        <v>0</v>
      </c>
      <c r="AJ65" s="50">
        <f>ROUND(M65*s_pwr,0)</f>
        <v>0</v>
      </c>
      <c r="AK65" s="50">
        <v>0</v>
      </c>
      <c r="AL65" s="212">
        <f>SUM(AH65,AI65,AJ65)</f>
        <v>0</v>
      </c>
      <c r="AN65" s="65" t="s">
        <v>39</v>
      </c>
      <c r="AO65" s="28">
        <f>T65*gen_xl_cost*1.02</f>
        <v>0</v>
      </c>
      <c r="AP65" s="28">
        <f>U65*rack_cost</f>
        <v>0</v>
      </c>
      <c r="AQ65" s="28">
        <f>ROUND(V65*s_pwr,0)</f>
        <v>0</v>
      </c>
      <c r="AR65" s="28">
        <f>AH65*hw_supt</f>
        <v>0</v>
      </c>
      <c r="AS65" s="212">
        <f>SUM(AO65,AP65,AQ65,AR65)</f>
        <v>0</v>
      </c>
      <c r="AU65" s="65" t="s">
        <v>39</v>
      </c>
      <c r="AV65" s="28">
        <f>AC65*gen_xl_cost*1.0404</f>
        <v>0</v>
      </c>
      <c r="AW65" s="28">
        <f>AD65*rack_cost</f>
        <v>0</v>
      </c>
      <c r="AX65" s="28">
        <f>ROUND(AE65*s_pwr,0)</f>
        <v>0</v>
      </c>
      <c r="AY65" s="28">
        <f>(AH65+AO65)*hw_supt</f>
        <v>0</v>
      </c>
      <c r="AZ65" s="212">
        <f>SUM(AV65,AW65,AX65,AY65)</f>
        <v>0</v>
      </c>
      <c r="BG65" s="173" t="s">
        <v>82</v>
      </c>
      <c r="BH65" s="177">
        <f>AL65</f>
        <v>0</v>
      </c>
      <c r="BI65" s="177">
        <f>AS65</f>
        <v>0</v>
      </c>
      <c r="BJ65" s="177">
        <f>AZ65</f>
        <v>0</v>
      </c>
      <c r="BK65" s="180">
        <f>SUM(BH65:BJ65)</f>
        <v>0</v>
      </c>
    </row>
    <row r="66" spans="1:68" ht="17" customHeight="1" thickBot="1" x14ac:dyDescent="0.4">
      <c r="A66" s="27"/>
      <c r="B66" s="76" t="s">
        <v>44</v>
      </c>
      <c r="C66" s="427">
        <v>0</v>
      </c>
      <c r="D66" s="427">
        <v>0</v>
      </c>
      <c r="E66" s="428">
        <v>0</v>
      </c>
      <c r="BG66" s="64" t="s">
        <v>217</v>
      </c>
      <c r="BH66" s="181">
        <f>K65</f>
        <v>0</v>
      </c>
      <c r="BI66" s="181">
        <f>T65</f>
        <v>0</v>
      </c>
      <c r="BJ66" s="181">
        <f>AC65</f>
        <v>0</v>
      </c>
      <c r="BK66" s="145">
        <f>SUM(BH66:BJ66)</f>
        <v>0</v>
      </c>
    </row>
    <row r="67" spans="1:68" x14ac:dyDescent="0.35">
      <c r="BG67" s="160" t="s">
        <v>218</v>
      </c>
      <c r="BH67" s="4">
        <f>L65</f>
        <v>0</v>
      </c>
      <c r="BI67" s="4">
        <f>U65</f>
        <v>0</v>
      </c>
      <c r="BJ67" s="4">
        <f>AD65</f>
        <v>0</v>
      </c>
      <c r="BK67" s="121">
        <f t="shared" ref="BK67:BK68" si="3">SUM(BH67:BJ67)</f>
        <v>0</v>
      </c>
    </row>
    <row r="68" spans="1:68" ht="16" thickBot="1" x14ac:dyDescent="0.4">
      <c r="BG68" s="65" t="s">
        <v>216</v>
      </c>
      <c r="BH68" s="45">
        <f>M65</f>
        <v>0</v>
      </c>
      <c r="BI68" s="45">
        <f>V65</f>
        <v>0</v>
      </c>
      <c r="BJ68" s="45">
        <f>AE65</f>
        <v>0</v>
      </c>
      <c r="BK68" s="122">
        <f t="shared" si="3"/>
        <v>0</v>
      </c>
    </row>
    <row r="70" spans="1:68" ht="18.5" x14ac:dyDescent="0.45">
      <c r="A70" s="34" t="s">
        <v>282</v>
      </c>
    </row>
    <row r="72" spans="1:68" ht="95" customHeight="1" thickBot="1" x14ac:dyDescent="0.4">
      <c r="A72" s="581" t="s">
        <v>388</v>
      </c>
      <c r="B72" s="582"/>
      <c r="C72" s="582"/>
      <c r="D72" s="582"/>
      <c r="E72" s="582"/>
    </row>
    <row r="73" spans="1:68" ht="51" customHeight="1" thickBot="1" x14ac:dyDescent="0.4">
      <c r="A73" s="29"/>
      <c r="B73" s="71" t="s">
        <v>151</v>
      </c>
      <c r="C73" s="72" t="s">
        <v>45</v>
      </c>
      <c r="D73" s="72" t="s">
        <v>46</v>
      </c>
      <c r="E73" s="73" t="s">
        <v>47</v>
      </c>
      <c r="G73" s="402" t="s">
        <v>45</v>
      </c>
      <c r="H73" s="178"/>
      <c r="I73" s="178"/>
      <c r="J73" s="178"/>
      <c r="K73" s="178"/>
      <c r="L73" s="178"/>
      <c r="M73" s="179"/>
      <c r="N73" s="8"/>
      <c r="O73" s="402" t="s">
        <v>46</v>
      </c>
      <c r="P73" s="178"/>
      <c r="Q73" s="178"/>
      <c r="R73" s="178"/>
      <c r="S73" s="178"/>
      <c r="T73" s="178"/>
      <c r="U73" s="178"/>
      <c r="V73" s="179"/>
      <c r="W73" s="8"/>
      <c r="X73" s="66" t="s">
        <v>47</v>
      </c>
      <c r="Y73" s="67"/>
      <c r="Z73" s="67"/>
      <c r="AA73" s="67"/>
      <c r="AB73" s="67"/>
      <c r="AC73" s="67"/>
      <c r="AD73" s="67"/>
      <c r="AE73" s="68"/>
      <c r="AF73" s="8"/>
      <c r="AG73" s="66" t="s">
        <v>45</v>
      </c>
      <c r="AH73" s="67"/>
      <c r="AI73" s="67"/>
      <c r="AJ73" s="67"/>
      <c r="AK73" s="67"/>
      <c r="AL73" s="68"/>
      <c r="AN73" s="66" t="s">
        <v>46</v>
      </c>
      <c r="AO73" s="67"/>
      <c r="AP73" s="67"/>
      <c r="AQ73" s="67"/>
      <c r="AR73" s="67"/>
      <c r="AS73" s="68"/>
      <c r="AU73" s="66" t="s">
        <v>47</v>
      </c>
      <c r="AV73" s="67"/>
      <c r="AW73" s="67"/>
      <c r="AX73" s="67"/>
      <c r="AY73" s="67"/>
      <c r="AZ73" s="68"/>
      <c r="BB73" s="105" t="s">
        <v>202</v>
      </c>
      <c r="BC73" s="105" t="s">
        <v>201</v>
      </c>
      <c r="BD73" s="13" t="s">
        <v>200</v>
      </c>
      <c r="BE73" s="105" t="s">
        <v>199</v>
      </c>
      <c r="BG73" s="71" t="s">
        <v>69</v>
      </c>
      <c r="BH73" s="72"/>
      <c r="BI73" s="72"/>
      <c r="BJ73" s="72"/>
      <c r="BK73" s="73"/>
    </row>
    <row r="74" spans="1:68" ht="35" customHeight="1" thickBot="1" x14ac:dyDescent="0.4">
      <c r="A74" s="26"/>
      <c r="B74" s="75" t="s">
        <v>43</v>
      </c>
      <c r="C74" s="391">
        <v>0</v>
      </c>
      <c r="D74" s="391">
        <v>0</v>
      </c>
      <c r="E74" s="392">
        <v>0</v>
      </c>
      <c r="G74" s="123" t="s">
        <v>48</v>
      </c>
      <c r="H74" s="400" t="s">
        <v>134</v>
      </c>
      <c r="I74" s="110" t="s">
        <v>42</v>
      </c>
      <c r="J74" s="110" t="s">
        <v>29</v>
      </c>
      <c r="K74" s="114" t="s">
        <v>71</v>
      </c>
      <c r="L74" s="110" t="s">
        <v>51</v>
      </c>
      <c r="M74" s="401" t="s">
        <v>222</v>
      </c>
      <c r="N74" s="198"/>
      <c r="O74" s="123" t="s">
        <v>48</v>
      </c>
      <c r="P74" s="400" t="s">
        <v>134</v>
      </c>
      <c r="Q74" s="110" t="s">
        <v>42</v>
      </c>
      <c r="R74" s="110" t="s">
        <v>29</v>
      </c>
      <c r="S74" s="114" t="s">
        <v>95</v>
      </c>
      <c r="T74" s="114" t="s">
        <v>65</v>
      </c>
      <c r="U74" s="114" t="s">
        <v>67</v>
      </c>
      <c r="V74" s="401" t="s">
        <v>222</v>
      </c>
      <c r="W74" s="198"/>
      <c r="X74" s="123" t="s">
        <v>48</v>
      </c>
      <c r="Y74" s="400" t="s">
        <v>134</v>
      </c>
      <c r="Z74" s="110" t="s">
        <v>42</v>
      </c>
      <c r="AA74" s="110" t="s">
        <v>29</v>
      </c>
      <c r="AB74" s="114" t="s">
        <v>95</v>
      </c>
      <c r="AC74" s="114" t="s">
        <v>65</v>
      </c>
      <c r="AD74" s="114" t="s">
        <v>67</v>
      </c>
      <c r="AE74" s="401" t="s">
        <v>222</v>
      </c>
      <c r="AF74" s="198"/>
      <c r="AG74" s="268" t="s">
        <v>48</v>
      </c>
      <c r="AH74" s="201" t="s">
        <v>50</v>
      </c>
      <c r="AI74" s="265" t="s">
        <v>52</v>
      </c>
      <c r="AJ74" s="267" t="s">
        <v>223</v>
      </c>
      <c r="AK74" s="267" t="s">
        <v>54</v>
      </c>
      <c r="AL74" s="266" t="s">
        <v>88</v>
      </c>
      <c r="AN74" s="268" t="s">
        <v>48</v>
      </c>
      <c r="AO74" s="267" t="s">
        <v>66</v>
      </c>
      <c r="AP74" s="267" t="s">
        <v>68</v>
      </c>
      <c r="AQ74" s="267" t="s">
        <v>223</v>
      </c>
      <c r="AR74" s="267" t="s">
        <v>54</v>
      </c>
      <c r="AS74" s="266" t="s">
        <v>88</v>
      </c>
      <c r="AU74" s="268" t="s">
        <v>48</v>
      </c>
      <c r="AV74" s="267" t="s">
        <v>66</v>
      </c>
      <c r="AW74" s="267" t="s">
        <v>68</v>
      </c>
      <c r="AX74" s="267" t="s">
        <v>223</v>
      </c>
      <c r="AY74" s="267" t="s">
        <v>54</v>
      </c>
      <c r="AZ74" s="266" t="s">
        <v>88</v>
      </c>
      <c r="BB74" s="122">
        <f>SUM(AB75)</f>
        <v>10</v>
      </c>
      <c r="BC74" s="122">
        <f>SUM(AD75,U75,L75)</f>
        <v>3</v>
      </c>
      <c r="BD74" s="122">
        <f>SUM(AE75,V75,M75)</f>
        <v>43275</v>
      </c>
      <c r="BE74" s="166">
        <f>SUM(AL75,AS75,AZ75)</f>
        <v>45689.96</v>
      </c>
      <c r="BG74" s="64"/>
      <c r="BH74" s="200" t="s">
        <v>45</v>
      </c>
      <c r="BI74" s="200" t="s">
        <v>46</v>
      </c>
      <c r="BJ74" s="200" t="s">
        <v>47</v>
      </c>
      <c r="BK74" s="197" t="s">
        <v>70</v>
      </c>
    </row>
    <row r="75" spans="1:68" ht="16" thickBot="1" x14ac:dyDescent="0.4">
      <c r="A75" s="26"/>
      <c r="B75" s="75" t="s">
        <v>134</v>
      </c>
      <c r="C75" s="391">
        <f>55%*'CPU (Workload)'!G15</f>
        <v>8454.2510937499992</v>
      </c>
      <c r="D75" s="391">
        <f>55%*'CPU (Workload)'!G16</f>
        <v>20034.070833333331</v>
      </c>
      <c r="E75" s="392">
        <f>55%*'CPU (Workload)'!G17</f>
        <v>35617.534791666665</v>
      </c>
      <c r="G75" s="65" t="s">
        <v>39</v>
      </c>
      <c r="H75" s="49">
        <f>ROUNDUP($C75/(gen_xl_tps80),0)</f>
        <v>3</v>
      </c>
      <c r="I75" s="45">
        <f>ROUNDUP($C74/gen_xl_disk,0)</f>
        <v>0</v>
      </c>
      <c r="J75" s="45">
        <f>ROUNDUP($C76/gen_xl_bw,0)</f>
        <v>3</v>
      </c>
      <c r="K75" s="45">
        <f>MAX(H75:J75,2)</f>
        <v>3</v>
      </c>
      <c r="L75" s="45">
        <f>ROUNDUP(K75/gen_xl_spr80,0)</f>
        <v>1</v>
      </c>
      <c r="M75" s="52">
        <f>ROUND(K75*gen_l_pow80*24*365,0)</f>
        <v>6833</v>
      </c>
      <c r="N75" s="43"/>
      <c r="O75" s="65" t="s">
        <v>39</v>
      </c>
      <c r="P75" s="49">
        <f>ROUNDUP($D75/(gen_xl_tps80),0)</f>
        <v>6</v>
      </c>
      <c r="Q75" s="45">
        <f>ROUNDUP($D74/gen_xl_disk,0)</f>
        <v>0</v>
      </c>
      <c r="R75" s="45">
        <f>ROUNDUP($D76/gen_xl_bw,0)</f>
        <v>6</v>
      </c>
      <c r="S75" s="45">
        <f>MAX(P75:R75)</f>
        <v>6</v>
      </c>
      <c r="T75" s="45">
        <f>S75-K75</f>
        <v>3</v>
      </c>
      <c r="U75" s="45">
        <f>ROUNDUP(T75/gen_xl_spr80,0)</f>
        <v>1</v>
      </c>
      <c r="V75" s="52">
        <f>ROUND((S75)*gen_l_pow80*24*365,0)</f>
        <v>13666</v>
      </c>
      <c r="W75" s="43"/>
      <c r="X75" s="65" t="s">
        <v>39</v>
      </c>
      <c r="Y75" s="49">
        <f>ROUNDUP($E75/(gen_xl_tps80),0)</f>
        <v>10</v>
      </c>
      <c r="Z75" s="45">
        <f>ROUNDUP($E74/gen_xl_disk,0)</f>
        <v>0</v>
      </c>
      <c r="AA75" s="45">
        <f>ROUNDUP($E76/gen_xl_bw,0)</f>
        <v>10</v>
      </c>
      <c r="AB75" s="45">
        <f>MAX(Y75:AA75)</f>
        <v>10</v>
      </c>
      <c r="AC75" s="45">
        <f>AB75-S75</f>
        <v>4</v>
      </c>
      <c r="AD75" s="45">
        <f>ROUNDUP(AC75/gen_xl_spr80,0)</f>
        <v>1</v>
      </c>
      <c r="AE75" s="52">
        <f>ROUND((AB75)*gen_l_pow80*24*365,0)</f>
        <v>22776</v>
      </c>
      <c r="AF75" s="43"/>
      <c r="AG75" s="65" t="s">
        <v>39</v>
      </c>
      <c r="AH75" s="50">
        <f>K75*gen_xl_cost</f>
        <v>7050</v>
      </c>
      <c r="AI75" s="50">
        <f>L75*rack_cost</f>
        <v>5000</v>
      </c>
      <c r="AJ75" s="50">
        <f>ROUND(M75*s_pwr,0)</f>
        <v>381</v>
      </c>
      <c r="AK75" s="50">
        <v>0</v>
      </c>
      <c r="AL75" s="212">
        <f>SUM(AH75,AI75,AJ75)</f>
        <v>12431</v>
      </c>
      <c r="AN75" s="65" t="s">
        <v>39</v>
      </c>
      <c r="AO75" s="28">
        <f>T75*gen_xl_cost*1.02</f>
        <v>7191</v>
      </c>
      <c r="AP75" s="28">
        <f>U75*rack_cost</f>
        <v>5000</v>
      </c>
      <c r="AQ75" s="28">
        <f>ROUND(V75*s_pwr,0)</f>
        <v>761</v>
      </c>
      <c r="AR75" s="28">
        <f>AH75*hw_supt</f>
        <v>1410</v>
      </c>
      <c r="AS75" s="212">
        <f>SUM(AO75,AP75,AQ75,AR75)</f>
        <v>14362</v>
      </c>
      <c r="AU75" s="65" t="s">
        <v>39</v>
      </c>
      <c r="AV75" s="28">
        <f>AC75*gen_xl_cost*1.0404</f>
        <v>9779.76</v>
      </c>
      <c r="AW75" s="28">
        <f>AD75*rack_cost</f>
        <v>5000</v>
      </c>
      <c r="AX75" s="28">
        <f>ROUND(AE75*s_pwr,0)</f>
        <v>1269</v>
      </c>
      <c r="AY75" s="28">
        <f>(AH75+AO75)*hw_supt</f>
        <v>2848.2000000000003</v>
      </c>
      <c r="AZ75" s="212">
        <f>SUM(AV75,AW75,AX75,AY75)</f>
        <v>18896.96</v>
      </c>
      <c r="BG75" s="173" t="s">
        <v>82</v>
      </c>
      <c r="BH75" s="177">
        <f>AL75</f>
        <v>12431</v>
      </c>
      <c r="BI75" s="177">
        <f>AS75</f>
        <v>14362</v>
      </c>
      <c r="BJ75" s="177">
        <f>AZ75</f>
        <v>18896.96</v>
      </c>
      <c r="BK75" s="180">
        <f>SUM(BH75:BJ75)</f>
        <v>45689.96</v>
      </c>
    </row>
    <row r="76" spans="1:68" ht="17" customHeight="1" thickBot="1" x14ac:dyDescent="0.4">
      <c r="A76" s="27"/>
      <c r="B76" s="76" t="s">
        <v>44</v>
      </c>
      <c r="C76" s="427">
        <f>55%*Bandwidth!O47</f>
        <v>4.9188369999999999</v>
      </c>
      <c r="D76" s="427">
        <f>55%*Bandwidth!O48</f>
        <v>11.656186666666668</v>
      </c>
      <c r="E76" s="428">
        <f>55%*Bandwidth!O49</f>
        <v>20.722929333333333</v>
      </c>
      <c r="BG76" s="64" t="s">
        <v>217</v>
      </c>
      <c r="BH76" s="181">
        <f>K75</f>
        <v>3</v>
      </c>
      <c r="BI76" s="181">
        <f>T75</f>
        <v>3</v>
      </c>
      <c r="BJ76" s="181">
        <f>AC75</f>
        <v>4</v>
      </c>
      <c r="BK76" s="145">
        <f>SUM(BH76:BJ76)</f>
        <v>10</v>
      </c>
    </row>
    <row r="77" spans="1:68" x14ac:dyDescent="0.35">
      <c r="BG77" s="160" t="s">
        <v>218</v>
      </c>
      <c r="BH77" s="4">
        <f>L75</f>
        <v>1</v>
      </c>
      <c r="BI77" s="4">
        <f>U75</f>
        <v>1</v>
      </c>
      <c r="BJ77" s="4">
        <f>AD75</f>
        <v>1</v>
      </c>
      <c r="BK77" s="121">
        <f t="shared" ref="BK77:BK78" si="4">SUM(BH77:BJ77)</f>
        <v>3</v>
      </c>
    </row>
    <row r="78" spans="1:68" ht="16" thickBot="1" x14ac:dyDescent="0.4">
      <c r="BG78" s="65" t="s">
        <v>216</v>
      </c>
      <c r="BH78" s="45">
        <f>M75</f>
        <v>6833</v>
      </c>
      <c r="BI78" s="45">
        <f>V75</f>
        <v>13666</v>
      </c>
      <c r="BJ78" s="45">
        <f>AE75</f>
        <v>22776</v>
      </c>
      <c r="BK78" s="122">
        <f t="shared" si="4"/>
        <v>43275</v>
      </c>
    </row>
    <row r="79" spans="1:68" x14ac:dyDescent="0.35">
      <c r="BH79" s="4"/>
      <c r="BI79" s="4"/>
      <c r="BJ79" s="4"/>
      <c r="BK79" s="4"/>
    </row>
    <row r="80" spans="1:68" ht="16" thickBot="1" x14ac:dyDescent="0.4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91" ht="16" thickTop="1" x14ac:dyDescent="0.35"/>
    <row r="82" spans="1:91" ht="21" customHeight="1" x14ac:dyDescent="0.5">
      <c r="A82" s="54" t="s">
        <v>75</v>
      </c>
    </row>
    <row r="83" spans="1:91" x14ac:dyDescent="0.35">
      <c r="A83" t="s">
        <v>97</v>
      </c>
    </row>
    <row r="84" spans="1:91" ht="34" customHeight="1" thickBot="1" x14ac:dyDescent="0.4"/>
    <row r="85" spans="1:91" ht="51" customHeight="1" thickBot="1" x14ac:dyDescent="0.4">
      <c r="A85" s="29" t="s">
        <v>72</v>
      </c>
      <c r="B85" s="71" t="s">
        <v>151</v>
      </c>
      <c r="C85" s="72" t="s">
        <v>45</v>
      </c>
      <c r="D85" s="72" t="s">
        <v>46</v>
      </c>
      <c r="E85" s="73" t="s">
        <v>47</v>
      </c>
      <c r="G85" s="402" t="s">
        <v>45</v>
      </c>
      <c r="H85" s="178"/>
      <c r="I85" s="178"/>
      <c r="J85" s="178"/>
      <c r="K85" s="178"/>
      <c r="L85" s="178"/>
      <c r="M85" s="179"/>
      <c r="N85" s="8"/>
      <c r="O85" s="402" t="s">
        <v>46</v>
      </c>
      <c r="P85" s="178"/>
      <c r="Q85" s="178"/>
      <c r="R85" s="178"/>
      <c r="S85" s="178"/>
      <c r="T85" s="178"/>
      <c r="U85" s="178"/>
      <c r="V85" s="179"/>
      <c r="W85" s="8"/>
      <c r="X85" s="66" t="s">
        <v>47</v>
      </c>
      <c r="Y85" s="67"/>
      <c r="Z85" s="67"/>
      <c r="AA85" s="67"/>
      <c r="AB85" s="67"/>
      <c r="AC85" s="67"/>
      <c r="AD85" s="67"/>
      <c r="AE85" s="68"/>
      <c r="AF85" s="8"/>
      <c r="AG85" s="66" t="s">
        <v>45</v>
      </c>
      <c r="AH85" s="67"/>
      <c r="AI85" s="67"/>
      <c r="AJ85" s="67"/>
      <c r="AK85" s="67"/>
      <c r="AL85" s="68"/>
      <c r="AN85" s="66" t="s">
        <v>46</v>
      </c>
      <c r="AO85" s="67"/>
      <c r="AP85" s="67"/>
      <c r="AQ85" s="67"/>
      <c r="AR85" s="67"/>
      <c r="AS85" s="68"/>
      <c r="AU85" s="66" t="s">
        <v>47</v>
      </c>
      <c r="AV85" s="67"/>
      <c r="AW85" s="67"/>
      <c r="AX85" s="67"/>
      <c r="AY85" s="67"/>
      <c r="AZ85" s="68"/>
      <c r="BB85" s="8"/>
      <c r="BC85" s="8"/>
      <c r="BD85" s="182"/>
      <c r="BE85" s="39"/>
      <c r="BG85" s="71" t="s">
        <v>69</v>
      </c>
      <c r="BH85" s="72"/>
      <c r="BI85" s="72"/>
      <c r="BJ85" s="72"/>
      <c r="BK85" s="73"/>
      <c r="BM85" s="7"/>
      <c r="BN85" s="7"/>
      <c r="BO85" s="7"/>
      <c r="BP85" s="198"/>
    </row>
    <row r="86" spans="1:91" ht="47" thickBot="1" x14ac:dyDescent="0.4">
      <c r="A86" s="26"/>
      <c r="B86" s="75" t="s">
        <v>43</v>
      </c>
      <c r="C86" s="391">
        <f t="shared" ref="C86:E88" si="5">SUM(C44,C54,C64,C74)</f>
        <v>0</v>
      </c>
      <c r="D86" s="391">
        <f t="shared" si="5"/>
        <v>0</v>
      </c>
      <c r="E86" s="392">
        <f t="shared" si="5"/>
        <v>0</v>
      </c>
      <c r="G86" s="123" t="s">
        <v>48</v>
      </c>
      <c r="H86" s="400" t="s">
        <v>134</v>
      </c>
      <c r="I86" s="110" t="s">
        <v>42</v>
      </c>
      <c r="J86" s="110" t="s">
        <v>29</v>
      </c>
      <c r="K86" s="114" t="s">
        <v>71</v>
      </c>
      <c r="L86" s="110" t="s">
        <v>51</v>
      </c>
      <c r="M86" s="401" t="s">
        <v>222</v>
      </c>
      <c r="N86" s="198"/>
      <c r="O86" s="123" t="s">
        <v>48</v>
      </c>
      <c r="P86" s="400" t="s">
        <v>134</v>
      </c>
      <c r="Q86" s="110" t="s">
        <v>42</v>
      </c>
      <c r="R86" s="110" t="s">
        <v>29</v>
      </c>
      <c r="S86" s="114" t="s">
        <v>95</v>
      </c>
      <c r="T86" s="114" t="s">
        <v>65</v>
      </c>
      <c r="U86" s="114" t="s">
        <v>67</v>
      </c>
      <c r="V86" s="401" t="s">
        <v>222</v>
      </c>
      <c r="W86" s="198"/>
      <c r="X86" s="123" t="s">
        <v>48</v>
      </c>
      <c r="Y86" s="400" t="s">
        <v>134</v>
      </c>
      <c r="Z86" s="110" t="s">
        <v>42</v>
      </c>
      <c r="AA86" s="110" t="s">
        <v>29</v>
      </c>
      <c r="AB86" s="114" t="s">
        <v>95</v>
      </c>
      <c r="AC86" s="114" t="s">
        <v>65</v>
      </c>
      <c r="AD86" s="114" t="s">
        <v>67</v>
      </c>
      <c r="AE86" s="401" t="s">
        <v>222</v>
      </c>
      <c r="AF86" s="198"/>
      <c r="AG86" s="268" t="s">
        <v>48</v>
      </c>
      <c r="AH86" s="201" t="s">
        <v>50</v>
      </c>
      <c r="AI86" s="265" t="s">
        <v>52</v>
      </c>
      <c r="AJ86" s="267" t="s">
        <v>223</v>
      </c>
      <c r="AK86" s="267" t="s">
        <v>54</v>
      </c>
      <c r="AL86" s="266" t="s">
        <v>88</v>
      </c>
      <c r="AN86" s="268" t="s">
        <v>48</v>
      </c>
      <c r="AO86" s="267" t="s">
        <v>66</v>
      </c>
      <c r="AP86" s="267" t="s">
        <v>68</v>
      </c>
      <c r="AQ86" s="267" t="s">
        <v>223</v>
      </c>
      <c r="AR86" s="267" t="s">
        <v>54</v>
      </c>
      <c r="AS86" s="266" t="s">
        <v>88</v>
      </c>
      <c r="AU86" s="268" t="s">
        <v>48</v>
      </c>
      <c r="AV86" s="267" t="s">
        <v>66</v>
      </c>
      <c r="AW86" s="267" t="s">
        <v>68</v>
      </c>
      <c r="AX86" s="267" t="s">
        <v>223</v>
      </c>
      <c r="AY86" s="267" t="s">
        <v>54</v>
      </c>
      <c r="AZ86" s="266" t="s">
        <v>88</v>
      </c>
      <c r="BG86" s="64"/>
      <c r="BH86" s="200" t="s">
        <v>45</v>
      </c>
      <c r="BI86" s="200" t="s">
        <v>46</v>
      </c>
      <c r="BJ86" s="200" t="s">
        <v>47</v>
      </c>
      <c r="BK86" s="197" t="s">
        <v>70</v>
      </c>
      <c r="BM86" s="43"/>
      <c r="BN86" s="43"/>
      <c r="BO86" s="43"/>
      <c r="BP86" s="43"/>
    </row>
    <row r="87" spans="1:91" ht="16" thickBot="1" x14ac:dyDescent="0.4">
      <c r="A87" s="26"/>
      <c r="B87" s="75" t="s">
        <v>134</v>
      </c>
      <c r="C87" s="391">
        <f t="shared" si="5"/>
        <v>8454.2510937499992</v>
      </c>
      <c r="D87" s="391">
        <f t="shared" si="5"/>
        <v>20034.070833333331</v>
      </c>
      <c r="E87" s="392">
        <f t="shared" si="5"/>
        <v>35617.534791666665</v>
      </c>
      <c r="G87" s="65" t="s">
        <v>39</v>
      </c>
      <c r="H87" s="69"/>
      <c r="I87" s="70"/>
      <c r="J87" s="70"/>
      <c r="K87" s="45">
        <f>SUM(K65,K75)</f>
        <v>3</v>
      </c>
      <c r="L87" s="45">
        <f>SUM(L65,L75)</f>
        <v>1</v>
      </c>
      <c r="M87" s="52">
        <f>SUM(M65,M75)</f>
        <v>6833</v>
      </c>
      <c r="N87" s="43"/>
      <c r="O87" s="65" t="s">
        <v>39</v>
      </c>
      <c r="P87" s="69"/>
      <c r="Q87" s="70"/>
      <c r="R87" s="70"/>
      <c r="S87" s="45">
        <f t="shared" ref="S87:U87" si="6">SUM(S65,S75)</f>
        <v>6</v>
      </c>
      <c r="T87" s="45">
        <f t="shared" si="6"/>
        <v>3</v>
      </c>
      <c r="U87" s="45">
        <f t="shared" si="6"/>
        <v>1</v>
      </c>
      <c r="V87" s="52">
        <f>SUM(V65,V75)</f>
        <v>13666</v>
      </c>
      <c r="W87" s="43"/>
      <c r="X87" s="65" t="s">
        <v>39</v>
      </c>
      <c r="Y87" s="69"/>
      <c r="Z87" s="70"/>
      <c r="AA87" s="70"/>
      <c r="AB87" s="45">
        <f t="shared" ref="AB87:AD87" si="7">SUM(AB65,AB75)</f>
        <v>10</v>
      </c>
      <c r="AC87" s="45">
        <f t="shared" si="7"/>
        <v>4</v>
      </c>
      <c r="AD87" s="45">
        <f t="shared" si="7"/>
        <v>1</v>
      </c>
      <c r="AE87" s="52">
        <f>SUM(AE65,AE75)</f>
        <v>22776</v>
      </c>
      <c r="AF87" s="43"/>
      <c r="AG87" s="65" t="s">
        <v>39</v>
      </c>
      <c r="AH87" s="50">
        <f>SUM(AH65,AH75)</f>
        <v>7050</v>
      </c>
      <c r="AI87" s="50">
        <f>SUM(AI65,AI75)</f>
        <v>5000</v>
      </c>
      <c r="AJ87" s="50">
        <f>SUM(AJ65,AJ75)</f>
        <v>381</v>
      </c>
      <c r="AK87" s="50">
        <f>SUM(AK65,AK75)</f>
        <v>0</v>
      </c>
      <c r="AL87" s="212">
        <f>SUM(AL65,AL75)</f>
        <v>12431</v>
      </c>
      <c r="AN87" s="65" t="s">
        <v>39</v>
      </c>
      <c r="AO87" s="28">
        <f>SUM(AO65,AO75)</f>
        <v>7191</v>
      </c>
      <c r="AP87" s="28">
        <f>SUM(AP65,AP75)</f>
        <v>5000</v>
      </c>
      <c r="AQ87" s="28">
        <f>SUM(AQ65,AQ75)</f>
        <v>761</v>
      </c>
      <c r="AR87" s="28">
        <f>SUM(AR65,AR75)</f>
        <v>1410</v>
      </c>
      <c r="AS87" s="212">
        <f>SUM(AS65,AS75)</f>
        <v>14362</v>
      </c>
      <c r="AU87" s="65" t="s">
        <v>39</v>
      </c>
      <c r="AV87" s="28">
        <f>SUM(AV65,AV75)</f>
        <v>9779.76</v>
      </c>
      <c r="AW87" s="28">
        <f>SUM(AW65,AW75)</f>
        <v>5000</v>
      </c>
      <c r="AX87" s="28">
        <f>SUM(AX65,AX75)</f>
        <v>1269</v>
      </c>
      <c r="AY87" s="28">
        <f>SUM(AY65,AY75)</f>
        <v>2848.2000000000003</v>
      </c>
      <c r="AZ87" s="212">
        <f>SUM(AZ65,AZ75)</f>
        <v>18896.96</v>
      </c>
      <c r="BB87" s="4"/>
      <c r="BC87" s="4"/>
      <c r="BD87" s="4"/>
      <c r="BE87" s="59"/>
      <c r="BG87" s="173" t="s">
        <v>82</v>
      </c>
      <c r="BH87" s="177">
        <f t="shared" ref="BH87:BJ90" si="8">SUM(BH45,BH55,BH65,BH75)</f>
        <v>12431</v>
      </c>
      <c r="BI87" s="177">
        <f t="shared" si="8"/>
        <v>14362</v>
      </c>
      <c r="BJ87" s="177">
        <f t="shared" si="8"/>
        <v>18896.96</v>
      </c>
      <c r="BK87" s="180">
        <f>SUM(BH87:BJ87)</f>
        <v>45689.96</v>
      </c>
    </row>
    <row r="88" spans="1:91" ht="16" thickBot="1" x14ac:dyDescent="0.4">
      <c r="A88" s="27"/>
      <c r="B88" s="76" t="s">
        <v>44</v>
      </c>
      <c r="C88" s="427">
        <f t="shared" si="5"/>
        <v>4.9188369999999999</v>
      </c>
      <c r="D88" s="427">
        <f t="shared" si="5"/>
        <v>11.656186666666668</v>
      </c>
      <c r="E88" s="428">
        <f t="shared" si="5"/>
        <v>20.722929333333333</v>
      </c>
      <c r="G88" s="65" t="s">
        <v>285</v>
      </c>
      <c r="H88" s="69"/>
      <c r="I88" s="70"/>
      <c r="J88" s="70"/>
      <c r="K88" s="45">
        <f>SUM(K45,K55)</f>
        <v>0</v>
      </c>
      <c r="L88" s="45">
        <f>SUM(L45,L55)</f>
        <v>0</v>
      </c>
      <c r="M88" s="52">
        <f>SUM(M45,M55,M66,M76)</f>
        <v>0</v>
      </c>
      <c r="O88" s="65" t="s">
        <v>285</v>
      </c>
      <c r="P88" s="69"/>
      <c r="Q88" s="70"/>
      <c r="R88" s="70"/>
      <c r="S88" s="45">
        <f t="shared" ref="S88:U88" si="9">SUM(S45,S55)</f>
        <v>0</v>
      </c>
      <c r="T88" s="45">
        <f t="shared" si="9"/>
        <v>0</v>
      </c>
      <c r="U88" s="45">
        <f t="shared" si="9"/>
        <v>0</v>
      </c>
      <c r="V88" s="52">
        <f>SUM(V45,V55,V66,V76)</f>
        <v>0</v>
      </c>
      <c r="X88" s="65" t="s">
        <v>285</v>
      </c>
      <c r="Y88" s="69"/>
      <c r="Z88" s="70"/>
      <c r="AA88" s="70"/>
      <c r="AB88" s="45">
        <f t="shared" ref="AB88:AD88" si="10">SUM(AB45,AB55)</f>
        <v>0</v>
      </c>
      <c r="AC88" s="45">
        <f t="shared" si="10"/>
        <v>0</v>
      </c>
      <c r="AD88" s="45">
        <f t="shared" si="10"/>
        <v>0</v>
      </c>
      <c r="AE88" s="52">
        <f>SUM(AE45,AE55,AE66,AE76)</f>
        <v>0</v>
      </c>
      <c r="AG88" s="65" t="s">
        <v>285</v>
      </c>
      <c r="AH88" s="50">
        <f>SUM(AH45,AH55,AH66,AH76)</f>
        <v>0</v>
      </c>
      <c r="AI88" s="50">
        <f>SUM(AI45,AI55,AI66,AI76)</f>
        <v>0</v>
      </c>
      <c r="AJ88" s="50">
        <f>SUM(AJ45,AJ55,AJ66,AJ76)</f>
        <v>0</v>
      </c>
      <c r="AK88" s="50">
        <f>SUM(AK45,AK55,AK66,AK76)</f>
        <v>0</v>
      </c>
      <c r="AL88" s="212">
        <f>SUM(AL45,AL55,AL66,AL76)</f>
        <v>0</v>
      </c>
      <c r="AN88" s="65" t="s">
        <v>285</v>
      </c>
      <c r="AO88" s="28">
        <f>SUM(AO45,AO55,AO66,AO76)</f>
        <v>0</v>
      </c>
      <c r="AP88" s="28">
        <f>SUM(AP45,AP55,AP66,AP76)</f>
        <v>0</v>
      </c>
      <c r="AQ88" s="28">
        <f>SUM(AQ45,AQ55,AQ66,AQ76)</f>
        <v>0</v>
      </c>
      <c r="AR88" s="28">
        <f>SUM(AR45,AR55,AR66,AR76)</f>
        <v>0</v>
      </c>
      <c r="AS88" s="212">
        <f>SUM(AS45,AS55,AS66,AS76)</f>
        <v>0</v>
      </c>
      <c r="AU88" s="65" t="s">
        <v>285</v>
      </c>
      <c r="AV88" s="28">
        <f>SUM(AV45,AV55,AV66,AV76)</f>
        <v>0</v>
      </c>
      <c r="AW88" s="28">
        <f>SUM(AW45,AW55,AW66,AW76)</f>
        <v>0</v>
      </c>
      <c r="AX88" s="28">
        <f>SUM(AX45,AX55,AX66,AX76)</f>
        <v>0</v>
      </c>
      <c r="AY88" s="28">
        <f>SUM(AY45,AY55,AY66,AY76)</f>
        <v>0</v>
      </c>
      <c r="AZ88" s="212">
        <f>SUM(AZ45,AZ55,AZ66,AZ76)</f>
        <v>0</v>
      </c>
      <c r="BB88" s="4"/>
      <c r="BC88" s="4"/>
      <c r="BD88" s="4"/>
      <c r="BE88" s="59"/>
      <c r="BG88" s="64" t="s">
        <v>217</v>
      </c>
      <c r="BH88" s="181">
        <f t="shared" si="8"/>
        <v>3</v>
      </c>
      <c r="BI88" s="181">
        <f t="shared" si="8"/>
        <v>3</v>
      </c>
      <c r="BJ88" s="181">
        <f>SUM(BJ46,BJ56,BJ66,BJ76)</f>
        <v>4</v>
      </c>
      <c r="BK88" s="145">
        <f>SUM(BH88:BJ88)</f>
        <v>10</v>
      </c>
    </row>
    <row r="89" spans="1:91" x14ac:dyDescent="0.35">
      <c r="BG89" s="160" t="s">
        <v>218</v>
      </c>
      <c r="BH89" s="4">
        <f t="shared" si="8"/>
        <v>1</v>
      </c>
      <c r="BI89" s="4">
        <f t="shared" si="8"/>
        <v>1</v>
      </c>
      <c r="BJ89" s="4">
        <f t="shared" si="8"/>
        <v>1</v>
      </c>
      <c r="BK89" s="121">
        <f t="shared" ref="BK89:BK90" si="11">SUM(BH89:BJ89)</f>
        <v>3</v>
      </c>
    </row>
    <row r="90" spans="1:91" ht="16" thickBot="1" x14ac:dyDescent="0.4">
      <c r="BG90" s="65" t="s">
        <v>216</v>
      </c>
      <c r="BH90" s="45">
        <f t="shared" si="8"/>
        <v>6833</v>
      </c>
      <c r="BI90" s="45">
        <f t="shared" si="8"/>
        <v>13666</v>
      </c>
      <c r="BJ90" s="45">
        <f t="shared" si="8"/>
        <v>22776</v>
      </c>
      <c r="BK90" s="122">
        <f t="shared" si="11"/>
        <v>43275</v>
      </c>
    </row>
    <row r="92" spans="1:91" x14ac:dyDescent="0.3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</row>
    <row r="94" spans="1:91" ht="21" x14ac:dyDescent="0.5">
      <c r="A94" s="54" t="s">
        <v>76</v>
      </c>
    </row>
    <row r="95" spans="1:91" x14ac:dyDescent="0.35">
      <c r="A95" t="s">
        <v>153</v>
      </c>
    </row>
    <row r="96" spans="1:91" x14ac:dyDescent="0.35">
      <c r="A96" t="s">
        <v>154</v>
      </c>
    </row>
    <row r="97" spans="1:11" x14ac:dyDescent="0.35">
      <c r="A97" t="s">
        <v>155</v>
      </c>
    </row>
    <row r="98" spans="1:11" x14ac:dyDescent="0.35">
      <c r="A98" t="s">
        <v>194</v>
      </c>
    </row>
    <row r="99" spans="1:11" x14ac:dyDescent="0.35">
      <c r="A99" t="s">
        <v>303</v>
      </c>
    </row>
    <row r="100" spans="1:11" x14ac:dyDescent="0.35">
      <c r="A100" t="s">
        <v>379</v>
      </c>
    </row>
    <row r="102" spans="1:11" x14ac:dyDescent="0.35">
      <c r="A102" s="8" t="s">
        <v>205</v>
      </c>
    </row>
    <row r="103" spans="1:11" ht="16" thickBot="1" x14ac:dyDescent="0.4"/>
    <row r="104" spans="1:11" ht="16" thickBot="1" x14ac:dyDescent="0.4">
      <c r="A104" s="29" t="s">
        <v>198</v>
      </c>
      <c r="B104" s="64"/>
      <c r="C104" s="200" t="s">
        <v>45</v>
      </c>
      <c r="D104" s="200" t="s">
        <v>46</v>
      </c>
      <c r="E104" s="53" t="s">
        <v>47</v>
      </c>
      <c r="G104" s="578" t="s">
        <v>85</v>
      </c>
      <c r="H104" s="167" t="s">
        <v>195</v>
      </c>
      <c r="I104" s="163"/>
      <c r="J104" s="164"/>
      <c r="K104" t="s">
        <v>381</v>
      </c>
    </row>
    <row r="105" spans="1:11" ht="34" customHeight="1" thickBot="1" x14ac:dyDescent="0.4">
      <c r="A105" s="27"/>
      <c r="B105" s="169" t="s">
        <v>44</v>
      </c>
      <c r="C105" s="158">
        <f>C88</f>
        <v>4.9188369999999999</v>
      </c>
      <c r="D105" s="158">
        <f>D88</f>
        <v>11.656186666666668</v>
      </c>
      <c r="E105" s="159">
        <f>E88</f>
        <v>20.722929333333333</v>
      </c>
      <c r="G105" s="579"/>
      <c r="H105" s="123" t="s">
        <v>45</v>
      </c>
      <c r="I105" s="161" t="s">
        <v>46</v>
      </c>
      <c r="J105" s="162" t="s">
        <v>47</v>
      </c>
    </row>
    <row r="106" spans="1:11" x14ac:dyDescent="0.35">
      <c r="C106" s="2"/>
      <c r="G106" s="160" t="s">
        <v>81</v>
      </c>
      <c r="H106" s="121">
        <f>ROUNDUP(C105/gig_bw,0)*1.5</f>
        <v>10.5</v>
      </c>
      <c r="I106" s="121">
        <f>ROUNDUP(D105/gig_bw,0)*1.5</f>
        <v>24</v>
      </c>
      <c r="J106" s="121">
        <f>ROUNDUP(E105/gig_bw,0)*1.5</f>
        <v>42</v>
      </c>
    </row>
    <row r="107" spans="1:11" x14ac:dyDescent="0.35">
      <c r="G107" s="160" t="s">
        <v>83</v>
      </c>
      <c r="H107" s="121">
        <f>ROUNDUP(C105/oc48_bw,0)*1.5</f>
        <v>4.5</v>
      </c>
      <c r="I107" s="121">
        <f>ROUNDUP(D105/oc48_bw,0)*1.5</f>
        <v>10.5</v>
      </c>
      <c r="J107" s="121">
        <f>ROUNDUP(E105/oc48_bw,0)*1.5</f>
        <v>18</v>
      </c>
    </row>
    <row r="108" spans="1:11" ht="16" thickBot="1" x14ac:dyDescent="0.4">
      <c r="G108" s="65" t="s">
        <v>84</v>
      </c>
      <c r="H108" s="122">
        <f>ROUNDUP(C105/oc192_bw,0)*1.5</f>
        <v>1.5</v>
      </c>
      <c r="I108" s="122">
        <f>ROUNDUP(D105/oc192_bw,0)*1.5</f>
        <v>3</v>
      </c>
      <c r="J108" s="122">
        <f>ROUNDUP(E105/oc192_bw,0)*1.5</f>
        <v>4.5</v>
      </c>
    </row>
    <row r="111" spans="1:11" x14ac:dyDescent="0.35">
      <c r="A111" s="8" t="s">
        <v>206</v>
      </c>
    </row>
    <row r="112" spans="1:11" x14ac:dyDescent="0.35">
      <c r="A112" t="s">
        <v>203</v>
      </c>
    </row>
    <row r="113" spans="1:51" x14ac:dyDescent="0.35">
      <c r="A113" t="s">
        <v>196</v>
      </c>
      <c r="F113" s="46"/>
      <c r="N113" s="46"/>
    </row>
    <row r="114" spans="1:51" x14ac:dyDescent="0.35">
      <c r="A114" t="s">
        <v>197</v>
      </c>
      <c r="C114" s="4"/>
      <c r="E114" s="2"/>
      <c r="F114" s="60"/>
      <c r="G114" s="46"/>
      <c r="H114" s="7"/>
      <c r="I114" s="59"/>
    </row>
    <row r="115" spans="1:51" ht="16" thickBot="1" x14ac:dyDescent="0.4">
      <c r="G115" s="4"/>
      <c r="H115" s="4"/>
    </row>
    <row r="116" spans="1:51" ht="17" customHeight="1" thickBot="1" x14ac:dyDescent="0.4">
      <c r="A116" s="168" t="s">
        <v>198</v>
      </c>
      <c r="B116" s="64"/>
      <c r="C116" s="200" t="s">
        <v>45</v>
      </c>
      <c r="D116" s="200" t="s">
        <v>46</v>
      </c>
      <c r="E116" s="53" t="s">
        <v>47</v>
      </c>
      <c r="G116" s="578"/>
      <c r="H116" s="167" t="s">
        <v>195</v>
      </c>
      <c r="I116" s="163"/>
      <c r="J116" s="164"/>
    </row>
    <row r="117" spans="1:51" ht="16" thickBot="1" x14ac:dyDescent="0.4">
      <c r="A117" s="48"/>
      <c r="B117" s="169" t="s">
        <v>288</v>
      </c>
      <c r="C117" s="119">
        <f>K75+K65</f>
        <v>3</v>
      </c>
      <c r="D117" s="119">
        <f>S75+S65</f>
        <v>6</v>
      </c>
      <c r="E117" s="116">
        <f>AB75+AB65</f>
        <v>10</v>
      </c>
      <c r="G117" s="579"/>
      <c r="H117" s="123" t="s">
        <v>45</v>
      </c>
      <c r="I117" s="161" t="s">
        <v>46</v>
      </c>
      <c r="J117" s="162" t="s">
        <v>47</v>
      </c>
    </row>
    <row r="118" spans="1:51" ht="16" thickBot="1" x14ac:dyDescent="0.4">
      <c r="A118" s="173"/>
      <c r="B118" s="215" t="s">
        <v>289</v>
      </c>
      <c r="C118" s="218">
        <f>K88</f>
        <v>0</v>
      </c>
      <c r="D118" s="218">
        <f>S88</f>
        <v>0</v>
      </c>
      <c r="E118" s="217">
        <f>AB88</f>
        <v>0</v>
      </c>
      <c r="G118" s="65" t="s">
        <v>81</v>
      </c>
      <c r="H118" s="122">
        <f>C117*gen_xl_ports</f>
        <v>12</v>
      </c>
      <c r="I118" s="122">
        <f>D117*gen_xl_ports</f>
        <v>24</v>
      </c>
      <c r="J118" s="122">
        <f>E117*gen_xl_ports</f>
        <v>40</v>
      </c>
      <c r="K118" t="s">
        <v>204</v>
      </c>
    </row>
    <row r="119" spans="1:51" ht="16" thickBot="1" x14ac:dyDescent="0.4">
      <c r="G119" s="65" t="s">
        <v>84</v>
      </c>
      <c r="H119" s="122">
        <f>C118*nas_ports</f>
        <v>0</v>
      </c>
      <c r="I119" s="122">
        <f>D118*nas_ports</f>
        <v>0</v>
      </c>
      <c r="J119" s="122">
        <f>E118*nas_ports</f>
        <v>0</v>
      </c>
      <c r="K119" t="s">
        <v>380</v>
      </c>
    </row>
    <row r="121" spans="1:51" ht="19" thickBot="1" x14ac:dyDescent="0.5">
      <c r="A121" s="34" t="s">
        <v>210</v>
      </c>
    </row>
    <row r="122" spans="1:51" ht="16" thickBot="1" x14ac:dyDescent="0.4">
      <c r="A122" t="s">
        <v>211</v>
      </c>
      <c r="G122" s="578"/>
      <c r="H122" s="73" t="s">
        <v>213</v>
      </c>
      <c r="I122" s="163"/>
      <c r="J122" s="164"/>
      <c r="L122" s="578"/>
      <c r="M122" s="71" t="s">
        <v>98</v>
      </c>
      <c r="N122" s="72"/>
      <c r="O122" s="73"/>
      <c r="P122" s="71" t="s">
        <v>89</v>
      </c>
      <c r="Q122" s="72"/>
      <c r="R122" s="73"/>
      <c r="S122" s="71" t="s">
        <v>212</v>
      </c>
      <c r="T122" s="72"/>
      <c r="U122" s="72"/>
      <c r="V122" s="71" t="s">
        <v>224</v>
      </c>
      <c r="W122" s="72"/>
      <c r="X122" s="73"/>
      <c r="Z122" s="71" t="s">
        <v>45</v>
      </c>
      <c r="AA122" s="72"/>
      <c r="AB122" s="72"/>
      <c r="AC122" s="72"/>
      <c r="AD122" s="72"/>
      <c r="AE122" s="73"/>
      <c r="AG122" s="71" t="s">
        <v>46</v>
      </c>
      <c r="AH122" s="72"/>
      <c r="AI122" s="72"/>
      <c r="AJ122" s="72"/>
      <c r="AK122" s="72"/>
      <c r="AL122" s="73"/>
      <c r="AN122" s="71" t="s">
        <v>47</v>
      </c>
      <c r="AO122" s="72"/>
      <c r="AP122" s="72"/>
      <c r="AQ122" s="72"/>
      <c r="AR122" s="72"/>
      <c r="AS122" s="73"/>
      <c r="AU122" s="71" t="s">
        <v>69</v>
      </c>
      <c r="AV122" s="72"/>
      <c r="AW122" s="72"/>
      <c r="AX122" s="72"/>
      <c r="AY122" s="73"/>
    </row>
    <row r="123" spans="1:51" ht="31.5" thickBot="1" x14ac:dyDescent="0.4">
      <c r="A123" t="s">
        <v>207</v>
      </c>
      <c r="G123" s="583"/>
      <c r="H123" s="123" t="s">
        <v>45</v>
      </c>
      <c r="I123" s="161" t="s">
        <v>46</v>
      </c>
      <c r="J123" s="162" t="s">
        <v>47</v>
      </c>
      <c r="L123" s="579"/>
      <c r="M123" s="201" t="s">
        <v>45</v>
      </c>
      <c r="N123" s="139" t="s">
        <v>46</v>
      </c>
      <c r="O123" s="140" t="s">
        <v>47</v>
      </c>
      <c r="P123" s="109" t="s">
        <v>45</v>
      </c>
      <c r="Q123" s="72" t="s">
        <v>46</v>
      </c>
      <c r="R123" s="73" t="s">
        <v>47</v>
      </c>
      <c r="S123" s="109" t="s">
        <v>45</v>
      </c>
      <c r="T123" s="72" t="s">
        <v>46</v>
      </c>
      <c r="U123" s="72" t="s">
        <v>47</v>
      </c>
      <c r="V123" s="109" t="s">
        <v>45</v>
      </c>
      <c r="W123" s="72" t="s">
        <v>46</v>
      </c>
      <c r="X123" s="73" t="s">
        <v>47</v>
      </c>
      <c r="Z123" s="109" t="s">
        <v>156</v>
      </c>
      <c r="AA123" s="110" t="s">
        <v>78</v>
      </c>
      <c r="AB123" s="110" t="s">
        <v>52</v>
      </c>
      <c r="AC123" s="114" t="s">
        <v>223</v>
      </c>
      <c r="AD123" s="114" t="s">
        <v>54</v>
      </c>
      <c r="AE123" s="123" t="s">
        <v>88</v>
      </c>
      <c r="AG123" s="109" t="s">
        <v>156</v>
      </c>
      <c r="AH123" s="110" t="s">
        <v>78</v>
      </c>
      <c r="AI123" s="110" t="s">
        <v>52</v>
      </c>
      <c r="AJ123" s="114" t="s">
        <v>223</v>
      </c>
      <c r="AK123" s="114" t="s">
        <v>54</v>
      </c>
      <c r="AL123" s="123" t="s">
        <v>88</v>
      </c>
      <c r="AN123" s="109" t="s">
        <v>156</v>
      </c>
      <c r="AO123" s="110" t="s">
        <v>78</v>
      </c>
      <c r="AP123" s="110" t="s">
        <v>52</v>
      </c>
      <c r="AQ123" s="114" t="s">
        <v>223</v>
      </c>
      <c r="AR123" s="114" t="s">
        <v>54</v>
      </c>
      <c r="AS123" s="123" t="s">
        <v>88</v>
      </c>
      <c r="AU123" s="64"/>
      <c r="AV123" s="199" t="s">
        <v>45</v>
      </c>
      <c r="AW123" s="200" t="s">
        <v>46</v>
      </c>
      <c r="AX123" s="53" t="s">
        <v>47</v>
      </c>
      <c r="AY123" s="197" t="s">
        <v>70</v>
      </c>
    </row>
    <row r="124" spans="1:51" ht="17" customHeight="1" thickBot="1" x14ac:dyDescent="0.4">
      <c r="A124" s="580" t="s">
        <v>208</v>
      </c>
      <c r="B124" s="580"/>
      <c r="C124" s="580"/>
      <c r="D124" s="580"/>
      <c r="E124" s="580"/>
      <c r="G124" s="47" t="s">
        <v>81</v>
      </c>
      <c r="H124" s="121">
        <f>H118</f>
        <v>12</v>
      </c>
      <c r="I124" s="121">
        <f t="shared" ref="I124:J124" si="12">I118</f>
        <v>24</v>
      </c>
      <c r="J124" s="121">
        <f t="shared" si="12"/>
        <v>40</v>
      </c>
      <c r="L124" s="160" t="s">
        <v>81</v>
      </c>
      <c r="M124" s="174">
        <f>ROUNDUP(H124/gig_ports,0)</f>
        <v>2</v>
      </c>
      <c r="N124" s="4">
        <f>ROUNDUP(I124/gig_ports,0)</f>
        <v>3</v>
      </c>
      <c r="O124" s="51">
        <f>ROUNDUP(J124/gig_ports,0)</f>
        <v>5</v>
      </c>
      <c r="P124" s="174">
        <f>ROUNDUP(M124/22,0)</f>
        <v>1</v>
      </c>
      <c r="Q124" s="4">
        <f>ROUNDUP(N124/22,0)</f>
        <v>1</v>
      </c>
      <c r="R124" s="51">
        <f>ROUNDUP(O124/22,0)</f>
        <v>1</v>
      </c>
      <c r="S124" s="176"/>
      <c r="T124" s="176"/>
      <c r="U124" s="176"/>
      <c r="V124" s="174">
        <f>ROUNDUP(M124*gig_pwr*24*365,0)</f>
        <v>947</v>
      </c>
      <c r="W124" s="4">
        <f>ROUNDUP(N124*gig_pwr*24*365,0)</f>
        <v>1420</v>
      </c>
      <c r="X124" s="51">
        <f>ROUNDUP(O124*gig_pwr*24*365,0)</f>
        <v>2366</v>
      </c>
      <c r="Z124" s="44">
        <f>M124*gig_cost+M125*oc48_cost+(M126+M127)*oc192_cost</f>
        <v>39000</v>
      </c>
      <c r="AA124" s="50">
        <f>P128*shelf_cost</f>
        <v>10000</v>
      </c>
      <c r="AB124" s="50">
        <f>S128*rack_cost</f>
        <v>5000</v>
      </c>
      <c r="AC124" s="50">
        <f>ROUNDUP(V128*s_pwr,0)</f>
        <v>383</v>
      </c>
      <c r="AD124" s="50">
        <v>0</v>
      </c>
      <c r="AE124" s="165">
        <f>SUM(Z124:AD124)</f>
        <v>54383</v>
      </c>
      <c r="AG124" s="44">
        <f>N124*gig_cost+N125*oc48_cost+(N126+N127)*oc192_cost-Z124</f>
        <v>10000</v>
      </c>
      <c r="AH124" s="50">
        <f>Q128*shelf_cost-AA124</f>
        <v>0</v>
      </c>
      <c r="AI124" s="50">
        <f>T128*rack_cost-AB124</f>
        <v>0</v>
      </c>
      <c r="AJ124" s="50">
        <f>ROUNDUP(W128*s_pwr,0)</f>
        <v>475</v>
      </c>
      <c r="AK124" s="50">
        <f>ROUND(hw_supt*SUM(Z124,AA124),0)</f>
        <v>9800</v>
      </c>
      <c r="AL124" s="165">
        <f>SUM(AG124:AK124)</f>
        <v>20275</v>
      </c>
      <c r="AN124" s="44">
        <f>O124*gig_cost+O125*oc48_cost+(O126+O127)*oc192_cost-AG124-Z124</f>
        <v>15000</v>
      </c>
      <c r="AO124" s="50">
        <f>R128*shelf_cost-AH124-AA124</f>
        <v>0</v>
      </c>
      <c r="AP124" s="50">
        <f>U128*rack_cost-AI124-AB124</f>
        <v>0</v>
      </c>
      <c r="AQ124" s="50">
        <f>ROUNDUP(X128*s_pwr,0)</f>
        <v>593</v>
      </c>
      <c r="AR124" s="50">
        <f>ROUND(hw_supt*SUM(Z124,AG124,AA124,AH124),0)</f>
        <v>11800</v>
      </c>
      <c r="AS124" s="165">
        <f>SUM(AN124:AR124)</f>
        <v>27393</v>
      </c>
      <c r="AU124" s="173" t="s">
        <v>82</v>
      </c>
      <c r="AV124" s="186">
        <f>AE124</f>
        <v>54383</v>
      </c>
      <c r="AW124" s="187">
        <f>AL124</f>
        <v>20275</v>
      </c>
      <c r="AX124" s="188">
        <f>AS124</f>
        <v>27393</v>
      </c>
      <c r="AY124" s="189">
        <f>SUM(AV124:AX124)</f>
        <v>102051</v>
      </c>
    </row>
    <row r="125" spans="1:51" x14ac:dyDescent="0.35">
      <c r="A125" s="580"/>
      <c r="B125" s="580"/>
      <c r="C125" s="580"/>
      <c r="D125" s="580"/>
      <c r="E125" s="580"/>
      <c r="G125" s="47" t="s">
        <v>83</v>
      </c>
      <c r="H125" s="121">
        <f>H107</f>
        <v>4.5</v>
      </c>
      <c r="I125" s="121">
        <f t="shared" ref="I125:J125" si="13">I107</f>
        <v>10.5</v>
      </c>
      <c r="J125" s="121">
        <f t="shared" si="13"/>
        <v>18</v>
      </c>
      <c r="L125" s="160" t="s">
        <v>83</v>
      </c>
      <c r="M125" s="174">
        <f>ROUNDUP(H125/oc48_ports,0)</f>
        <v>1</v>
      </c>
      <c r="N125" s="4">
        <f>ROUNDUP(I125/oc48_ports,0)</f>
        <v>2</v>
      </c>
      <c r="O125" s="51">
        <f>ROUNDUP(J125/oc48_ports,0)</f>
        <v>3</v>
      </c>
      <c r="P125" s="174">
        <f>ROUNDUP(M125/6,0)</f>
        <v>1</v>
      </c>
      <c r="Q125" s="4">
        <f>ROUNDUP(N125/6,0)</f>
        <v>1</v>
      </c>
      <c r="R125" s="51">
        <f>ROUNDUP(O125/6,0)</f>
        <v>1</v>
      </c>
      <c r="S125" s="176"/>
      <c r="T125" s="176"/>
      <c r="U125" s="176"/>
      <c r="V125" s="174">
        <f>ROUNDUP(M125*oc48_pwr*24*365,0)</f>
        <v>1183</v>
      </c>
      <c r="W125" s="4">
        <f>ROUNDUP(N125*oc48_pwr*24*365,0)</f>
        <v>2366</v>
      </c>
      <c r="X125" s="51">
        <f>ROUNDUP(O125*oc48_pwr*24*365,0)</f>
        <v>3548</v>
      </c>
      <c r="AU125" s="160" t="s">
        <v>219</v>
      </c>
      <c r="AV125" s="174">
        <f>M128</f>
        <v>5</v>
      </c>
      <c r="AW125" s="4">
        <f>N128-M128</f>
        <v>2</v>
      </c>
      <c r="AX125" s="51">
        <f>O128-N128</f>
        <v>3</v>
      </c>
      <c r="AY125" s="121">
        <f>SUM(AV125:AX125)</f>
        <v>10</v>
      </c>
    </row>
    <row r="126" spans="1:51" ht="16" thickBot="1" x14ac:dyDescent="0.4">
      <c r="A126" s="580"/>
      <c r="B126" s="580"/>
      <c r="C126" s="580"/>
      <c r="D126" s="580"/>
      <c r="E126" s="580"/>
      <c r="G126" s="47" t="s">
        <v>84</v>
      </c>
      <c r="H126" s="121">
        <f>H119</f>
        <v>0</v>
      </c>
      <c r="I126" s="121">
        <f t="shared" ref="I126:J126" si="14">I119</f>
        <v>0</v>
      </c>
      <c r="J126" s="121">
        <f t="shared" si="14"/>
        <v>0</v>
      </c>
      <c r="L126" s="160" t="s">
        <v>290</v>
      </c>
      <c r="M126" s="174">
        <f>ROUNDUP(H126/oc192_ports,0)</f>
        <v>0</v>
      </c>
      <c r="N126" s="4">
        <f>ROUNDUP(I126/oc192_ports,0)</f>
        <v>0</v>
      </c>
      <c r="O126" s="51">
        <f>ROUNDUP(J126/oc192_ports,0)</f>
        <v>0</v>
      </c>
      <c r="P126" s="174">
        <f>ROUNDUP(M126/2,0)</f>
        <v>0</v>
      </c>
      <c r="Q126" s="4">
        <f t="shared" ref="Q126:R126" si="15">ROUNDUP(N126/4,0)</f>
        <v>0</v>
      </c>
      <c r="R126" s="51">
        <f t="shared" si="15"/>
        <v>0</v>
      </c>
      <c r="S126" s="176"/>
      <c r="T126" s="176"/>
      <c r="U126" s="176"/>
      <c r="V126" s="174">
        <f t="shared" ref="V126:X127" si="16">ROUNDUP(M126*oc192_pwr*24*365,0)</f>
        <v>0</v>
      </c>
      <c r="W126" s="4">
        <f t="shared" si="16"/>
        <v>0</v>
      </c>
      <c r="X126" s="51">
        <f t="shared" si="16"/>
        <v>0</v>
      </c>
      <c r="AU126" s="160" t="s">
        <v>220</v>
      </c>
      <c r="AV126" s="174">
        <f>P128</f>
        <v>1</v>
      </c>
      <c r="AW126" s="4">
        <f>Q128-P128</f>
        <v>0</v>
      </c>
      <c r="AX126" s="51">
        <f>R128-Q128</f>
        <v>0</v>
      </c>
      <c r="AY126" s="121">
        <f t="shared" ref="AY126:AY128" si="17">SUM(AV126:AX126)</f>
        <v>1</v>
      </c>
    </row>
    <row r="127" spans="1:51" ht="16" thickBot="1" x14ac:dyDescent="0.4">
      <c r="G127" s="71" t="s">
        <v>75</v>
      </c>
      <c r="H127" s="172">
        <f>SUM(H124:H125)</f>
        <v>16.5</v>
      </c>
      <c r="I127" s="172">
        <f t="shared" ref="I127:J127" si="18">SUM(I124:I125)</f>
        <v>34.5</v>
      </c>
      <c r="J127" s="172">
        <f t="shared" si="18"/>
        <v>58</v>
      </c>
      <c r="L127" s="160" t="s">
        <v>291</v>
      </c>
      <c r="M127" s="174">
        <f>P128*2</f>
        <v>2</v>
      </c>
      <c r="N127" s="4">
        <f>Q128*2</f>
        <v>2</v>
      </c>
      <c r="O127" s="51">
        <f>R128*2</f>
        <v>2</v>
      </c>
      <c r="P127" s="183" t="s">
        <v>182</v>
      </c>
      <c r="Q127" s="184" t="s">
        <v>182</v>
      </c>
      <c r="R127" s="185" t="s">
        <v>182</v>
      </c>
      <c r="S127" s="176"/>
      <c r="T127" s="176"/>
      <c r="U127" s="176"/>
      <c r="V127" s="174">
        <f t="shared" si="16"/>
        <v>4731</v>
      </c>
      <c r="W127" s="4">
        <f t="shared" si="16"/>
        <v>4731</v>
      </c>
      <c r="X127" s="51">
        <f t="shared" si="16"/>
        <v>4731</v>
      </c>
      <c r="AU127" s="160" t="s">
        <v>218</v>
      </c>
      <c r="AV127" s="174">
        <f>S128</f>
        <v>1</v>
      </c>
      <c r="AW127" s="4">
        <f>T128-S128</f>
        <v>0</v>
      </c>
      <c r="AX127" s="51">
        <f>U128-T128</f>
        <v>0</v>
      </c>
      <c r="AY127" s="121">
        <f t="shared" si="17"/>
        <v>1</v>
      </c>
    </row>
    <row r="128" spans="1:51" ht="16" thickBot="1" x14ac:dyDescent="0.4">
      <c r="L128" s="173" t="s">
        <v>75</v>
      </c>
      <c r="M128" s="175">
        <f>SUM(M124:M127)</f>
        <v>5</v>
      </c>
      <c r="N128" s="170">
        <f>SUM(N124:N127)</f>
        <v>7</v>
      </c>
      <c r="O128" s="171">
        <f>SUM(O124:O127)</f>
        <v>10</v>
      </c>
      <c r="P128" s="175">
        <f>MAX(P124:P127)</f>
        <v>1</v>
      </c>
      <c r="Q128" s="170">
        <f>MAX(Q124:Q127)</f>
        <v>1</v>
      </c>
      <c r="R128" s="171">
        <f>MAX(R124:R127)</f>
        <v>1</v>
      </c>
      <c r="S128" s="175">
        <f>P128</f>
        <v>1</v>
      </c>
      <c r="T128" s="170">
        <f t="shared" ref="T128:U128" si="19">Q128</f>
        <v>1</v>
      </c>
      <c r="U128" s="170">
        <f t="shared" si="19"/>
        <v>1</v>
      </c>
      <c r="V128" s="175">
        <f>SUM(V124:V127)</f>
        <v>6861</v>
      </c>
      <c r="W128" s="170">
        <f>SUM(W124:W127)</f>
        <v>8517</v>
      </c>
      <c r="X128" s="171">
        <f>SUM(X124:X127)</f>
        <v>10645</v>
      </c>
      <c r="AU128" s="65" t="s">
        <v>216</v>
      </c>
      <c r="AV128" s="74">
        <f>V128</f>
        <v>6861</v>
      </c>
      <c r="AW128" s="45">
        <f>W128</f>
        <v>8517</v>
      </c>
      <c r="AX128" s="52">
        <f>X128</f>
        <v>10645</v>
      </c>
      <c r="AY128" s="122">
        <f t="shared" si="17"/>
        <v>26023</v>
      </c>
    </row>
    <row r="130" spans="1:91" x14ac:dyDescent="0.3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</row>
    <row r="132" spans="1:91" ht="18.5" x14ac:dyDescent="0.45">
      <c r="A132" s="55" t="s">
        <v>92</v>
      </c>
    </row>
    <row r="133" spans="1:91" x14ac:dyDescent="0.35">
      <c r="A133" t="s">
        <v>273</v>
      </c>
    </row>
    <row r="134" spans="1:91" x14ac:dyDescent="0.35">
      <c r="A134" t="s">
        <v>382</v>
      </c>
    </row>
    <row r="135" spans="1:91" x14ac:dyDescent="0.35">
      <c r="A135" t="s">
        <v>266</v>
      </c>
    </row>
    <row r="137" spans="1:91" x14ac:dyDescent="0.35">
      <c r="C137" s="8" t="s">
        <v>45</v>
      </c>
      <c r="D137" s="8" t="s">
        <v>46</v>
      </c>
      <c r="E137" s="8" t="s">
        <v>47</v>
      </c>
    </row>
    <row r="138" spans="1:91" x14ac:dyDescent="0.35">
      <c r="A138" s="8" t="s">
        <v>428</v>
      </c>
      <c r="B138" s="195"/>
      <c r="C138" s="196"/>
      <c r="D138" s="196"/>
      <c r="E138" s="196"/>
    </row>
    <row r="139" spans="1:91" x14ac:dyDescent="0.35">
      <c r="A139" s="8"/>
      <c r="B139" s="202" t="s">
        <v>259</v>
      </c>
      <c r="C139" s="196"/>
      <c r="D139" s="196"/>
      <c r="E139" s="196"/>
    </row>
    <row r="140" spans="1:91" x14ac:dyDescent="0.35">
      <c r="B140" s="10" t="s">
        <v>433</v>
      </c>
      <c r="C140" s="1">
        <f>C19*rack_sf*2</f>
        <v>128</v>
      </c>
      <c r="D140" s="1">
        <f>D19*rack_sf*2</f>
        <v>192</v>
      </c>
      <c r="E140" s="1">
        <f>E19*rack_sf*2</f>
        <v>256</v>
      </c>
    </row>
    <row r="141" spans="1:91" x14ac:dyDescent="0.35">
      <c r="B141" s="10" t="s">
        <v>462</v>
      </c>
      <c r="C141" s="205">
        <f>3000*E140</f>
        <v>768000</v>
      </c>
      <c r="D141" s="205">
        <f>25%*C141</f>
        <v>192000</v>
      </c>
      <c r="E141" s="205">
        <f>25%*C141</f>
        <v>192000</v>
      </c>
    </row>
    <row r="142" spans="1:91" x14ac:dyDescent="0.35">
      <c r="B142" s="10" t="s">
        <v>252</v>
      </c>
      <c r="C142" s="205">
        <f>C158*23801/2*50%</f>
        <v>11627.100956050228</v>
      </c>
      <c r="D142" s="205">
        <f t="shared" ref="D142:E142" si="20">D158*23801/2*50%</f>
        <v>18834.816745148401</v>
      </c>
      <c r="E142" s="205">
        <f t="shared" si="20"/>
        <v>28376.613192066212</v>
      </c>
    </row>
    <row r="143" spans="1:91" x14ac:dyDescent="0.35">
      <c r="B143" s="10" t="s">
        <v>253</v>
      </c>
      <c r="C143" s="205">
        <f>C140/2*262*50%</f>
        <v>8384</v>
      </c>
      <c r="D143" s="205">
        <f>(D140-C140)/2*262*50%</f>
        <v>4192</v>
      </c>
      <c r="E143" s="205">
        <f>(E140-D140)/2*262*50%</f>
        <v>4192</v>
      </c>
    </row>
    <row r="144" spans="1:91" x14ac:dyDescent="0.35">
      <c r="B144" s="10" t="s">
        <v>262</v>
      </c>
      <c r="C144" s="481"/>
      <c r="D144" s="482"/>
      <c r="E144" s="482"/>
    </row>
    <row r="145" spans="1:5" x14ac:dyDescent="0.35">
      <c r="B145" s="10" t="s">
        <v>263</v>
      </c>
      <c r="C145" s="205">
        <f>5%*SUM(C141:C143)</f>
        <v>39400.555047802511</v>
      </c>
      <c r="D145" s="205">
        <f t="shared" ref="D145:E145" si="21">5%*SUM(D142:D143)</f>
        <v>1151.3408372574202</v>
      </c>
      <c r="E145" s="205">
        <f t="shared" si="21"/>
        <v>1628.4306596033107</v>
      </c>
    </row>
    <row r="146" spans="1:5" x14ac:dyDescent="0.35">
      <c r="B146" s="10" t="s">
        <v>264</v>
      </c>
      <c r="C146" s="2"/>
    </row>
    <row r="147" spans="1:5" x14ac:dyDescent="0.35">
      <c r="B147" s="31" t="s">
        <v>231</v>
      </c>
      <c r="C147" s="4">
        <f>H107</f>
        <v>4.5</v>
      </c>
      <c r="D147" s="4">
        <f>I107-H107</f>
        <v>6</v>
      </c>
      <c r="E147" s="4">
        <f>J107-I107</f>
        <v>7.5</v>
      </c>
    </row>
    <row r="148" spans="1:5" x14ac:dyDescent="0.35">
      <c r="B148" s="31" t="s">
        <v>226</v>
      </c>
      <c r="C148" s="4">
        <f>ROUNDUP(C147/144,0)</f>
        <v>1</v>
      </c>
      <c r="D148" s="4">
        <f t="shared" ref="D148:E148" si="22">ROUNDUP(D147/144,0)</f>
        <v>1</v>
      </c>
      <c r="E148" s="4">
        <f t="shared" si="22"/>
        <v>1</v>
      </c>
    </row>
    <row r="149" spans="1:5" x14ac:dyDescent="0.35">
      <c r="B149" s="31" t="s">
        <v>228</v>
      </c>
      <c r="C149" s="1">
        <f>C148*fiber_run*110%</f>
        <v>5808.0000000000009</v>
      </c>
      <c r="D149" s="1">
        <f>D148*fiber_run*110%</f>
        <v>5808.0000000000009</v>
      </c>
      <c r="E149" s="1">
        <f>E148*fiber_run*110%</f>
        <v>5808.0000000000009</v>
      </c>
    </row>
    <row r="150" spans="1:5" x14ac:dyDescent="0.35">
      <c r="B150" s="31" t="s">
        <v>229</v>
      </c>
      <c r="C150" s="59">
        <f>C149*fiber_cost</f>
        <v>11441.760000000002</v>
      </c>
      <c r="D150" s="59">
        <f>D149*fiber_cost</f>
        <v>11441.760000000002</v>
      </c>
      <c r="E150" s="59">
        <f>E149*fiber_cost</f>
        <v>11441.760000000002</v>
      </c>
    </row>
    <row r="151" spans="1:5" x14ac:dyDescent="0.35">
      <c r="B151" s="31" t="s">
        <v>232</v>
      </c>
      <c r="C151" s="59">
        <f>20000*C148</f>
        <v>20000</v>
      </c>
      <c r="D151" s="59">
        <f t="shared" ref="D151:E151" si="23">20000*D148</f>
        <v>20000</v>
      </c>
      <c r="E151" s="59">
        <f t="shared" si="23"/>
        <v>20000</v>
      </c>
    </row>
    <row r="152" spans="1:5" x14ac:dyDescent="0.35">
      <c r="B152" s="31" t="s">
        <v>233</v>
      </c>
      <c r="C152" s="43">
        <f>SUM(C150:C151)</f>
        <v>31441.760000000002</v>
      </c>
      <c r="D152" s="43">
        <f t="shared" ref="D152:E152" si="24">SUM(D150:D151)</f>
        <v>31441.760000000002</v>
      </c>
      <c r="E152" s="43">
        <f t="shared" si="24"/>
        <v>31441.760000000002</v>
      </c>
    </row>
    <row r="153" spans="1:5" x14ac:dyDescent="0.35">
      <c r="B153" s="209" t="s">
        <v>271</v>
      </c>
      <c r="C153" s="210">
        <f>C140/2*65</f>
        <v>4160</v>
      </c>
      <c r="D153" s="210">
        <f>(D140-C140)/2*65</f>
        <v>2080</v>
      </c>
      <c r="E153" s="210">
        <f>(E140-D140)/2*65</f>
        <v>2080</v>
      </c>
    </row>
    <row r="154" spans="1:5" x14ac:dyDescent="0.35">
      <c r="B154" s="10" t="s">
        <v>265</v>
      </c>
      <c r="C154" s="43">
        <v>0</v>
      </c>
      <c r="D154" s="19">
        <v>0</v>
      </c>
      <c r="E154" s="19">
        <v>0</v>
      </c>
    </row>
    <row r="155" spans="1:5" x14ac:dyDescent="0.35">
      <c r="B155" s="18" t="s">
        <v>269</v>
      </c>
      <c r="C155" s="196">
        <f>SUM(C141:C145,C152,C153,C154)</f>
        <v>863013.41600385273</v>
      </c>
      <c r="D155" s="196">
        <f t="shared" ref="D155:E155" si="25">SUM(D141:D145,D152,D153,D154)</f>
        <v>249699.91758240582</v>
      </c>
      <c r="E155" s="196">
        <f t="shared" si="25"/>
        <v>259718.80385166951</v>
      </c>
    </row>
    <row r="156" spans="1:5" x14ac:dyDescent="0.35">
      <c r="A156" s="8" t="s">
        <v>432</v>
      </c>
      <c r="B156" s="20"/>
      <c r="C156" s="196"/>
      <c r="D156" s="204"/>
      <c r="E156" s="204"/>
    </row>
    <row r="157" spans="1:5" x14ac:dyDescent="0.35">
      <c r="B157" t="s">
        <v>254</v>
      </c>
      <c r="C157" s="19"/>
      <c r="D157" s="19"/>
      <c r="E157" s="19"/>
    </row>
    <row r="158" spans="1:5" x14ac:dyDescent="0.35">
      <c r="A158" s="8"/>
      <c r="B158" s="191" t="s">
        <v>261</v>
      </c>
      <c r="C158" s="21">
        <f>C161/24/365</f>
        <v>1.9540525114155249</v>
      </c>
      <c r="D158" s="21">
        <f t="shared" ref="D158:E158" si="26">D161/24/365</f>
        <v>3.1653824200913241</v>
      </c>
      <c r="E158" s="21">
        <f t="shared" si="26"/>
        <v>4.7689783105022832</v>
      </c>
    </row>
    <row r="159" spans="1:5" x14ac:dyDescent="0.35">
      <c r="B159" s="191" t="s">
        <v>257</v>
      </c>
      <c r="C159" s="1">
        <f>(BH90+AV128)</f>
        <v>13694</v>
      </c>
      <c r="D159" s="1">
        <f>(BI90+AW128)</f>
        <v>22183</v>
      </c>
      <c r="E159" s="1">
        <f>(BJ90+AX128)</f>
        <v>33421</v>
      </c>
    </row>
    <row r="160" spans="1:5" x14ac:dyDescent="0.35">
      <c r="B160" s="191" t="s">
        <v>258</v>
      </c>
      <c r="C160" s="1">
        <f>25%*C159</f>
        <v>3423.5</v>
      </c>
      <c r="D160" s="1">
        <f t="shared" ref="D160:E160" si="27">25%*D159</f>
        <v>5545.75</v>
      </c>
      <c r="E160" s="1">
        <f t="shared" si="27"/>
        <v>8355.25</v>
      </c>
    </row>
    <row r="161" spans="1:5" x14ac:dyDescent="0.35">
      <c r="B161" s="191" t="s">
        <v>256</v>
      </c>
      <c r="C161" s="1">
        <f>SUM(C159:C160)</f>
        <v>17117.5</v>
      </c>
      <c r="D161" s="1">
        <f t="shared" ref="D161:E161" si="28">SUM(D159:D160)</f>
        <v>27728.75</v>
      </c>
      <c r="E161" s="1">
        <f t="shared" si="28"/>
        <v>41776.25</v>
      </c>
    </row>
    <row r="162" spans="1:5" x14ac:dyDescent="0.35">
      <c r="B162" s="191" t="s">
        <v>267</v>
      </c>
      <c r="C162" s="205">
        <f>C161*s_pwr</f>
        <v>953.44475</v>
      </c>
      <c r="D162" s="205">
        <f>D161*s_pwr</f>
        <v>1544.4913750000001</v>
      </c>
      <c r="E162" s="205">
        <f>E161*s_pwr</f>
        <v>2326.9371249999999</v>
      </c>
    </row>
    <row r="163" spans="1:5" x14ac:dyDescent="0.35">
      <c r="B163" s="202" t="s">
        <v>268</v>
      </c>
      <c r="C163" s="205">
        <f>C105/2*1000*s_it*12</f>
        <v>13280.859899999999</v>
      </c>
      <c r="D163" s="205">
        <f>D105/2*1000*s_it*12</f>
        <v>31471.704000000005</v>
      </c>
      <c r="E163" s="205">
        <f>E105/2*1000*s_it*12</f>
        <v>55951.909199999995</v>
      </c>
    </row>
    <row r="164" spans="1:5" x14ac:dyDescent="0.35">
      <c r="B164" s="202" t="s">
        <v>275</v>
      </c>
      <c r="C164" s="205">
        <v>0</v>
      </c>
      <c r="D164" s="205">
        <f>AR87+AK124</f>
        <v>11210</v>
      </c>
      <c r="E164" s="205">
        <f>SUM(AY87,AR124)</f>
        <v>14648.2</v>
      </c>
    </row>
    <row r="165" spans="1:5" x14ac:dyDescent="0.35">
      <c r="B165" s="202" t="s">
        <v>247</v>
      </c>
      <c r="C165" s="59">
        <f>s_tax*SUM(C141,C142,C150,C27)</f>
        <v>21650.82242774983</v>
      </c>
      <c r="D165" s="59">
        <f>s_tax*SUM(C141,C150:D150,C142:D142,C27:D27)</f>
        <v>22976.153416332279</v>
      </c>
      <c r="E165" s="59">
        <f>s_tax*SUM(C141,C150:E150,C142:E142,C27:E27)</f>
        <v>24734.202260763872</v>
      </c>
    </row>
    <row r="166" spans="1:5" x14ac:dyDescent="0.35">
      <c r="B166" s="18" t="s">
        <v>270</v>
      </c>
      <c r="C166" s="206">
        <f>SUM(C162,C163,C164,C165)</f>
        <v>35885.127077749828</v>
      </c>
      <c r="D166" s="206">
        <f t="shared" ref="D166:E166" si="29">SUM(D162,D163,D164,D165)</f>
        <v>67202.348791332275</v>
      </c>
      <c r="E166" s="206">
        <f t="shared" si="29"/>
        <v>97661.248585763853</v>
      </c>
    </row>
    <row r="167" spans="1:5" x14ac:dyDescent="0.35">
      <c r="A167" s="18" t="s">
        <v>248</v>
      </c>
    </row>
    <row r="168" spans="1:5" x14ac:dyDescent="0.35">
      <c r="B168" s="202" t="s">
        <v>467</v>
      </c>
      <c r="C168" s="59">
        <f>D188*1000</f>
        <v>0</v>
      </c>
      <c r="D168" s="43">
        <f>C168*1.03</f>
        <v>0</v>
      </c>
      <c r="E168" s="43">
        <f>D168*1.03</f>
        <v>0</v>
      </c>
    </row>
    <row r="169" spans="1:5" x14ac:dyDescent="0.35">
      <c r="B169" s="202" t="s">
        <v>468</v>
      </c>
      <c r="C169" s="59">
        <f>E188*1000</f>
        <v>0</v>
      </c>
      <c r="D169" s="43">
        <f t="shared" ref="D169:E173" si="30">C169*1.03</f>
        <v>0</v>
      </c>
      <c r="E169" s="43">
        <f t="shared" si="30"/>
        <v>0</v>
      </c>
    </row>
    <row r="170" spans="1:5" x14ac:dyDescent="0.35">
      <c r="B170" s="202" t="s">
        <v>469</v>
      </c>
      <c r="C170" s="59">
        <f>F188*1000</f>
        <v>79370</v>
      </c>
      <c r="D170" s="43">
        <f t="shared" si="30"/>
        <v>81751.100000000006</v>
      </c>
      <c r="E170" s="43">
        <f t="shared" si="30"/>
        <v>84203.633000000002</v>
      </c>
    </row>
    <row r="171" spans="1:5" x14ac:dyDescent="0.35">
      <c r="B171" s="202" t="s">
        <v>250</v>
      </c>
      <c r="C171" s="59">
        <f>G188*1000</f>
        <v>0</v>
      </c>
      <c r="D171" s="43">
        <f t="shared" si="30"/>
        <v>0</v>
      </c>
      <c r="E171" s="43">
        <f t="shared" si="30"/>
        <v>0</v>
      </c>
    </row>
    <row r="172" spans="1:5" x14ac:dyDescent="0.35">
      <c r="B172" s="202" t="s">
        <v>249</v>
      </c>
      <c r="C172" s="59">
        <f>E189*C140</f>
        <v>0</v>
      </c>
      <c r="D172" s="43">
        <f>C172*1.03</f>
        <v>0</v>
      </c>
      <c r="E172" s="43">
        <f>D172*1.03</f>
        <v>0</v>
      </c>
    </row>
    <row r="173" spans="1:5" x14ac:dyDescent="0.35">
      <c r="B173" s="18" t="s">
        <v>251</v>
      </c>
      <c r="C173" s="206">
        <f>SUM(C168:C171)</f>
        <v>79370</v>
      </c>
      <c r="D173" s="206">
        <f t="shared" si="30"/>
        <v>81751.100000000006</v>
      </c>
      <c r="E173" s="206">
        <f t="shared" si="30"/>
        <v>84203.633000000002</v>
      </c>
    </row>
    <row r="174" spans="1:5" x14ac:dyDescent="0.35">
      <c r="A174" s="8" t="s">
        <v>272</v>
      </c>
      <c r="B174" s="519">
        <f>SUM(C174:E174)</f>
        <v>1818505.594892774</v>
      </c>
      <c r="C174" s="206">
        <f>SUM(C155,C166,C173)</f>
        <v>978268.54308160255</v>
      </c>
      <c r="D174" s="206">
        <f>SUM(D155,D166,D173)</f>
        <v>398653.36637373804</v>
      </c>
      <c r="E174" s="206">
        <f>SUM(E155,E166,E173)</f>
        <v>441583.68543743342</v>
      </c>
    </row>
    <row r="175" spans="1:5" x14ac:dyDescent="0.35">
      <c r="B175" s="195"/>
      <c r="C175" s="203"/>
      <c r="D175" s="203"/>
      <c r="E175" s="203"/>
    </row>
    <row r="176" spans="1:5" x14ac:dyDescent="0.35">
      <c r="B176" s="195"/>
      <c r="C176" s="203"/>
      <c r="D176" s="203"/>
      <c r="E176" s="203"/>
    </row>
    <row r="181" spans="2:6" x14ac:dyDescent="0.35">
      <c r="B181" t="s">
        <v>255</v>
      </c>
    </row>
    <row r="183" spans="2:6" ht="31" x14ac:dyDescent="0.35">
      <c r="D183" s="522" t="s">
        <v>465</v>
      </c>
      <c r="E183" s="523" t="s">
        <v>466</v>
      </c>
      <c r="F183" s="523" t="s">
        <v>442</v>
      </c>
    </row>
    <row r="184" spans="2:6" x14ac:dyDescent="0.35">
      <c r="B184" t="s">
        <v>235</v>
      </c>
      <c r="C184" t="s">
        <v>236</v>
      </c>
      <c r="D184" s="520">
        <f>E184*120%</f>
        <v>110.02799999999999</v>
      </c>
      <c r="E184" s="520">
        <f>s_admin/1000</f>
        <v>91.69</v>
      </c>
      <c r="F184" s="520">
        <f>s_tech/1000</f>
        <v>79.37</v>
      </c>
    </row>
    <row r="185" spans="2:6" x14ac:dyDescent="0.35">
      <c r="B185" t="s">
        <v>237</v>
      </c>
      <c r="C185" t="s">
        <v>238</v>
      </c>
      <c r="D185" s="520">
        <v>0</v>
      </c>
      <c r="E185" s="520">
        <v>0</v>
      </c>
      <c r="F185" s="520">
        <v>1</v>
      </c>
    </row>
    <row r="186" spans="2:6" x14ac:dyDescent="0.35">
      <c r="B186" t="s">
        <v>239</v>
      </c>
      <c r="C186" t="s">
        <v>238</v>
      </c>
      <c r="D186" s="520">
        <v>1</v>
      </c>
      <c r="E186" s="520">
        <v>1</v>
      </c>
      <c r="F186" s="520">
        <v>1</v>
      </c>
    </row>
    <row r="187" spans="2:6" x14ac:dyDescent="0.35">
      <c r="B187" t="s">
        <v>240</v>
      </c>
      <c r="C187" t="s">
        <v>241</v>
      </c>
      <c r="D187" s="521">
        <v>0</v>
      </c>
      <c r="E187" s="521">
        <v>0</v>
      </c>
      <c r="F187" s="521">
        <v>0</v>
      </c>
    </row>
    <row r="188" spans="2:6" x14ac:dyDescent="0.35">
      <c r="B188" t="s">
        <v>242</v>
      </c>
      <c r="C188" t="s">
        <v>236</v>
      </c>
      <c r="D188" s="520">
        <f>D185*D186*D184*(1+D187)</f>
        <v>0</v>
      </c>
      <c r="E188" s="520">
        <f>E185*E186*E184*(1+E187)</f>
        <v>0</v>
      </c>
      <c r="F188" s="520">
        <f>F185*F186*F184*(1+F187)</f>
        <v>79.37</v>
      </c>
    </row>
    <row r="189" spans="2:6" x14ac:dyDescent="0.35">
      <c r="B189" t="s">
        <v>243</v>
      </c>
      <c r="E189" s="19">
        <v>0</v>
      </c>
      <c r="F189" t="s">
        <v>244</v>
      </c>
    </row>
  </sheetData>
  <mergeCells count="9">
    <mergeCell ref="G122:G123"/>
    <mergeCell ref="L122:L123"/>
    <mergeCell ref="A124:E126"/>
    <mergeCell ref="A42:E42"/>
    <mergeCell ref="A52:E52"/>
    <mergeCell ref="A62:E62"/>
    <mergeCell ref="A72:E72"/>
    <mergeCell ref="G104:G105"/>
    <mergeCell ref="G116:G117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A2C-8144-1B4A-9B9D-D3B89E85E070}">
  <dimension ref="A1:CM189"/>
  <sheetViews>
    <sheetView topLeftCell="B1" zoomScaleNormal="100" workbookViewId="0">
      <selection activeCell="L30" sqref="L30"/>
    </sheetView>
  </sheetViews>
  <sheetFormatPr defaultColWidth="10.6640625" defaultRowHeight="15.5" x14ac:dyDescent="0.35"/>
  <cols>
    <col min="1" max="1" width="17.83203125" customWidth="1"/>
    <col min="2" max="2" width="45.83203125" bestFit="1" customWidth="1"/>
    <col min="3" max="3" width="15.33203125" bestFit="1" customWidth="1"/>
    <col min="4" max="5" width="14.33203125" bestFit="1" customWidth="1"/>
    <col min="7" max="63" width="12.5" customWidth="1"/>
    <col min="64" max="65" width="11.6640625" customWidth="1"/>
    <col min="66" max="66" width="11.5" bestFit="1" customWidth="1"/>
    <col min="67" max="68" width="11.6640625" customWidth="1"/>
    <col min="69" max="69" width="12.5" bestFit="1" customWidth="1"/>
    <col min="70" max="76" width="11.6640625" customWidth="1"/>
    <col min="77" max="77" width="11.5" customWidth="1"/>
    <col min="78" max="80" width="11.5" bestFit="1" customWidth="1"/>
    <col min="81" max="81" width="23.6640625" bestFit="1" customWidth="1"/>
    <col min="82" max="82" width="10.5" bestFit="1" customWidth="1"/>
    <col min="83" max="84" width="11.5" bestFit="1" customWidth="1"/>
    <col min="85" max="85" width="12.5" bestFit="1" customWidth="1"/>
    <col min="86" max="86" width="11.5" bestFit="1" customWidth="1"/>
    <col min="87" max="87" width="11.6640625" customWidth="1"/>
    <col min="88" max="89" width="12.5" bestFit="1" customWidth="1"/>
  </cols>
  <sheetData>
    <row r="1" spans="1:10" ht="23.5" x14ac:dyDescent="0.55000000000000004">
      <c r="A1" s="61" t="s">
        <v>384</v>
      </c>
    </row>
    <row r="3" spans="1:10" x14ac:dyDescent="0.35">
      <c r="C3" s="6"/>
      <c r="D3" s="1"/>
    </row>
    <row r="4" spans="1:10" ht="21" x14ac:dyDescent="0.5">
      <c r="A4" s="54" t="s">
        <v>41</v>
      </c>
      <c r="C4" s="6"/>
      <c r="D4" s="1"/>
    </row>
    <row r="7" spans="1:10" x14ac:dyDescent="0.35">
      <c r="A7" t="s">
        <v>325</v>
      </c>
      <c r="C7" s="6"/>
      <c r="D7" s="1"/>
    </row>
    <row r="8" spans="1:10" x14ac:dyDescent="0.35">
      <c r="A8" t="s">
        <v>324</v>
      </c>
      <c r="C8" s="6"/>
      <c r="D8" s="1"/>
    </row>
    <row r="9" spans="1:10" x14ac:dyDescent="0.35">
      <c r="A9" t="s">
        <v>102</v>
      </c>
      <c r="C9" s="6"/>
      <c r="D9" s="1"/>
    </row>
    <row r="10" spans="1:10" x14ac:dyDescent="0.35">
      <c r="A10" t="s">
        <v>103</v>
      </c>
      <c r="C10" s="6"/>
      <c r="D10" s="1"/>
    </row>
    <row r="11" spans="1:10" x14ac:dyDescent="0.35">
      <c r="A11" t="s">
        <v>74</v>
      </c>
      <c r="C11" s="6"/>
      <c r="D11" s="1"/>
    </row>
    <row r="12" spans="1:10" x14ac:dyDescent="0.35">
      <c r="C12" s="6"/>
      <c r="D12" s="1"/>
    </row>
    <row r="13" spans="1:10" ht="21" x14ac:dyDescent="0.5">
      <c r="A13" s="190" t="s">
        <v>276</v>
      </c>
    </row>
    <row r="15" spans="1:10" x14ac:dyDescent="0.35">
      <c r="A15" s="8" t="s">
        <v>221</v>
      </c>
      <c r="B15" s="211" t="s">
        <v>274</v>
      </c>
      <c r="C15" s="39" t="s">
        <v>45</v>
      </c>
      <c r="D15" s="39" t="s">
        <v>46</v>
      </c>
      <c r="E15" s="39" t="s">
        <v>47</v>
      </c>
      <c r="G15" s="39"/>
      <c r="H15" s="39"/>
      <c r="I15" s="39"/>
      <c r="J15" s="39"/>
    </row>
    <row r="16" spans="1:10" x14ac:dyDescent="0.35">
      <c r="B16" s="202" t="s">
        <v>73</v>
      </c>
      <c r="C16" s="192">
        <f>BH88</f>
        <v>210</v>
      </c>
      <c r="D16" s="192">
        <f>SUM(BH88:BI88)</f>
        <v>497</v>
      </c>
      <c r="E16" s="193">
        <f>SUM(BH88:BJ88)</f>
        <v>881</v>
      </c>
      <c r="G16" s="31"/>
      <c r="H16" s="43"/>
    </row>
    <row r="17" spans="1:5" x14ac:dyDescent="0.35">
      <c r="B17" s="202" t="s">
        <v>311</v>
      </c>
      <c r="C17" s="193">
        <f>M128</f>
        <v>178</v>
      </c>
      <c r="D17" s="193">
        <f>N128</f>
        <v>420</v>
      </c>
      <c r="E17" s="193">
        <f>O128</f>
        <v>735</v>
      </c>
    </row>
    <row r="18" spans="1:5" x14ac:dyDescent="0.35">
      <c r="B18" s="202" t="s">
        <v>312</v>
      </c>
      <c r="C18" s="193">
        <f>P128</f>
        <v>7</v>
      </c>
      <c r="D18" s="193">
        <f>Q128</f>
        <v>16</v>
      </c>
      <c r="E18" s="193">
        <f>R128</f>
        <v>27</v>
      </c>
    </row>
    <row r="19" spans="1:5" x14ac:dyDescent="0.35">
      <c r="B19" s="202" t="s">
        <v>100</v>
      </c>
      <c r="C19" s="193">
        <f>SUM(BH89,AV127)</f>
        <v>39</v>
      </c>
      <c r="D19" s="193">
        <f>SUM(BH89:BI89,AV127:AW127)</f>
        <v>93</v>
      </c>
      <c r="E19" s="193">
        <f>SUM(BH89:BJ89,AV127:AX127)</f>
        <v>163</v>
      </c>
    </row>
    <row r="20" spans="1:5" x14ac:dyDescent="0.35">
      <c r="B20" s="202"/>
      <c r="C20" s="193"/>
      <c r="D20" s="193"/>
      <c r="E20" s="193"/>
    </row>
    <row r="21" spans="1:5" ht="21" x14ac:dyDescent="0.5">
      <c r="A21" s="190" t="s">
        <v>69</v>
      </c>
      <c r="B21" s="10"/>
      <c r="C21" s="1"/>
      <c r="D21" s="1"/>
      <c r="E21" s="1"/>
    </row>
    <row r="22" spans="1:5" x14ac:dyDescent="0.35">
      <c r="B22" s="10"/>
      <c r="C22" s="1"/>
      <c r="D22" s="1"/>
      <c r="E22" s="1"/>
    </row>
    <row r="23" spans="1:5" x14ac:dyDescent="0.35">
      <c r="A23" s="8" t="s">
        <v>277</v>
      </c>
      <c r="B23" s="10"/>
      <c r="C23" s="39" t="s">
        <v>45</v>
      </c>
      <c r="D23" s="39" t="s">
        <v>46</v>
      </c>
      <c r="E23" s="39" t="s">
        <v>47</v>
      </c>
    </row>
    <row r="24" spans="1:5" x14ac:dyDescent="0.35">
      <c r="B24" s="202" t="s">
        <v>73</v>
      </c>
      <c r="C24" s="59">
        <f>AH87</f>
        <v>484100</v>
      </c>
      <c r="D24" s="59">
        <f>AO87</f>
        <v>673557</v>
      </c>
      <c r="E24" s="59">
        <f>AV87</f>
        <v>924187.32</v>
      </c>
    </row>
    <row r="25" spans="1:5" x14ac:dyDescent="0.35">
      <c r="B25" s="202" t="s">
        <v>76</v>
      </c>
      <c r="C25" s="59">
        <f>SUM(Z124:AA124)</f>
        <v>1212000</v>
      </c>
      <c r="D25" s="59">
        <f>SUM(AG124:AH124)</f>
        <v>1636000</v>
      </c>
      <c r="E25" s="59">
        <f>SUM(AN124:AO124)</f>
        <v>2077000</v>
      </c>
    </row>
    <row r="26" spans="1:5" x14ac:dyDescent="0.35">
      <c r="B26" s="202" t="s">
        <v>100</v>
      </c>
      <c r="C26" s="59">
        <f>AI87+AB124</f>
        <v>185000</v>
      </c>
      <c r="D26" s="59">
        <f>AP87+AI124</f>
        <v>250000</v>
      </c>
      <c r="E26" s="59">
        <f>AW87+AP124</f>
        <v>330000</v>
      </c>
    </row>
    <row r="27" spans="1:5" x14ac:dyDescent="0.35">
      <c r="B27" s="18" t="s">
        <v>281</v>
      </c>
      <c r="C27" s="196">
        <f>SUM(C24:C26)</f>
        <v>1881100</v>
      </c>
      <c r="D27" s="196">
        <f t="shared" ref="D27:E27" si="0">SUM(D24:D26)</f>
        <v>2559557</v>
      </c>
      <c r="E27" s="196">
        <f t="shared" si="0"/>
        <v>3331187.32</v>
      </c>
    </row>
    <row r="28" spans="1:5" x14ac:dyDescent="0.35">
      <c r="A28" s="8" t="s">
        <v>278</v>
      </c>
      <c r="B28" s="10"/>
      <c r="C28" s="1"/>
      <c r="D28" s="1"/>
      <c r="E28" s="1"/>
    </row>
    <row r="29" spans="1:5" x14ac:dyDescent="0.35">
      <c r="A29" s="8"/>
      <c r="B29" s="202" t="s">
        <v>216</v>
      </c>
      <c r="C29" s="59">
        <f>C162</f>
        <v>81268.453200000004</v>
      </c>
      <c r="D29" s="59">
        <f>D162</f>
        <v>192445.46415000001</v>
      </c>
      <c r="E29" s="59">
        <f>E162</f>
        <v>336990.48810000002</v>
      </c>
    </row>
    <row r="30" spans="1:5" x14ac:dyDescent="0.35">
      <c r="B30" s="202" t="s">
        <v>101</v>
      </c>
      <c r="C30" s="59">
        <f>C173</f>
        <v>404428</v>
      </c>
      <c r="D30" s="59">
        <f>D173</f>
        <v>416560.84</v>
      </c>
      <c r="E30" s="59">
        <f>E173</f>
        <v>429057.66520000005</v>
      </c>
    </row>
    <row r="31" spans="1:5" x14ac:dyDescent="0.35">
      <c r="B31" t="s">
        <v>428</v>
      </c>
      <c r="C31" s="59">
        <f>C155</f>
        <v>1379309.0586472601</v>
      </c>
      <c r="D31" s="59">
        <f>D155</f>
        <v>1993415.8990903255</v>
      </c>
      <c r="E31" s="59">
        <f>E155</f>
        <v>2405032.8433797089</v>
      </c>
    </row>
    <row r="32" spans="1:5" x14ac:dyDescent="0.35">
      <c r="B32" t="s">
        <v>310</v>
      </c>
      <c r="C32" s="59">
        <f>SUM(C163:C165)</f>
        <v>674721.47235872876</v>
      </c>
      <c r="D32" s="59">
        <f>SUM(D163:D165)</f>
        <v>1937492.7722342394</v>
      </c>
      <c r="E32" s="59">
        <f>SUM(E163:E165)</f>
        <v>3639116.8817296238</v>
      </c>
    </row>
    <row r="33" spans="1:91" x14ac:dyDescent="0.35">
      <c r="B33" s="8" t="s">
        <v>280</v>
      </c>
      <c r="C33" s="196">
        <f>SUM(C29:C32)</f>
        <v>2539726.9842059887</v>
      </c>
      <c r="D33" s="196">
        <f>SUM(D29:D32)</f>
        <v>4539914.9754745653</v>
      </c>
      <c r="E33" s="196">
        <f>SUM(E29:E32)</f>
        <v>6810197.8784093335</v>
      </c>
    </row>
    <row r="34" spans="1:91" x14ac:dyDescent="0.35">
      <c r="A34" s="208" t="s">
        <v>279</v>
      </c>
      <c r="B34" s="213">
        <f>SUM(C34:E34)</f>
        <v>21661684.158089887</v>
      </c>
      <c r="C34" s="207">
        <f>SUM(C27,C33)</f>
        <v>4420826.9842059892</v>
      </c>
      <c r="D34" s="207">
        <f>SUM(D27,D33)</f>
        <v>7099471.9754745653</v>
      </c>
      <c r="E34" s="207">
        <f>SUM(E27,E33)</f>
        <v>10141385.198409334</v>
      </c>
    </row>
    <row r="35" spans="1:91" x14ac:dyDescent="0.35">
      <c r="C35" s="1"/>
    </row>
    <row r="36" spans="1:91" x14ac:dyDescent="0.3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</row>
    <row r="37" spans="1:91" x14ac:dyDescent="0.35">
      <c r="C37" s="1"/>
    </row>
    <row r="38" spans="1:91" ht="21" x14ac:dyDescent="0.5">
      <c r="A38" s="54" t="s">
        <v>73</v>
      </c>
      <c r="C38" s="1"/>
    </row>
    <row r="39" spans="1:91" x14ac:dyDescent="0.35">
      <c r="C39" s="1"/>
    </row>
    <row r="40" spans="1:91" ht="18.5" x14ac:dyDescent="0.45">
      <c r="A40" s="34" t="s">
        <v>301</v>
      </c>
    </row>
    <row r="42" spans="1:91" ht="34" customHeight="1" thickBot="1" x14ac:dyDescent="0.5">
      <c r="A42" s="582" t="s">
        <v>308</v>
      </c>
      <c r="B42" s="582"/>
      <c r="C42" s="582"/>
      <c r="D42" s="582"/>
      <c r="E42" s="582"/>
      <c r="G42" s="34" t="s">
        <v>214</v>
      </c>
      <c r="AG42" s="34" t="s">
        <v>215</v>
      </c>
    </row>
    <row r="43" spans="1:91" ht="51" customHeight="1" thickBot="1" x14ac:dyDescent="0.4">
      <c r="A43" s="29" t="s">
        <v>62</v>
      </c>
      <c r="B43" s="71" t="s">
        <v>151</v>
      </c>
      <c r="C43" s="72" t="s">
        <v>45</v>
      </c>
      <c r="D43" s="72" t="s">
        <v>46</v>
      </c>
      <c r="E43" s="73" t="s">
        <v>47</v>
      </c>
      <c r="G43" s="402" t="s">
        <v>45</v>
      </c>
      <c r="H43" s="178"/>
      <c r="I43" s="178"/>
      <c r="J43" s="178"/>
      <c r="K43" s="178"/>
      <c r="L43" s="178"/>
      <c r="M43" s="179"/>
      <c r="N43" s="8"/>
      <c r="O43" s="402" t="s">
        <v>46</v>
      </c>
      <c r="P43" s="178"/>
      <c r="Q43" s="178"/>
      <c r="R43" s="178"/>
      <c r="S43" s="178"/>
      <c r="T43" s="178"/>
      <c r="U43" s="178"/>
      <c r="V43" s="179"/>
      <c r="W43" s="8"/>
      <c r="X43" s="66" t="s">
        <v>47</v>
      </c>
      <c r="Y43" s="67"/>
      <c r="Z43" s="67"/>
      <c r="AA43" s="67"/>
      <c r="AB43" s="67"/>
      <c r="AC43" s="67"/>
      <c r="AD43" s="67"/>
      <c r="AE43" s="68"/>
      <c r="AF43" s="8"/>
      <c r="AG43" s="66" t="s">
        <v>45</v>
      </c>
      <c r="AH43" s="67"/>
      <c r="AI43" s="67"/>
      <c r="AJ43" s="67"/>
      <c r="AK43" s="67"/>
      <c r="AL43" s="68"/>
      <c r="AN43" s="66" t="s">
        <v>46</v>
      </c>
      <c r="AO43" s="67"/>
      <c r="AP43" s="67"/>
      <c r="AQ43" s="67"/>
      <c r="AR43" s="67"/>
      <c r="AS43" s="68"/>
      <c r="AU43" s="66" t="s">
        <v>47</v>
      </c>
      <c r="AV43" s="67"/>
      <c r="AW43" s="67"/>
      <c r="AX43" s="67"/>
      <c r="AY43" s="67"/>
      <c r="AZ43" s="68"/>
      <c r="BB43" s="105" t="s">
        <v>202</v>
      </c>
      <c r="BC43" s="105" t="s">
        <v>201</v>
      </c>
      <c r="BD43" s="13" t="s">
        <v>200</v>
      </c>
      <c r="BE43" s="105" t="s">
        <v>199</v>
      </c>
      <c r="BG43" s="71" t="s">
        <v>69</v>
      </c>
      <c r="BH43" s="72"/>
      <c r="BI43" s="72"/>
      <c r="BJ43" s="72"/>
      <c r="BK43" s="73"/>
    </row>
    <row r="44" spans="1:91" ht="35" customHeight="1" thickBot="1" x14ac:dyDescent="0.4">
      <c r="A44" s="26"/>
      <c r="B44" s="216" t="s">
        <v>43</v>
      </c>
      <c r="C44" s="391">
        <f>Storage!$E$11</f>
        <v>230400</v>
      </c>
      <c r="D44" s="391">
        <f>Storage!$E$11</f>
        <v>230400</v>
      </c>
      <c r="E44" s="392">
        <f>Storage!$E$11</f>
        <v>230400</v>
      </c>
      <c r="G44" s="123" t="s">
        <v>48</v>
      </c>
      <c r="H44" s="400" t="s">
        <v>134</v>
      </c>
      <c r="I44" s="110" t="s">
        <v>42</v>
      </c>
      <c r="J44" s="110" t="s">
        <v>29</v>
      </c>
      <c r="K44" s="114" t="s">
        <v>71</v>
      </c>
      <c r="L44" s="110" t="s">
        <v>51</v>
      </c>
      <c r="M44" s="401" t="s">
        <v>222</v>
      </c>
      <c r="N44" s="198"/>
      <c r="O44" s="123" t="s">
        <v>48</v>
      </c>
      <c r="P44" s="400" t="s">
        <v>134</v>
      </c>
      <c r="Q44" s="110" t="s">
        <v>42</v>
      </c>
      <c r="R44" s="110" t="s">
        <v>29</v>
      </c>
      <c r="S44" s="114" t="s">
        <v>95</v>
      </c>
      <c r="T44" s="114" t="s">
        <v>65</v>
      </c>
      <c r="U44" s="114" t="s">
        <v>67</v>
      </c>
      <c r="V44" s="401" t="s">
        <v>222</v>
      </c>
      <c r="W44" s="198"/>
      <c r="X44" s="123" t="s">
        <v>48</v>
      </c>
      <c r="Y44" s="400" t="s">
        <v>134</v>
      </c>
      <c r="Z44" s="110" t="s">
        <v>42</v>
      </c>
      <c r="AA44" s="110" t="s">
        <v>29</v>
      </c>
      <c r="AB44" s="114" t="s">
        <v>95</v>
      </c>
      <c r="AC44" s="114" t="s">
        <v>65</v>
      </c>
      <c r="AD44" s="114" t="s">
        <v>67</v>
      </c>
      <c r="AE44" s="401" t="s">
        <v>222</v>
      </c>
      <c r="AF44" s="198"/>
      <c r="AG44" s="268" t="s">
        <v>48</v>
      </c>
      <c r="AH44" s="201" t="s">
        <v>50</v>
      </c>
      <c r="AI44" s="265" t="s">
        <v>52</v>
      </c>
      <c r="AJ44" s="267" t="s">
        <v>223</v>
      </c>
      <c r="AK44" s="267" t="s">
        <v>54</v>
      </c>
      <c r="AL44" s="266" t="s">
        <v>88</v>
      </c>
      <c r="AN44" s="268" t="s">
        <v>48</v>
      </c>
      <c r="AO44" s="267" t="s">
        <v>66</v>
      </c>
      <c r="AP44" s="267" t="s">
        <v>68</v>
      </c>
      <c r="AQ44" s="267" t="s">
        <v>223</v>
      </c>
      <c r="AR44" s="267" t="s">
        <v>54</v>
      </c>
      <c r="AS44" s="266" t="s">
        <v>88</v>
      </c>
      <c r="AU44" s="268" t="s">
        <v>48</v>
      </c>
      <c r="AV44" s="267" t="s">
        <v>66</v>
      </c>
      <c r="AW44" s="267" t="s">
        <v>68</v>
      </c>
      <c r="AX44" s="267" t="s">
        <v>223</v>
      </c>
      <c r="AY44" s="267" t="s">
        <v>54</v>
      </c>
      <c r="AZ44" s="266" t="s">
        <v>88</v>
      </c>
      <c r="BB44" s="122">
        <f>SUM(AB45)</f>
        <v>8</v>
      </c>
      <c r="BC44" s="122">
        <f>SUM(AD45,U45,L45)</f>
        <v>5</v>
      </c>
      <c r="BD44" s="122">
        <f>SUM(AE45,V45,M45)</f>
        <v>147168</v>
      </c>
      <c r="BE44" s="166">
        <f>SUM(AL45,AS45,AZ45)</f>
        <v>1728582</v>
      </c>
      <c r="BG44" s="64"/>
      <c r="BH44" s="200" t="s">
        <v>45</v>
      </c>
      <c r="BI44" s="200" t="s">
        <v>46</v>
      </c>
      <c r="BJ44" s="200" t="s">
        <v>47</v>
      </c>
      <c r="BK44" s="197" t="s">
        <v>70</v>
      </c>
    </row>
    <row r="45" spans="1:91" ht="16" thickBot="1" x14ac:dyDescent="0.4">
      <c r="A45" s="26"/>
      <c r="B45" s="426" t="s">
        <v>134</v>
      </c>
      <c r="C45" s="21">
        <v>0</v>
      </c>
      <c r="D45" s="21">
        <v>0</v>
      </c>
      <c r="E45" s="88">
        <v>0</v>
      </c>
      <c r="G45" s="173" t="s">
        <v>285</v>
      </c>
      <c r="H45" s="49">
        <v>0</v>
      </c>
      <c r="I45" s="170">
        <f>ROUNDUP($C44/nas_disk,0)</f>
        <v>2</v>
      </c>
      <c r="J45" s="170">
        <f>ROUNDUP($C46/nas_bw,0)</f>
        <v>2</v>
      </c>
      <c r="K45" s="170">
        <f>MAX(I45:J45)</f>
        <v>2</v>
      </c>
      <c r="L45" s="170">
        <f>ROUNDUP(K45/nas_spr,0)</f>
        <v>1</v>
      </c>
      <c r="M45" s="214">
        <f>ROUND(K45*nas_pwr*24*365,0)</f>
        <v>19622</v>
      </c>
      <c r="O45" s="173" t="s">
        <v>285</v>
      </c>
      <c r="P45" s="49">
        <v>0</v>
      </c>
      <c r="Q45" s="170">
        <f>ROUNDUP($D44/nas_disk,0)</f>
        <v>2</v>
      </c>
      <c r="R45" s="170">
        <f>ROUNDUP($D46/nas_bw,0)</f>
        <v>5</v>
      </c>
      <c r="S45" s="170">
        <f>MAX(Q45:R45)</f>
        <v>5</v>
      </c>
      <c r="T45" s="45">
        <f>S45-K45</f>
        <v>3</v>
      </c>
      <c r="U45" s="45">
        <f>ROUNDUP(T45/nas_spr,0)</f>
        <v>2</v>
      </c>
      <c r="V45" s="214">
        <f>ROUND(S45*nas_pwr*24*365,0)</f>
        <v>49056</v>
      </c>
      <c r="X45" s="173" t="s">
        <v>285</v>
      </c>
      <c r="Y45" s="49">
        <v>0</v>
      </c>
      <c r="Z45" s="170">
        <f>ROUNDUP($E44/nas_disk,0)</f>
        <v>2</v>
      </c>
      <c r="AA45" s="170">
        <f>ROUNDUP($E46/nas_bw,0)</f>
        <v>8</v>
      </c>
      <c r="AB45" s="170">
        <f>MAX(Z45:AA45)</f>
        <v>8</v>
      </c>
      <c r="AC45" s="45">
        <f>AB45-S45</f>
        <v>3</v>
      </c>
      <c r="AD45" s="45">
        <f>ROUNDUP(AC45/nas_spr,0)</f>
        <v>2</v>
      </c>
      <c r="AE45" s="214">
        <f>ROUND(AB45*nas_pwr*24*365,0)</f>
        <v>78490</v>
      </c>
      <c r="AG45" s="65" t="s">
        <v>285</v>
      </c>
      <c r="AH45" s="50">
        <f>K45*nas_cost</f>
        <v>360000</v>
      </c>
      <c r="AI45" s="50">
        <f>L45*rack_cost</f>
        <v>5000</v>
      </c>
      <c r="AJ45" s="50">
        <f>ROUND(M45*w_pwr,0)</f>
        <v>1544</v>
      </c>
      <c r="AK45" s="50">
        <v>0</v>
      </c>
      <c r="AL45" s="212">
        <f>SUM(AH45,AI45,AJ45)</f>
        <v>366544</v>
      </c>
      <c r="AN45" s="65" t="s">
        <v>285</v>
      </c>
      <c r="AO45" s="50">
        <f>T45*nas_cost</f>
        <v>540000</v>
      </c>
      <c r="AP45" s="50">
        <f>U45*rack_cost</f>
        <v>10000</v>
      </c>
      <c r="AQ45" s="50">
        <f>ROUND(V45*w_pwr,0)</f>
        <v>3861</v>
      </c>
      <c r="AR45" s="50">
        <f>AH45*hw_supt</f>
        <v>72000</v>
      </c>
      <c r="AS45" s="212">
        <f>SUM(AO45,AP45,AQ45,AR45)</f>
        <v>625861</v>
      </c>
      <c r="AU45" s="65" t="s">
        <v>285</v>
      </c>
      <c r="AV45" s="50">
        <f>AC45*nas_cost</f>
        <v>540000</v>
      </c>
      <c r="AW45" s="50">
        <f>AD45*rack_cost</f>
        <v>10000</v>
      </c>
      <c r="AX45" s="50">
        <f>ROUND(AE45*w_pwr,0)</f>
        <v>6177</v>
      </c>
      <c r="AY45" s="50">
        <f>(AH45+AO45)*hw_supt</f>
        <v>180000</v>
      </c>
      <c r="AZ45" s="212">
        <f>SUM(AV45,AW45,AX45,AY45)</f>
        <v>736177</v>
      </c>
      <c r="BG45" s="173" t="s">
        <v>82</v>
      </c>
      <c r="BH45" s="177">
        <f>AL45</f>
        <v>366544</v>
      </c>
      <c r="BI45" s="177">
        <f>AS45</f>
        <v>625861</v>
      </c>
      <c r="BJ45" s="177">
        <f>AZ45</f>
        <v>736177</v>
      </c>
      <c r="BK45" s="180">
        <f>SUM(BH45:BJ45)</f>
        <v>1728582</v>
      </c>
    </row>
    <row r="46" spans="1:91" ht="16" thickBot="1" x14ac:dyDescent="0.4">
      <c r="A46" s="27"/>
      <c r="B46" s="169" t="s">
        <v>44</v>
      </c>
      <c r="C46" s="427">
        <f>Bandwidth!N5</f>
        <v>77.2704576</v>
      </c>
      <c r="D46" s="427">
        <f>Bandwidth!N6</f>
        <v>183.10809599999996</v>
      </c>
      <c r="E46" s="428">
        <f>Bandwidth!N7</f>
        <v>325.53838079999991</v>
      </c>
      <c r="BG46" s="64" t="s">
        <v>217</v>
      </c>
      <c r="BH46" s="181">
        <f>K45</f>
        <v>2</v>
      </c>
      <c r="BI46" s="181">
        <f>T45</f>
        <v>3</v>
      </c>
      <c r="BJ46" s="181">
        <f>AC45</f>
        <v>3</v>
      </c>
      <c r="BK46" s="145">
        <f>SUM(BH46:BJ46)</f>
        <v>8</v>
      </c>
    </row>
    <row r="47" spans="1:91" x14ac:dyDescent="0.35">
      <c r="BG47" s="160" t="s">
        <v>218</v>
      </c>
      <c r="BH47" s="4">
        <f>L45</f>
        <v>1</v>
      </c>
      <c r="BI47" s="4">
        <f>U45</f>
        <v>2</v>
      </c>
      <c r="BJ47" s="4">
        <f>AD45</f>
        <v>2</v>
      </c>
      <c r="BK47" s="121">
        <f t="shared" ref="BK47:BK48" si="1">SUM(BH47:BJ47)</f>
        <v>5</v>
      </c>
    </row>
    <row r="48" spans="1:91" ht="16" thickBot="1" x14ac:dyDescent="0.4">
      <c r="BG48" s="65" t="s">
        <v>216</v>
      </c>
      <c r="BH48" s="45">
        <f>M45</f>
        <v>19622</v>
      </c>
      <c r="BI48" s="45">
        <f>V45</f>
        <v>49056</v>
      </c>
      <c r="BJ48" s="45">
        <f>AE45</f>
        <v>78490</v>
      </c>
      <c r="BK48" s="122">
        <f t="shared" si="1"/>
        <v>147168</v>
      </c>
    </row>
    <row r="49" spans="1:63" x14ac:dyDescent="0.35">
      <c r="BH49" s="19"/>
    </row>
    <row r="50" spans="1:63" ht="18.5" x14ac:dyDescent="0.45">
      <c r="A50" s="34" t="s">
        <v>283</v>
      </c>
    </row>
    <row r="52" spans="1:63" ht="34" customHeight="1" thickBot="1" x14ac:dyDescent="0.4">
      <c r="A52" s="580" t="s">
        <v>302</v>
      </c>
      <c r="B52" s="580"/>
      <c r="C52" s="580"/>
      <c r="D52" s="580"/>
      <c r="E52" s="580"/>
    </row>
    <row r="53" spans="1:63" ht="51" customHeight="1" thickBot="1" x14ac:dyDescent="0.4">
      <c r="A53" s="29" t="s">
        <v>56</v>
      </c>
      <c r="B53" s="71" t="s">
        <v>151</v>
      </c>
      <c r="C53" s="72" t="s">
        <v>45</v>
      </c>
      <c r="D53" s="72" t="s">
        <v>46</v>
      </c>
      <c r="E53" s="73" t="s">
        <v>47</v>
      </c>
      <c r="G53" s="402" t="s">
        <v>45</v>
      </c>
      <c r="H53" s="178"/>
      <c r="I53" s="178"/>
      <c r="J53" s="178"/>
      <c r="K53" s="178"/>
      <c r="L53" s="178"/>
      <c r="M53" s="179"/>
      <c r="N53" s="8"/>
      <c r="O53" s="402" t="s">
        <v>46</v>
      </c>
      <c r="P53" s="178"/>
      <c r="Q53" s="178"/>
      <c r="R53" s="178"/>
      <c r="S53" s="178"/>
      <c r="T53" s="178"/>
      <c r="U53" s="178"/>
      <c r="V53" s="179"/>
      <c r="W53" s="8"/>
      <c r="X53" s="66" t="s">
        <v>47</v>
      </c>
      <c r="Y53" s="67"/>
      <c r="Z53" s="67"/>
      <c r="AA53" s="67"/>
      <c r="AB53" s="67"/>
      <c r="AC53" s="67"/>
      <c r="AD53" s="67"/>
      <c r="AE53" s="68"/>
      <c r="AF53" s="8"/>
      <c r="AG53" s="66" t="s">
        <v>45</v>
      </c>
      <c r="AH53" s="67"/>
      <c r="AI53" s="67"/>
      <c r="AJ53" s="67"/>
      <c r="AK53" s="67"/>
      <c r="AL53" s="68"/>
      <c r="AN53" s="66" t="s">
        <v>46</v>
      </c>
      <c r="AO53" s="67"/>
      <c r="AP53" s="67"/>
      <c r="AQ53" s="67"/>
      <c r="AR53" s="67"/>
      <c r="AS53" s="68"/>
      <c r="AU53" s="66" t="s">
        <v>47</v>
      </c>
      <c r="AV53" s="67"/>
      <c r="AW53" s="67"/>
      <c r="AX53" s="67"/>
      <c r="AY53" s="67"/>
      <c r="AZ53" s="68"/>
      <c r="BB53" s="105" t="s">
        <v>202</v>
      </c>
      <c r="BC53" s="105" t="s">
        <v>201</v>
      </c>
      <c r="BD53" s="13" t="s">
        <v>200</v>
      </c>
      <c r="BE53" s="105" t="s">
        <v>199</v>
      </c>
      <c r="BG53" s="71" t="s">
        <v>69</v>
      </c>
      <c r="BH53" s="72"/>
      <c r="BI53" s="72"/>
      <c r="BJ53" s="72"/>
      <c r="BK53" s="73"/>
    </row>
    <row r="54" spans="1:63" ht="35" customHeight="1" thickBot="1" x14ac:dyDescent="0.4">
      <c r="A54" s="26"/>
      <c r="B54" s="426" t="s">
        <v>43</v>
      </c>
      <c r="C54" s="391">
        <f>Storage!$E$15</f>
        <v>288000</v>
      </c>
      <c r="D54" s="391">
        <f>Storage!$E$15</f>
        <v>288000</v>
      </c>
      <c r="E54" s="392">
        <f>Storage!$E$15</f>
        <v>288000</v>
      </c>
      <c r="G54" s="123" t="s">
        <v>48</v>
      </c>
      <c r="H54" s="400" t="s">
        <v>134</v>
      </c>
      <c r="I54" s="110" t="s">
        <v>42</v>
      </c>
      <c r="J54" s="110" t="s">
        <v>29</v>
      </c>
      <c r="K54" s="114" t="s">
        <v>71</v>
      </c>
      <c r="L54" s="110" t="s">
        <v>51</v>
      </c>
      <c r="M54" s="401" t="s">
        <v>222</v>
      </c>
      <c r="N54" s="198"/>
      <c r="O54" s="123" t="s">
        <v>48</v>
      </c>
      <c r="P54" s="400" t="s">
        <v>134</v>
      </c>
      <c r="Q54" s="110" t="s">
        <v>42</v>
      </c>
      <c r="R54" s="110" t="s">
        <v>29</v>
      </c>
      <c r="S54" s="114" t="s">
        <v>95</v>
      </c>
      <c r="T54" s="114" t="s">
        <v>65</v>
      </c>
      <c r="U54" s="114" t="s">
        <v>67</v>
      </c>
      <c r="V54" s="401" t="s">
        <v>222</v>
      </c>
      <c r="W54" s="198"/>
      <c r="X54" s="123" t="s">
        <v>48</v>
      </c>
      <c r="Y54" s="400" t="s">
        <v>134</v>
      </c>
      <c r="Z54" s="110" t="s">
        <v>42</v>
      </c>
      <c r="AA54" s="110" t="s">
        <v>29</v>
      </c>
      <c r="AB54" s="114" t="s">
        <v>95</v>
      </c>
      <c r="AC54" s="114" t="s">
        <v>65</v>
      </c>
      <c r="AD54" s="114" t="s">
        <v>67</v>
      </c>
      <c r="AE54" s="401" t="s">
        <v>222</v>
      </c>
      <c r="AF54" s="198"/>
      <c r="AG54" s="268" t="s">
        <v>48</v>
      </c>
      <c r="AH54" s="201" t="s">
        <v>50</v>
      </c>
      <c r="AI54" s="265" t="s">
        <v>52</v>
      </c>
      <c r="AJ54" s="267" t="s">
        <v>223</v>
      </c>
      <c r="AK54" s="267" t="s">
        <v>54</v>
      </c>
      <c r="AL54" s="266" t="s">
        <v>88</v>
      </c>
      <c r="AN54" s="268" t="s">
        <v>48</v>
      </c>
      <c r="AO54" s="267" t="s">
        <v>66</v>
      </c>
      <c r="AP54" s="267" t="s">
        <v>68</v>
      </c>
      <c r="AQ54" s="267" t="s">
        <v>223</v>
      </c>
      <c r="AR54" s="267" t="s">
        <v>54</v>
      </c>
      <c r="AS54" s="266" t="s">
        <v>88</v>
      </c>
      <c r="AU54" s="268" t="s">
        <v>48</v>
      </c>
      <c r="AV54" s="267" t="s">
        <v>66</v>
      </c>
      <c r="AW54" s="267" t="s">
        <v>68</v>
      </c>
      <c r="AX54" s="267" t="s">
        <v>223</v>
      </c>
      <c r="AY54" s="267" t="s">
        <v>54</v>
      </c>
      <c r="AZ54" s="266" t="s">
        <v>88</v>
      </c>
      <c r="BB54" s="122">
        <f>SUM(AB55)</f>
        <v>8</v>
      </c>
      <c r="BC54" s="122">
        <f>SUM(AD55,U55,L55)</f>
        <v>5</v>
      </c>
      <c r="BD54" s="122">
        <f>SUM(AE55,V55,M55)</f>
        <v>147168</v>
      </c>
      <c r="BE54" s="166">
        <f>SUM(AL55,AS55,AZ55)</f>
        <v>1728582</v>
      </c>
      <c r="BG54" s="64"/>
      <c r="BH54" s="200" t="s">
        <v>45</v>
      </c>
      <c r="BI54" s="200" t="s">
        <v>46</v>
      </c>
      <c r="BJ54" s="200" t="s">
        <v>47</v>
      </c>
      <c r="BK54" s="197" t="s">
        <v>70</v>
      </c>
    </row>
    <row r="55" spans="1:63" ht="16" thickBot="1" x14ac:dyDescent="0.4">
      <c r="A55" s="26"/>
      <c r="B55" s="426" t="s">
        <v>134</v>
      </c>
      <c r="C55" s="432" t="s">
        <v>182</v>
      </c>
      <c r="D55" s="432" t="s">
        <v>182</v>
      </c>
      <c r="E55" s="433" t="s">
        <v>182</v>
      </c>
      <c r="G55" s="173" t="s">
        <v>285</v>
      </c>
      <c r="H55" s="49">
        <v>0</v>
      </c>
      <c r="I55" s="170">
        <f>ROUNDUP($C54/nas_disk,0)</f>
        <v>2</v>
      </c>
      <c r="J55" s="170">
        <f>ROUNDUP($C56/nas_bw,0)</f>
        <v>2</v>
      </c>
      <c r="K55" s="170">
        <f>MAX(I55:J55)</f>
        <v>2</v>
      </c>
      <c r="L55" s="170">
        <f>ROUNDUP(K55/nas_spr,0)</f>
        <v>1</v>
      </c>
      <c r="M55" s="214">
        <f>ROUND(K55*nas_pwr*24*365,0)</f>
        <v>19622</v>
      </c>
      <c r="O55" s="173" t="s">
        <v>285</v>
      </c>
      <c r="P55" s="49">
        <v>0</v>
      </c>
      <c r="Q55" s="170">
        <f>ROUNDUP($D54/nas_disk,0)</f>
        <v>2</v>
      </c>
      <c r="R55" s="170">
        <f>ROUNDUP($D56/nas_bw,0)</f>
        <v>5</v>
      </c>
      <c r="S55" s="170">
        <f>MAX(Q55:R55)</f>
        <v>5</v>
      </c>
      <c r="T55" s="45">
        <f>S55-K55</f>
        <v>3</v>
      </c>
      <c r="U55" s="45">
        <f>ROUNDUP(T55/nas_spr,0)</f>
        <v>2</v>
      </c>
      <c r="V55" s="214">
        <f>ROUND(S55*nas_pwr*24*365,0)</f>
        <v>49056</v>
      </c>
      <c r="X55" s="173" t="s">
        <v>285</v>
      </c>
      <c r="Y55" s="49">
        <v>0</v>
      </c>
      <c r="Z55" s="170">
        <f>ROUNDUP($E54/nas_disk,0)</f>
        <v>2</v>
      </c>
      <c r="AA55" s="170">
        <f>ROUNDUP($E56/nas_bw,0)</f>
        <v>8</v>
      </c>
      <c r="AB55" s="170">
        <f>MAX(Z55:AA55)</f>
        <v>8</v>
      </c>
      <c r="AC55" s="45">
        <f>AB55-S55</f>
        <v>3</v>
      </c>
      <c r="AD55" s="45">
        <f>ROUNDUP(AC55/nas_spr,0)</f>
        <v>2</v>
      </c>
      <c r="AE55" s="214">
        <f>ROUND(AB55*nas_pwr*24*365,0)</f>
        <v>78490</v>
      </c>
      <c r="AG55" s="65" t="s">
        <v>285</v>
      </c>
      <c r="AH55" s="50">
        <f>K55*nas_cost</f>
        <v>360000</v>
      </c>
      <c r="AI55" s="50">
        <f>L55*rack_cost</f>
        <v>5000</v>
      </c>
      <c r="AJ55" s="50">
        <f>ROUND(M55*w_pwr,0)</f>
        <v>1544</v>
      </c>
      <c r="AK55" s="50">
        <v>0</v>
      </c>
      <c r="AL55" s="212">
        <f>SUM(AH55,AI55,AJ55)</f>
        <v>366544</v>
      </c>
      <c r="AN55" s="65" t="s">
        <v>285</v>
      </c>
      <c r="AO55" s="28">
        <f>T55*nas_cost</f>
        <v>540000</v>
      </c>
      <c r="AP55" s="28">
        <f>U55*rack_cost</f>
        <v>10000</v>
      </c>
      <c r="AQ55" s="28">
        <f>ROUND(V55*w_pwr,0)</f>
        <v>3861</v>
      </c>
      <c r="AR55" s="28">
        <f>AH55*hw_supt</f>
        <v>72000</v>
      </c>
      <c r="AS55" s="212">
        <f>SUM(AO55,AP55,AQ55,AR55)</f>
        <v>625861</v>
      </c>
      <c r="AU55" s="65" t="s">
        <v>285</v>
      </c>
      <c r="AV55" s="28">
        <f>AC55*nas_cost</f>
        <v>540000</v>
      </c>
      <c r="AW55" s="28">
        <f>AD55*rack_cost</f>
        <v>10000</v>
      </c>
      <c r="AX55" s="28">
        <f>ROUND(AE55*w_pwr,0)</f>
        <v>6177</v>
      </c>
      <c r="AY55" s="28">
        <f>(AH55+AO55)*hw_supt</f>
        <v>180000</v>
      </c>
      <c r="AZ55" s="212">
        <f>SUM(AV55,AW55,AX55,AY55)</f>
        <v>736177</v>
      </c>
      <c r="BG55" s="173" t="s">
        <v>82</v>
      </c>
      <c r="BH55" s="177">
        <f>AL55</f>
        <v>366544</v>
      </c>
      <c r="BI55" s="177">
        <f>AS55</f>
        <v>625861</v>
      </c>
      <c r="BJ55" s="177">
        <f>AZ55</f>
        <v>736177</v>
      </c>
      <c r="BK55" s="180">
        <f>SUM(BH55:BJ55)</f>
        <v>1728582</v>
      </c>
    </row>
    <row r="56" spans="1:63" ht="17" customHeight="1" thickBot="1" x14ac:dyDescent="0.4">
      <c r="A56" s="27"/>
      <c r="B56" s="169" t="s">
        <v>44</v>
      </c>
      <c r="C56" s="427">
        <f>Bandwidth!O26</f>
        <v>80.490059999999986</v>
      </c>
      <c r="D56" s="427">
        <f>Bandwidth!O27</f>
        <v>190.73759999999999</v>
      </c>
      <c r="E56" s="428">
        <f>Bandwidth!O28</f>
        <v>339.10247999999996</v>
      </c>
      <c r="BG56" s="64" t="s">
        <v>217</v>
      </c>
      <c r="BH56" s="181">
        <f>K55</f>
        <v>2</v>
      </c>
      <c r="BI56" s="181">
        <f>T55</f>
        <v>3</v>
      </c>
      <c r="BJ56" s="181">
        <f>AC55</f>
        <v>3</v>
      </c>
      <c r="BK56" s="145">
        <f>SUM(BH56:BJ56)</f>
        <v>8</v>
      </c>
    </row>
    <row r="57" spans="1:63" x14ac:dyDescent="0.35">
      <c r="BG57" s="160" t="s">
        <v>218</v>
      </c>
      <c r="BH57" s="4">
        <f>L55</f>
        <v>1</v>
      </c>
      <c r="BI57" s="4">
        <f>U55</f>
        <v>2</v>
      </c>
      <c r="BJ57" s="4">
        <f>AD55</f>
        <v>2</v>
      </c>
      <c r="BK57" s="121">
        <f t="shared" ref="BK57:BK58" si="2">SUM(BH57:BJ57)</f>
        <v>5</v>
      </c>
    </row>
    <row r="58" spans="1:63" ht="16" thickBot="1" x14ac:dyDescent="0.4">
      <c r="BG58" s="65" t="s">
        <v>216</v>
      </c>
      <c r="BH58" s="45">
        <f>M55</f>
        <v>19622</v>
      </c>
      <c r="BI58" s="45">
        <f>V55</f>
        <v>49056</v>
      </c>
      <c r="BJ58" s="45">
        <f>AE55</f>
        <v>78490</v>
      </c>
      <c r="BK58" s="122">
        <f t="shared" si="2"/>
        <v>147168</v>
      </c>
    </row>
    <row r="60" spans="1:63" ht="18.5" x14ac:dyDescent="0.45">
      <c r="A60" s="34" t="s">
        <v>309</v>
      </c>
    </row>
    <row r="62" spans="1:63" ht="50" customHeight="1" thickBot="1" x14ac:dyDescent="0.4">
      <c r="A62" s="580" t="s">
        <v>350</v>
      </c>
      <c r="B62" s="580"/>
      <c r="C62" s="580"/>
      <c r="D62" s="580"/>
      <c r="E62" s="580"/>
    </row>
    <row r="63" spans="1:63" ht="51" customHeight="1" thickBot="1" x14ac:dyDescent="0.4">
      <c r="A63" s="29" t="s">
        <v>56</v>
      </c>
      <c r="B63" s="71" t="s">
        <v>151</v>
      </c>
      <c r="C63" s="72" t="s">
        <v>45</v>
      </c>
      <c r="D63" s="72" t="s">
        <v>46</v>
      </c>
      <c r="E63" s="73" t="s">
        <v>47</v>
      </c>
      <c r="G63" s="402" t="s">
        <v>45</v>
      </c>
      <c r="H63" s="178"/>
      <c r="I63" s="178"/>
      <c r="J63" s="178"/>
      <c r="K63" s="178"/>
      <c r="L63" s="178"/>
      <c r="M63" s="179"/>
      <c r="N63" s="8"/>
      <c r="O63" s="402" t="s">
        <v>46</v>
      </c>
      <c r="P63" s="178"/>
      <c r="Q63" s="178"/>
      <c r="R63" s="178"/>
      <c r="S63" s="178"/>
      <c r="T63" s="178"/>
      <c r="U63" s="178"/>
      <c r="V63" s="179"/>
      <c r="W63" s="8"/>
      <c r="X63" s="66" t="s">
        <v>47</v>
      </c>
      <c r="Y63" s="67"/>
      <c r="Z63" s="67"/>
      <c r="AA63" s="67"/>
      <c r="AB63" s="67"/>
      <c r="AC63" s="67"/>
      <c r="AD63" s="67"/>
      <c r="AE63" s="68"/>
      <c r="AF63" s="8"/>
      <c r="AG63" s="66" t="s">
        <v>45</v>
      </c>
      <c r="AH63" s="67"/>
      <c r="AI63" s="67"/>
      <c r="AJ63" s="67"/>
      <c r="AK63" s="67"/>
      <c r="AL63" s="68"/>
      <c r="AN63" s="66" t="s">
        <v>46</v>
      </c>
      <c r="AO63" s="67"/>
      <c r="AP63" s="67"/>
      <c r="AQ63" s="67"/>
      <c r="AR63" s="67"/>
      <c r="AS63" s="68"/>
      <c r="AU63" s="66" t="s">
        <v>47</v>
      </c>
      <c r="AV63" s="67"/>
      <c r="AW63" s="67"/>
      <c r="AX63" s="67"/>
      <c r="AY63" s="67"/>
      <c r="AZ63" s="68"/>
      <c r="BB63" s="105" t="s">
        <v>202</v>
      </c>
      <c r="BC63" s="105" t="s">
        <v>201</v>
      </c>
      <c r="BD63" s="13" t="s">
        <v>200</v>
      </c>
      <c r="BE63" s="105" t="s">
        <v>199</v>
      </c>
      <c r="BG63" s="71" t="s">
        <v>69</v>
      </c>
      <c r="BH63" s="72"/>
      <c r="BI63" s="72"/>
      <c r="BJ63" s="72"/>
      <c r="BK63" s="73"/>
    </row>
    <row r="64" spans="1:63" ht="35" customHeight="1" thickBot="1" x14ac:dyDescent="0.4">
      <c r="A64" s="26"/>
      <c r="B64" s="75" t="s">
        <v>43</v>
      </c>
      <c r="C64" s="391">
        <v>0</v>
      </c>
      <c r="D64" s="391">
        <v>0</v>
      </c>
      <c r="E64" s="392">
        <v>0</v>
      </c>
      <c r="G64" s="123" t="s">
        <v>48</v>
      </c>
      <c r="H64" s="400" t="s">
        <v>134</v>
      </c>
      <c r="I64" s="110" t="s">
        <v>42</v>
      </c>
      <c r="J64" s="110" t="s">
        <v>29</v>
      </c>
      <c r="K64" s="114" t="s">
        <v>71</v>
      </c>
      <c r="L64" s="110" t="s">
        <v>51</v>
      </c>
      <c r="M64" s="401" t="s">
        <v>222</v>
      </c>
      <c r="N64" s="198"/>
      <c r="O64" s="123" t="s">
        <v>48</v>
      </c>
      <c r="P64" s="400" t="s">
        <v>134</v>
      </c>
      <c r="Q64" s="110" t="s">
        <v>42</v>
      </c>
      <c r="R64" s="110" t="s">
        <v>29</v>
      </c>
      <c r="S64" s="114" t="s">
        <v>95</v>
      </c>
      <c r="T64" s="114" t="s">
        <v>65</v>
      </c>
      <c r="U64" s="114" t="s">
        <v>67</v>
      </c>
      <c r="V64" s="401" t="s">
        <v>222</v>
      </c>
      <c r="W64" s="198"/>
      <c r="X64" s="123" t="s">
        <v>48</v>
      </c>
      <c r="Y64" s="400" t="s">
        <v>134</v>
      </c>
      <c r="Z64" s="110" t="s">
        <v>42</v>
      </c>
      <c r="AA64" s="110" t="s">
        <v>29</v>
      </c>
      <c r="AB64" s="114" t="s">
        <v>95</v>
      </c>
      <c r="AC64" s="114" t="s">
        <v>65</v>
      </c>
      <c r="AD64" s="114" t="s">
        <v>67</v>
      </c>
      <c r="AE64" s="401" t="s">
        <v>222</v>
      </c>
      <c r="AF64" s="198"/>
      <c r="AG64" s="268" t="s">
        <v>48</v>
      </c>
      <c r="AH64" s="201" t="s">
        <v>50</v>
      </c>
      <c r="AI64" s="265" t="s">
        <v>52</v>
      </c>
      <c r="AJ64" s="267" t="s">
        <v>223</v>
      </c>
      <c r="AK64" s="267" t="s">
        <v>54</v>
      </c>
      <c r="AL64" s="266" t="s">
        <v>88</v>
      </c>
      <c r="AN64" s="268" t="s">
        <v>48</v>
      </c>
      <c r="AO64" s="267" t="s">
        <v>66</v>
      </c>
      <c r="AP64" s="267" t="s">
        <v>68</v>
      </c>
      <c r="AQ64" s="267" t="s">
        <v>223</v>
      </c>
      <c r="AR64" s="267" t="s">
        <v>54</v>
      </c>
      <c r="AS64" s="266" t="s">
        <v>88</v>
      </c>
      <c r="AU64" s="268" t="s">
        <v>48</v>
      </c>
      <c r="AV64" s="267" t="s">
        <v>66</v>
      </c>
      <c r="AW64" s="267" t="s">
        <v>68</v>
      </c>
      <c r="AX64" s="267" t="s">
        <v>223</v>
      </c>
      <c r="AY64" s="267" t="s">
        <v>54</v>
      </c>
      <c r="AZ64" s="266" t="s">
        <v>88</v>
      </c>
      <c r="BB64" s="122">
        <f>SUM(AB65)</f>
        <v>855</v>
      </c>
      <c r="BC64" s="122">
        <f>SUM(AD65,U65,L65)</f>
        <v>123</v>
      </c>
      <c r="BD64" s="122">
        <f>SUM(AE65,V65,M65)</f>
        <v>3505227</v>
      </c>
      <c r="BE64" s="166">
        <f>SUM(AL65,AS65,AZ65)</f>
        <v>3272777.76</v>
      </c>
      <c r="BG64" s="64"/>
      <c r="BH64" s="200" t="s">
        <v>45</v>
      </c>
      <c r="BI64" s="200" t="s">
        <v>46</v>
      </c>
      <c r="BJ64" s="200" t="s">
        <v>47</v>
      </c>
      <c r="BK64" s="197" t="s">
        <v>70</v>
      </c>
    </row>
    <row r="65" spans="1:68" ht="16" thickBot="1" x14ac:dyDescent="0.4">
      <c r="A65" s="26"/>
      <c r="B65" s="75" t="s">
        <v>134</v>
      </c>
      <c r="C65" s="391">
        <v>0</v>
      </c>
      <c r="D65" s="391">
        <v>0</v>
      </c>
      <c r="E65" s="392">
        <v>0</v>
      </c>
      <c r="G65" s="65" t="s">
        <v>39</v>
      </c>
      <c r="H65" s="49">
        <v>0</v>
      </c>
      <c r="I65" s="45">
        <f>ROUNDUP($C64/gen_xl_disk,0)</f>
        <v>0</v>
      </c>
      <c r="J65" s="45">
        <f>ROUNDUP($C66/gen_xl_bw,0)</f>
        <v>203</v>
      </c>
      <c r="K65" s="45">
        <f>MAX(H65:J65)</f>
        <v>203</v>
      </c>
      <c r="L65" s="45">
        <f>ROUNDUP(K65/gen_xl_spr80,0)</f>
        <v>29</v>
      </c>
      <c r="M65" s="52">
        <f>ROUND(K65*gen_l_pow80*24*365,0)</f>
        <v>462353</v>
      </c>
      <c r="N65" s="43"/>
      <c r="O65" s="65" t="s">
        <v>39</v>
      </c>
      <c r="P65" s="49">
        <v>0</v>
      </c>
      <c r="Q65" s="45">
        <f>ROUNDUP($D64/gen_xl_disk,0)</f>
        <v>0</v>
      </c>
      <c r="R65" s="45">
        <f>ROUNDUP($D66/gen_xl_bw,0)</f>
        <v>481</v>
      </c>
      <c r="S65" s="45">
        <f>MAX(P65:R65)</f>
        <v>481</v>
      </c>
      <c r="T65" s="45">
        <f>S65-K65</f>
        <v>278</v>
      </c>
      <c r="U65" s="45">
        <f>ROUNDUP(T65/gen_xl_spr80,0)</f>
        <v>40</v>
      </c>
      <c r="V65" s="52">
        <f>ROUND((S65)*gen_l_pow80*24*365,0)</f>
        <v>1095526</v>
      </c>
      <c r="W65" s="43"/>
      <c r="X65" s="65" t="s">
        <v>39</v>
      </c>
      <c r="Y65" s="49">
        <f>ROUNDUP($E65/(gen_xl_tps80),0)</f>
        <v>0</v>
      </c>
      <c r="Z65" s="45">
        <f>ROUNDUP($E64/gen_xl_disk,0)</f>
        <v>0</v>
      </c>
      <c r="AA65" s="45">
        <f>ROUNDUP($E66/gen_xl_bw,0)</f>
        <v>855</v>
      </c>
      <c r="AB65" s="45">
        <f>MAX(Y65:AA65)</f>
        <v>855</v>
      </c>
      <c r="AC65" s="45">
        <f>AB65-S65</f>
        <v>374</v>
      </c>
      <c r="AD65" s="45">
        <f>ROUNDUP(AC65/gen_xl_spr80,0)</f>
        <v>54</v>
      </c>
      <c r="AE65" s="52">
        <f>ROUND((AB65)*gen_l_pow80*24*365,0)</f>
        <v>1947348</v>
      </c>
      <c r="AF65" s="43"/>
      <c r="AG65" s="65" t="s">
        <v>39</v>
      </c>
      <c r="AH65" s="50">
        <f>K65*gen_xl_cost</f>
        <v>477050</v>
      </c>
      <c r="AI65" s="50">
        <f>L65*rack_cost</f>
        <v>145000</v>
      </c>
      <c r="AJ65" s="50">
        <f>ROUND(M65*w_pwr,0)</f>
        <v>36387</v>
      </c>
      <c r="AK65" s="50">
        <v>0</v>
      </c>
      <c r="AL65" s="212">
        <f>SUM(AH65,AI65,AJ65)</f>
        <v>658437</v>
      </c>
      <c r="AN65" s="65" t="s">
        <v>39</v>
      </c>
      <c r="AO65" s="28">
        <f>T65*gen_xl_cost*1.02</f>
        <v>666366</v>
      </c>
      <c r="AP65" s="28">
        <f>U65*rack_cost</f>
        <v>200000</v>
      </c>
      <c r="AQ65" s="28">
        <f>ROUND(V65*w_pwr,0)</f>
        <v>86218</v>
      </c>
      <c r="AR65" s="28">
        <f>AH65*hw_supt</f>
        <v>95410</v>
      </c>
      <c r="AS65" s="212">
        <f>SUM(AO65,AP65,AQ65,AR65)</f>
        <v>1047994</v>
      </c>
      <c r="AU65" s="65" t="s">
        <v>39</v>
      </c>
      <c r="AV65" s="28">
        <f>AC65*gen_xl_cost*1.0404</f>
        <v>914407.55999999994</v>
      </c>
      <c r="AW65" s="28">
        <f>AD65*rack_cost</f>
        <v>270000</v>
      </c>
      <c r="AX65" s="28">
        <f>ROUND(AE65*w_pwr,0)</f>
        <v>153256</v>
      </c>
      <c r="AY65" s="28">
        <f>(AH65+AO65)*hw_supt</f>
        <v>228683.2</v>
      </c>
      <c r="AZ65" s="212">
        <f>SUM(AV65,AW65,AX65,AY65)</f>
        <v>1566346.76</v>
      </c>
      <c r="BG65" s="173" t="s">
        <v>82</v>
      </c>
      <c r="BH65" s="177">
        <f>AL65</f>
        <v>658437</v>
      </c>
      <c r="BI65" s="177">
        <f>AS65</f>
        <v>1047994</v>
      </c>
      <c r="BJ65" s="177">
        <f>AZ65</f>
        <v>1566346.76</v>
      </c>
      <c r="BK65" s="180">
        <f>SUM(BH65:BJ65)</f>
        <v>3272777.76</v>
      </c>
    </row>
    <row r="66" spans="1:68" ht="17" customHeight="1" thickBot="1" x14ac:dyDescent="0.4">
      <c r="A66" s="27"/>
      <c r="B66" s="76" t="s">
        <v>44</v>
      </c>
      <c r="C66" s="427">
        <f>Bandwidth!N5+Bandwidth!O5+Bandwidth!O26</f>
        <v>456.53962031999993</v>
      </c>
      <c r="D66" s="427">
        <f>Bandwidth!N6+Bandwidth!O6+Bandwidth!O27</f>
        <v>1081.8636671999998</v>
      </c>
      <c r="E66" s="428">
        <f>Bandwidth!N7+Bandwidth!O7+Bandwidth!O28</f>
        <v>1923.3892665599997</v>
      </c>
      <c r="BG66" s="64" t="s">
        <v>217</v>
      </c>
      <c r="BH66" s="181">
        <f>K65</f>
        <v>203</v>
      </c>
      <c r="BI66" s="181">
        <f>T65</f>
        <v>278</v>
      </c>
      <c r="BJ66" s="181">
        <f>AC65</f>
        <v>374</v>
      </c>
      <c r="BK66" s="145">
        <f>SUM(BH66:BJ66)</f>
        <v>855</v>
      </c>
    </row>
    <row r="67" spans="1:68" x14ac:dyDescent="0.35">
      <c r="BG67" s="160" t="s">
        <v>218</v>
      </c>
      <c r="BH67" s="4">
        <f>L65</f>
        <v>29</v>
      </c>
      <c r="BI67" s="4">
        <f>U65</f>
        <v>40</v>
      </c>
      <c r="BJ67" s="4">
        <f>AD65</f>
        <v>54</v>
      </c>
      <c r="BK67" s="121">
        <f t="shared" ref="BK67:BK68" si="3">SUM(BH67:BJ67)</f>
        <v>123</v>
      </c>
    </row>
    <row r="68" spans="1:68" ht="16" thickBot="1" x14ac:dyDescent="0.4">
      <c r="BG68" s="65" t="s">
        <v>216</v>
      </c>
      <c r="BH68" s="45">
        <f>M65</f>
        <v>462353</v>
      </c>
      <c r="BI68" s="45">
        <f>V65</f>
        <v>1095526</v>
      </c>
      <c r="BJ68" s="45">
        <f>AE65</f>
        <v>1947348</v>
      </c>
      <c r="BK68" s="122">
        <f t="shared" si="3"/>
        <v>3505227</v>
      </c>
    </row>
    <row r="70" spans="1:68" ht="18.5" x14ac:dyDescent="0.45">
      <c r="A70" s="34" t="s">
        <v>282</v>
      </c>
    </row>
    <row r="72" spans="1:68" ht="95" customHeight="1" thickBot="1" x14ac:dyDescent="0.4">
      <c r="A72" s="581" t="s">
        <v>351</v>
      </c>
      <c r="B72" s="582"/>
      <c r="C72" s="582"/>
      <c r="D72" s="582"/>
      <c r="E72" s="582"/>
    </row>
    <row r="73" spans="1:68" ht="51" customHeight="1" thickBot="1" x14ac:dyDescent="0.4">
      <c r="A73" s="29"/>
      <c r="B73" s="71" t="s">
        <v>151</v>
      </c>
      <c r="C73" s="72" t="s">
        <v>45</v>
      </c>
      <c r="D73" s="72" t="s">
        <v>46</v>
      </c>
      <c r="E73" s="73" t="s">
        <v>47</v>
      </c>
      <c r="G73" s="402" t="s">
        <v>45</v>
      </c>
      <c r="H73" s="178"/>
      <c r="I73" s="178"/>
      <c r="J73" s="178"/>
      <c r="K73" s="178"/>
      <c r="L73" s="178"/>
      <c r="M73" s="179"/>
      <c r="N73" s="8"/>
      <c r="O73" s="402" t="s">
        <v>46</v>
      </c>
      <c r="P73" s="178"/>
      <c r="Q73" s="178"/>
      <c r="R73" s="178"/>
      <c r="S73" s="178"/>
      <c r="T73" s="178"/>
      <c r="U73" s="178"/>
      <c r="V73" s="179"/>
      <c r="W73" s="8"/>
      <c r="X73" s="66" t="s">
        <v>47</v>
      </c>
      <c r="Y73" s="67"/>
      <c r="Z73" s="67"/>
      <c r="AA73" s="67"/>
      <c r="AB73" s="67"/>
      <c r="AC73" s="67"/>
      <c r="AD73" s="67"/>
      <c r="AE73" s="68"/>
      <c r="AF73" s="8"/>
      <c r="AG73" s="66" t="s">
        <v>45</v>
      </c>
      <c r="AH73" s="67"/>
      <c r="AI73" s="67"/>
      <c r="AJ73" s="67"/>
      <c r="AK73" s="67"/>
      <c r="AL73" s="68"/>
      <c r="AN73" s="66" t="s">
        <v>46</v>
      </c>
      <c r="AO73" s="67"/>
      <c r="AP73" s="67"/>
      <c r="AQ73" s="67"/>
      <c r="AR73" s="67"/>
      <c r="AS73" s="68"/>
      <c r="AU73" s="66" t="s">
        <v>47</v>
      </c>
      <c r="AV73" s="67"/>
      <c r="AW73" s="67"/>
      <c r="AX73" s="67"/>
      <c r="AY73" s="67"/>
      <c r="AZ73" s="68"/>
      <c r="BB73" s="105" t="s">
        <v>202</v>
      </c>
      <c r="BC73" s="105" t="s">
        <v>201</v>
      </c>
      <c r="BD73" s="13" t="s">
        <v>200</v>
      </c>
      <c r="BE73" s="105" t="s">
        <v>199</v>
      </c>
      <c r="BG73" s="71" t="s">
        <v>69</v>
      </c>
      <c r="BH73" s="72"/>
      <c r="BI73" s="72"/>
      <c r="BJ73" s="72"/>
      <c r="BK73" s="73"/>
    </row>
    <row r="74" spans="1:68" ht="35" customHeight="1" thickBot="1" x14ac:dyDescent="0.4">
      <c r="A74" s="26"/>
      <c r="B74" s="75" t="s">
        <v>43</v>
      </c>
      <c r="C74" s="391">
        <v>0</v>
      </c>
      <c r="D74" s="391">
        <v>0</v>
      </c>
      <c r="E74" s="392">
        <v>0</v>
      </c>
      <c r="G74" s="123" t="s">
        <v>48</v>
      </c>
      <c r="H74" s="400" t="s">
        <v>134</v>
      </c>
      <c r="I74" s="110" t="s">
        <v>42</v>
      </c>
      <c r="J74" s="110" t="s">
        <v>29</v>
      </c>
      <c r="K74" s="114" t="s">
        <v>71</v>
      </c>
      <c r="L74" s="110" t="s">
        <v>51</v>
      </c>
      <c r="M74" s="401" t="s">
        <v>222</v>
      </c>
      <c r="N74" s="198"/>
      <c r="O74" s="123" t="s">
        <v>48</v>
      </c>
      <c r="P74" s="400" t="s">
        <v>134</v>
      </c>
      <c r="Q74" s="110" t="s">
        <v>42</v>
      </c>
      <c r="R74" s="110" t="s">
        <v>29</v>
      </c>
      <c r="S74" s="114" t="s">
        <v>95</v>
      </c>
      <c r="T74" s="114" t="s">
        <v>65</v>
      </c>
      <c r="U74" s="114" t="s">
        <v>67</v>
      </c>
      <c r="V74" s="401" t="s">
        <v>222</v>
      </c>
      <c r="W74" s="198"/>
      <c r="X74" s="123" t="s">
        <v>48</v>
      </c>
      <c r="Y74" s="400" t="s">
        <v>134</v>
      </c>
      <c r="Z74" s="110" t="s">
        <v>42</v>
      </c>
      <c r="AA74" s="110" t="s">
        <v>29</v>
      </c>
      <c r="AB74" s="114" t="s">
        <v>95</v>
      </c>
      <c r="AC74" s="114" t="s">
        <v>65</v>
      </c>
      <c r="AD74" s="114" t="s">
        <v>67</v>
      </c>
      <c r="AE74" s="401" t="s">
        <v>222</v>
      </c>
      <c r="AF74" s="198"/>
      <c r="AG74" s="268" t="s">
        <v>48</v>
      </c>
      <c r="AH74" s="201" t="s">
        <v>50</v>
      </c>
      <c r="AI74" s="265" t="s">
        <v>52</v>
      </c>
      <c r="AJ74" s="267" t="s">
        <v>223</v>
      </c>
      <c r="AK74" s="267" t="s">
        <v>54</v>
      </c>
      <c r="AL74" s="266" t="s">
        <v>88</v>
      </c>
      <c r="AN74" s="268" t="s">
        <v>48</v>
      </c>
      <c r="AO74" s="267" t="s">
        <v>66</v>
      </c>
      <c r="AP74" s="267" t="s">
        <v>68</v>
      </c>
      <c r="AQ74" s="267" t="s">
        <v>223</v>
      </c>
      <c r="AR74" s="267" t="s">
        <v>54</v>
      </c>
      <c r="AS74" s="266" t="s">
        <v>88</v>
      </c>
      <c r="AU74" s="268" t="s">
        <v>48</v>
      </c>
      <c r="AV74" s="267" t="s">
        <v>66</v>
      </c>
      <c r="AW74" s="267" t="s">
        <v>68</v>
      </c>
      <c r="AX74" s="267" t="s">
        <v>223</v>
      </c>
      <c r="AY74" s="267" t="s">
        <v>54</v>
      </c>
      <c r="AZ74" s="266" t="s">
        <v>88</v>
      </c>
      <c r="BB74" s="122">
        <f>SUM(AB75)</f>
        <v>10</v>
      </c>
      <c r="BC74" s="122">
        <f>SUM(AD75,U75,L75)</f>
        <v>3</v>
      </c>
      <c r="BD74" s="122">
        <f>SUM(AE75,V75,M75)</f>
        <v>43275</v>
      </c>
      <c r="BE74" s="166">
        <f>SUM(AL75,AS75,AZ75)</f>
        <v>46684.960000000006</v>
      </c>
      <c r="BG74" s="64"/>
      <c r="BH74" s="200" t="s">
        <v>45</v>
      </c>
      <c r="BI74" s="200" t="s">
        <v>46</v>
      </c>
      <c r="BJ74" s="200" t="s">
        <v>47</v>
      </c>
      <c r="BK74" s="197" t="s">
        <v>70</v>
      </c>
    </row>
    <row r="75" spans="1:68" ht="16" thickBot="1" x14ac:dyDescent="0.4">
      <c r="A75" s="26"/>
      <c r="B75" s="75" t="s">
        <v>134</v>
      </c>
      <c r="C75" s="391">
        <f>55%*'CPU (Workload)'!G15</f>
        <v>8454.2510937499992</v>
      </c>
      <c r="D75" s="391">
        <f>55%*'CPU (Workload)'!G16</f>
        <v>20034.070833333331</v>
      </c>
      <c r="E75" s="392">
        <f>55%*'CPU (Workload)'!G17</f>
        <v>35617.534791666665</v>
      </c>
      <c r="G75" s="65" t="s">
        <v>39</v>
      </c>
      <c r="H75" s="49">
        <f>ROUNDUP($C75/(gen_xl_tps80),0)</f>
        <v>3</v>
      </c>
      <c r="I75" s="45">
        <f>ROUNDUP($C74/gen_xl_disk,0)</f>
        <v>0</v>
      </c>
      <c r="J75" s="45">
        <f>ROUNDUP($C76/gen_xl_bw,0)</f>
        <v>3</v>
      </c>
      <c r="K75" s="45">
        <f>MAX(H75:J75,2)</f>
        <v>3</v>
      </c>
      <c r="L75" s="45">
        <f>ROUNDUP(K75/gen_xl_spr80,0)</f>
        <v>1</v>
      </c>
      <c r="M75" s="52">
        <f>ROUND(K75*gen_l_pow80*24*365,0)</f>
        <v>6833</v>
      </c>
      <c r="N75" s="43"/>
      <c r="O75" s="65" t="s">
        <v>39</v>
      </c>
      <c r="P75" s="49">
        <f>ROUNDUP($D75/(gen_xl_tps80),0)</f>
        <v>6</v>
      </c>
      <c r="Q75" s="45">
        <f>ROUNDUP($D74/gen_xl_disk,0)</f>
        <v>0</v>
      </c>
      <c r="R75" s="45">
        <f>ROUNDUP($D76/gen_xl_bw,0)</f>
        <v>6</v>
      </c>
      <c r="S75" s="45">
        <f>MAX(P75:R75)</f>
        <v>6</v>
      </c>
      <c r="T75" s="45">
        <f>S75-K75</f>
        <v>3</v>
      </c>
      <c r="U75" s="45">
        <f>ROUNDUP(T75/gen_xl_spr80,0)</f>
        <v>1</v>
      </c>
      <c r="V75" s="52">
        <f>ROUND((S75)*gen_l_pow80*24*365,0)</f>
        <v>13666</v>
      </c>
      <c r="W75" s="43"/>
      <c r="X75" s="65" t="s">
        <v>39</v>
      </c>
      <c r="Y75" s="49">
        <f>ROUNDUP($E75/(gen_xl_tps80),0)</f>
        <v>10</v>
      </c>
      <c r="Z75" s="45">
        <f>ROUNDUP($E74/gen_xl_disk,0)</f>
        <v>0</v>
      </c>
      <c r="AA75" s="45">
        <f>ROUNDUP($E76/gen_xl_bw,0)</f>
        <v>10</v>
      </c>
      <c r="AB75" s="45">
        <f>MAX(Y75:AA75)</f>
        <v>10</v>
      </c>
      <c r="AC75" s="45">
        <f>AB75-S75</f>
        <v>4</v>
      </c>
      <c r="AD75" s="45">
        <f>ROUNDUP(AC75/gen_xl_spr80,0)</f>
        <v>1</v>
      </c>
      <c r="AE75" s="52">
        <f>ROUND((AB75)*gen_l_pow80*24*365,0)</f>
        <v>22776</v>
      </c>
      <c r="AF75" s="43"/>
      <c r="AG75" s="65" t="s">
        <v>39</v>
      </c>
      <c r="AH75" s="50">
        <f>K75*gen_xl_cost</f>
        <v>7050</v>
      </c>
      <c r="AI75" s="50">
        <f>L75*rack_cost</f>
        <v>5000</v>
      </c>
      <c r="AJ75" s="50">
        <f>ROUND(M75*w_pwr,0)</f>
        <v>538</v>
      </c>
      <c r="AK75" s="50">
        <v>0</v>
      </c>
      <c r="AL75" s="212">
        <f>SUM(AH75,AI75,AJ75)</f>
        <v>12588</v>
      </c>
      <c r="AN75" s="65" t="s">
        <v>39</v>
      </c>
      <c r="AO75" s="28">
        <f>T75*gen_xl_cost*1.02</f>
        <v>7191</v>
      </c>
      <c r="AP75" s="28">
        <f>U75*rack_cost</f>
        <v>5000</v>
      </c>
      <c r="AQ75" s="28">
        <f>ROUND(V75*w_pwr,0)</f>
        <v>1076</v>
      </c>
      <c r="AR75" s="28">
        <f>AH75*hw_supt</f>
        <v>1410</v>
      </c>
      <c r="AS75" s="212">
        <f>SUM(AO75,AP75,AQ75,AR75)</f>
        <v>14677</v>
      </c>
      <c r="AU75" s="65" t="s">
        <v>39</v>
      </c>
      <c r="AV75" s="28">
        <f>AC75*gen_xl_cost*1.0404</f>
        <v>9779.76</v>
      </c>
      <c r="AW75" s="28">
        <f>AD75*rack_cost</f>
        <v>5000</v>
      </c>
      <c r="AX75" s="28">
        <f>ROUND(AE75*w_pwr,0)</f>
        <v>1792</v>
      </c>
      <c r="AY75" s="28">
        <f>(AH75+AO75)*hw_supt</f>
        <v>2848.2000000000003</v>
      </c>
      <c r="AZ75" s="212">
        <f>SUM(AV75,AW75,AX75,AY75)</f>
        <v>19419.960000000003</v>
      </c>
      <c r="BG75" s="173" t="s">
        <v>82</v>
      </c>
      <c r="BH75" s="177">
        <f>AL75</f>
        <v>12588</v>
      </c>
      <c r="BI75" s="177">
        <f>AS75</f>
        <v>14677</v>
      </c>
      <c r="BJ75" s="177">
        <f>AZ75</f>
        <v>19419.960000000003</v>
      </c>
      <c r="BK75" s="180">
        <f>SUM(BH75:BJ75)</f>
        <v>46684.960000000006</v>
      </c>
    </row>
    <row r="76" spans="1:68" ht="17" customHeight="1" thickBot="1" x14ac:dyDescent="0.4">
      <c r="A76" s="27"/>
      <c r="B76" s="76" t="s">
        <v>44</v>
      </c>
      <c r="C76" s="427">
        <f>55%*Bandwidth!O47</f>
        <v>4.9188369999999999</v>
      </c>
      <c r="D76" s="427">
        <f>55%*Bandwidth!O48</f>
        <v>11.656186666666668</v>
      </c>
      <c r="E76" s="428">
        <f>55%*Bandwidth!O49</f>
        <v>20.722929333333333</v>
      </c>
      <c r="BG76" s="64" t="s">
        <v>217</v>
      </c>
      <c r="BH76" s="181">
        <f>K75</f>
        <v>3</v>
      </c>
      <c r="BI76" s="181">
        <f>T75</f>
        <v>3</v>
      </c>
      <c r="BJ76" s="181">
        <f>AC75</f>
        <v>4</v>
      </c>
      <c r="BK76" s="145">
        <f>SUM(BH76:BJ76)</f>
        <v>10</v>
      </c>
    </row>
    <row r="77" spans="1:68" x14ac:dyDescent="0.35">
      <c r="BG77" s="160" t="s">
        <v>218</v>
      </c>
      <c r="BH77" s="4">
        <f>L75</f>
        <v>1</v>
      </c>
      <c r="BI77" s="4">
        <f>U75</f>
        <v>1</v>
      </c>
      <c r="BJ77" s="4">
        <f>AD75</f>
        <v>1</v>
      </c>
      <c r="BK77" s="121">
        <f t="shared" ref="BK77:BK78" si="4">SUM(BH77:BJ77)</f>
        <v>3</v>
      </c>
    </row>
    <row r="78" spans="1:68" ht="16" thickBot="1" x14ac:dyDescent="0.4">
      <c r="BG78" s="65" t="s">
        <v>216</v>
      </c>
      <c r="BH78" s="45">
        <f>M75</f>
        <v>6833</v>
      </c>
      <c r="BI78" s="45">
        <f>V75</f>
        <v>13666</v>
      </c>
      <c r="BJ78" s="45">
        <f>AE75</f>
        <v>22776</v>
      </c>
      <c r="BK78" s="122">
        <f t="shared" si="4"/>
        <v>43275</v>
      </c>
    </row>
    <row r="79" spans="1:68" x14ac:dyDescent="0.35">
      <c r="BH79" s="4"/>
      <c r="BI79" s="4"/>
      <c r="BJ79" s="4"/>
      <c r="BK79" s="4"/>
    </row>
    <row r="80" spans="1:68" ht="16" thickBot="1" x14ac:dyDescent="0.4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91" ht="16" thickTop="1" x14ac:dyDescent="0.35"/>
    <row r="82" spans="1:91" ht="21" customHeight="1" x14ac:dyDescent="0.5">
      <c r="A82" s="54" t="s">
        <v>75</v>
      </c>
    </row>
    <row r="83" spans="1:91" x14ac:dyDescent="0.35">
      <c r="A83" t="s">
        <v>97</v>
      </c>
    </row>
    <row r="84" spans="1:91" ht="34" customHeight="1" thickBot="1" x14ac:dyDescent="0.4"/>
    <row r="85" spans="1:91" ht="51" customHeight="1" thickBot="1" x14ac:dyDescent="0.4">
      <c r="A85" s="29" t="s">
        <v>72</v>
      </c>
      <c r="B85" s="71" t="s">
        <v>151</v>
      </c>
      <c r="C85" s="72" t="s">
        <v>45</v>
      </c>
      <c r="D85" s="72" t="s">
        <v>46</v>
      </c>
      <c r="E85" s="73" t="s">
        <v>47</v>
      </c>
      <c r="G85" s="402" t="s">
        <v>45</v>
      </c>
      <c r="H85" s="178"/>
      <c r="I85" s="178"/>
      <c r="J85" s="178"/>
      <c r="K85" s="178"/>
      <c r="L85" s="178"/>
      <c r="M85" s="179"/>
      <c r="N85" s="8"/>
      <c r="O85" s="402" t="s">
        <v>46</v>
      </c>
      <c r="P85" s="178"/>
      <c r="Q85" s="178"/>
      <c r="R85" s="178"/>
      <c r="S85" s="178"/>
      <c r="T85" s="178"/>
      <c r="U85" s="178"/>
      <c r="V85" s="179"/>
      <c r="W85" s="8"/>
      <c r="X85" s="66" t="s">
        <v>47</v>
      </c>
      <c r="Y85" s="67"/>
      <c r="Z85" s="67"/>
      <c r="AA85" s="67"/>
      <c r="AB85" s="67"/>
      <c r="AC85" s="67"/>
      <c r="AD85" s="67"/>
      <c r="AE85" s="68"/>
      <c r="AF85" s="8"/>
      <c r="AG85" s="66" t="s">
        <v>45</v>
      </c>
      <c r="AH85" s="67"/>
      <c r="AI85" s="67"/>
      <c r="AJ85" s="67"/>
      <c r="AK85" s="67"/>
      <c r="AL85" s="68"/>
      <c r="AN85" s="66" t="s">
        <v>46</v>
      </c>
      <c r="AO85" s="67"/>
      <c r="AP85" s="67"/>
      <c r="AQ85" s="67"/>
      <c r="AR85" s="67"/>
      <c r="AS85" s="68"/>
      <c r="AU85" s="66" t="s">
        <v>47</v>
      </c>
      <c r="AV85" s="67"/>
      <c r="AW85" s="67"/>
      <c r="AX85" s="67"/>
      <c r="AY85" s="67"/>
      <c r="AZ85" s="68"/>
      <c r="BB85" s="8"/>
      <c r="BC85" s="8"/>
      <c r="BD85" s="182"/>
      <c r="BE85" s="39"/>
      <c r="BG85" s="71" t="s">
        <v>69</v>
      </c>
      <c r="BH85" s="72"/>
      <c r="BI85" s="72"/>
      <c r="BJ85" s="72"/>
      <c r="BK85" s="73"/>
      <c r="BM85" s="7"/>
      <c r="BN85" s="7"/>
      <c r="BO85" s="7"/>
      <c r="BP85" s="198"/>
    </row>
    <row r="86" spans="1:91" ht="47" thickBot="1" x14ac:dyDescent="0.4">
      <c r="A86" s="26"/>
      <c r="B86" s="75" t="s">
        <v>43</v>
      </c>
      <c r="C86" s="391">
        <f t="shared" ref="C86:E88" si="5">SUM(C44,C54,C64,C74)</f>
        <v>518400</v>
      </c>
      <c r="D86" s="391">
        <f t="shared" si="5"/>
        <v>518400</v>
      </c>
      <c r="E86" s="392">
        <f t="shared" si="5"/>
        <v>518400</v>
      </c>
      <c r="G86" s="123" t="s">
        <v>48</v>
      </c>
      <c r="H86" s="400" t="s">
        <v>134</v>
      </c>
      <c r="I86" s="110" t="s">
        <v>42</v>
      </c>
      <c r="J86" s="110" t="s">
        <v>29</v>
      </c>
      <c r="K86" s="114" t="s">
        <v>71</v>
      </c>
      <c r="L86" s="110" t="s">
        <v>51</v>
      </c>
      <c r="M86" s="401" t="s">
        <v>222</v>
      </c>
      <c r="N86" s="198"/>
      <c r="O86" s="123" t="s">
        <v>48</v>
      </c>
      <c r="P86" s="400" t="s">
        <v>134</v>
      </c>
      <c r="Q86" s="110" t="s">
        <v>42</v>
      </c>
      <c r="R86" s="110" t="s">
        <v>29</v>
      </c>
      <c r="S86" s="114" t="s">
        <v>95</v>
      </c>
      <c r="T86" s="114" t="s">
        <v>65</v>
      </c>
      <c r="U86" s="114" t="s">
        <v>67</v>
      </c>
      <c r="V86" s="401" t="s">
        <v>222</v>
      </c>
      <c r="W86" s="198"/>
      <c r="X86" s="123" t="s">
        <v>48</v>
      </c>
      <c r="Y86" s="400" t="s">
        <v>134</v>
      </c>
      <c r="Z86" s="110" t="s">
        <v>42</v>
      </c>
      <c r="AA86" s="110" t="s">
        <v>29</v>
      </c>
      <c r="AB86" s="114" t="s">
        <v>95</v>
      </c>
      <c r="AC86" s="114" t="s">
        <v>65</v>
      </c>
      <c r="AD86" s="114" t="s">
        <v>67</v>
      </c>
      <c r="AE86" s="401" t="s">
        <v>222</v>
      </c>
      <c r="AF86" s="198"/>
      <c r="AG86" s="268" t="s">
        <v>48</v>
      </c>
      <c r="AH86" s="201" t="s">
        <v>50</v>
      </c>
      <c r="AI86" s="265" t="s">
        <v>52</v>
      </c>
      <c r="AJ86" s="267" t="s">
        <v>223</v>
      </c>
      <c r="AK86" s="267" t="s">
        <v>54</v>
      </c>
      <c r="AL86" s="266" t="s">
        <v>88</v>
      </c>
      <c r="AN86" s="268" t="s">
        <v>48</v>
      </c>
      <c r="AO86" s="267" t="s">
        <v>66</v>
      </c>
      <c r="AP86" s="267" t="s">
        <v>68</v>
      </c>
      <c r="AQ86" s="267" t="s">
        <v>223</v>
      </c>
      <c r="AR86" s="267" t="s">
        <v>54</v>
      </c>
      <c r="AS86" s="266" t="s">
        <v>88</v>
      </c>
      <c r="AU86" s="268" t="s">
        <v>48</v>
      </c>
      <c r="AV86" s="267" t="s">
        <v>66</v>
      </c>
      <c r="AW86" s="267" t="s">
        <v>68</v>
      </c>
      <c r="AX86" s="267" t="s">
        <v>223</v>
      </c>
      <c r="AY86" s="267" t="s">
        <v>54</v>
      </c>
      <c r="AZ86" s="266" t="s">
        <v>88</v>
      </c>
      <c r="BG86" s="64"/>
      <c r="BH86" s="200" t="s">
        <v>45</v>
      </c>
      <c r="BI86" s="200" t="s">
        <v>46</v>
      </c>
      <c r="BJ86" s="200" t="s">
        <v>47</v>
      </c>
      <c r="BK86" s="197" t="s">
        <v>70</v>
      </c>
      <c r="BM86" s="43"/>
      <c r="BN86" s="43"/>
      <c r="BO86" s="43"/>
      <c r="BP86" s="43"/>
    </row>
    <row r="87" spans="1:91" ht="16" thickBot="1" x14ac:dyDescent="0.4">
      <c r="A87" s="26"/>
      <c r="B87" s="75" t="s">
        <v>134</v>
      </c>
      <c r="C87" s="391">
        <f t="shared" si="5"/>
        <v>8454.2510937499992</v>
      </c>
      <c r="D87" s="391">
        <f t="shared" si="5"/>
        <v>20034.070833333331</v>
      </c>
      <c r="E87" s="392">
        <f t="shared" si="5"/>
        <v>35617.534791666665</v>
      </c>
      <c r="G87" s="65" t="s">
        <v>39</v>
      </c>
      <c r="H87" s="69"/>
      <c r="I87" s="70"/>
      <c r="J87" s="70"/>
      <c r="K87" s="45">
        <f>SUM(K65,K75)</f>
        <v>206</v>
      </c>
      <c r="L87" s="45">
        <f>SUM(L65,L75)</f>
        <v>30</v>
      </c>
      <c r="M87" s="52">
        <f>SUM(M65,M75)</f>
        <v>469186</v>
      </c>
      <c r="N87" s="43"/>
      <c r="O87" s="65" t="s">
        <v>39</v>
      </c>
      <c r="P87" s="69"/>
      <c r="Q87" s="70"/>
      <c r="R87" s="70"/>
      <c r="S87" s="45">
        <f t="shared" ref="S87:U87" si="6">SUM(S65,S75)</f>
        <v>487</v>
      </c>
      <c r="T87" s="45">
        <f t="shared" si="6"/>
        <v>281</v>
      </c>
      <c r="U87" s="45">
        <f t="shared" si="6"/>
        <v>41</v>
      </c>
      <c r="V87" s="52">
        <f>SUM(V65,V75)</f>
        <v>1109192</v>
      </c>
      <c r="W87" s="43"/>
      <c r="X87" s="65" t="s">
        <v>39</v>
      </c>
      <c r="Y87" s="69"/>
      <c r="Z87" s="70"/>
      <c r="AA87" s="70"/>
      <c r="AB87" s="45">
        <f t="shared" ref="AB87:AD87" si="7">SUM(AB65,AB75)</f>
        <v>865</v>
      </c>
      <c r="AC87" s="45">
        <f t="shared" si="7"/>
        <v>378</v>
      </c>
      <c r="AD87" s="45">
        <f t="shared" si="7"/>
        <v>55</v>
      </c>
      <c r="AE87" s="52">
        <f>SUM(AE65,AE75)</f>
        <v>1970124</v>
      </c>
      <c r="AF87" s="43"/>
      <c r="AG87" s="65" t="s">
        <v>39</v>
      </c>
      <c r="AH87" s="50">
        <f>SUM(AH65,AH75)</f>
        <v>484100</v>
      </c>
      <c r="AI87" s="50">
        <f>SUM(AI65,AI75)</f>
        <v>150000</v>
      </c>
      <c r="AJ87" s="50">
        <f>SUM(AJ65,AJ75)</f>
        <v>36925</v>
      </c>
      <c r="AK87" s="50">
        <f>SUM(AK65,AK75)</f>
        <v>0</v>
      </c>
      <c r="AL87" s="212">
        <f>SUM(AL65,AL75)</f>
        <v>671025</v>
      </c>
      <c r="AN87" s="65" t="s">
        <v>39</v>
      </c>
      <c r="AO87" s="28">
        <f>SUM(AO65,AO75)</f>
        <v>673557</v>
      </c>
      <c r="AP87" s="28">
        <f>SUM(AP65,AP75)</f>
        <v>205000</v>
      </c>
      <c r="AQ87" s="28">
        <f>SUM(AQ65,AQ75)</f>
        <v>87294</v>
      </c>
      <c r="AR87" s="28">
        <f>SUM(AR65,AR75)</f>
        <v>96820</v>
      </c>
      <c r="AS87" s="212">
        <f>SUM(AS65,AS75)</f>
        <v>1062671</v>
      </c>
      <c r="AU87" s="65" t="s">
        <v>39</v>
      </c>
      <c r="AV87" s="28">
        <f>SUM(AV65,AV75)</f>
        <v>924187.32</v>
      </c>
      <c r="AW87" s="28">
        <f>SUM(AW65,AW75)</f>
        <v>275000</v>
      </c>
      <c r="AX87" s="28">
        <f>SUM(AX65,AX75)</f>
        <v>155048</v>
      </c>
      <c r="AY87" s="28">
        <f>SUM(AY65,AY75)</f>
        <v>231531.40000000002</v>
      </c>
      <c r="AZ87" s="212">
        <f>SUM(AZ65,AZ75)</f>
        <v>1585766.72</v>
      </c>
      <c r="BB87" s="4"/>
      <c r="BC87" s="4"/>
      <c r="BD87" s="4"/>
      <c r="BE87" s="59"/>
      <c r="BG87" s="173" t="s">
        <v>82</v>
      </c>
      <c r="BH87" s="177">
        <f t="shared" ref="BH87:BJ90" si="8">SUM(BH45,BH55,BH65,BH75)</f>
        <v>1404113</v>
      </c>
      <c r="BI87" s="177">
        <f t="shared" si="8"/>
        <v>2314393</v>
      </c>
      <c r="BJ87" s="177">
        <f t="shared" si="8"/>
        <v>3058120.7199999997</v>
      </c>
      <c r="BK87" s="180">
        <f>SUM(BH87:BJ87)</f>
        <v>6776626.7199999997</v>
      </c>
    </row>
    <row r="88" spans="1:91" ht="16" thickBot="1" x14ac:dyDescent="0.4">
      <c r="A88" s="27"/>
      <c r="B88" s="76" t="s">
        <v>44</v>
      </c>
      <c r="C88" s="427">
        <f t="shared" si="5"/>
        <v>619.21897491999994</v>
      </c>
      <c r="D88" s="427">
        <f t="shared" si="5"/>
        <v>1467.3655498666662</v>
      </c>
      <c r="E88" s="428">
        <f t="shared" si="5"/>
        <v>2608.7530566933333</v>
      </c>
      <c r="G88" s="65" t="s">
        <v>285</v>
      </c>
      <c r="H88" s="69"/>
      <c r="I88" s="70"/>
      <c r="J88" s="70"/>
      <c r="K88" s="45">
        <f>SUM(K45,K55)</f>
        <v>4</v>
      </c>
      <c r="L88" s="45">
        <f>SUM(L45,L55)</f>
        <v>2</v>
      </c>
      <c r="M88" s="52">
        <f>SUM(M45,M55,M66,M76)</f>
        <v>39244</v>
      </c>
      <c r="O88" s="65" t="s">
        <v>285</v>
      </c>
      <c r="P88" s="69"/>
      <c r="Q88" s="70"/>
      <c r="R88" s="70"/>
      <c r="S88" s="45">
        <f t="shared" ref="S88:U88" si="9">SUM(S45,S55)</f>
        <v>10</v>
      </c>
      <c r="T88" s="45">
        <f t="shared" si="9"/>
        <v>6</v>
      </c>
      <c r="U88" s="45">
        <f t="shared" si="9"/>
        <v>4</v>
      </c>
      <c r="V88" s="52">
        <f>SUM(V45,V55,V66,V76)</f>
        <v>98112</v>
      </c>
      <c r="X88" s="65" t="s">
        <v>285</v>
      </c>
      <c r="Y88" s="69"/>
      <c r="Z88" s="70"/>
      <c r="AA88" s="70"/>
      <c r="AB88" s="45">
        <f t="shared" ref="AB88:AD88" si="10">SUM(AB45,AB55)</f>
        <v>16</v>
      </c>
      <c r="AC88" s="45">
        <f t="shared" si="10"/>
        <v>6</v>
      </c>
      <c r="AD88" s="45">
        <f t="shared" si="10"/>
        <v>4</v>
      </c>
      <c r="AE88" s="52">
        <f>SUM(AE45,AE55,AE66,AE76)</f>
        <v>156980</v>
      </c>
      <c r="AG88" s="65" t="s">
        <v>285</v>
      </c>
      <c r="AH88" s="50">
        <f>SUM(AH45,AH55,AH66,AH76)</f>
        <v>720000</v>
      </c>
      <c r="AI88" s="50">
        <f>SUM(AI45,AI55,AI66,AI76)</f>
        <v>10000</v>
      </c>
      <c r="AJ88" s="50">
        <f>SUM(AJ45,AJ55,AJ66,AJ76)</f>
        <v>3088</v>
      </c>
      <c r="AK88" s="50">
        <f>SUM(AK45,AK55,AK66,AK76)</f>
        <v>0</v>
      </c>
      <c r="AL88" s="212">
        <f>SUM(AL45,AL55,AL66,AL76)</f>
        <v>733088</v>
      </c>
      <c r="AN88" s="65" t="s">
        <v>285</v>
      </c>
      <c r="AO88" s="28">
        <f>SUM(AO45,AO55,AO66,AO76)</f>
        <v>1080000</v>
      </c>
      <c r="AP88" s="28">
        <f>SUM(AP45,AP55,AP66,AP76)</f>
        <v>20000</v>
      </c>
      <c r="AQ88" s="28">
        <f>SUM(AQ45,AQ55,AQ66,AQ76)</f>
        <v>7722</v>
      </c>
      <c r="AR88" s="28">
        <f>SUM(AR45,AR55,AR66,AR76)</f>
        <v>144000</v>
      </c>
      <c r="AS88" s="212">
        <f>SUM(AS45,AS55,AS66,AS76)</f>
        <v>1251722</v>
      </c>
      <c r="AU88" s="65" t="s">
        <v>285</v>
      </c>
      <c r="AV88" s="28">
        <f>SUM(AV45,AV55,AV66,AV76)</f>
        <v>1080000</v>
      </c>
      <c r="AW88" s="28">
        <f>SUM(AW45,AW55,AW66,AW76)</f>
        <v>20000</v>
      </c>
      <c r="AX88" s="28">
        <f>SUM(AX45,AX55,AX66,AX76)</f>
        <v>12354</v>
      </c>
      <c r="AY88" s="28">
        <f>SUM(AY45,AY55,AY66,AY76)</f>
        <v>360000</v>
      </c>
      <c r="AZ88" s="212">
        <f>SUM(AZ45,AZ55,AZ66,AZ76)</f>
        <v>1472354</v>
      </c>
      <c r="BB88" s="4"/>
      <c r="BC88" s="4"/>
      <c r="BD88" s="4"/>
      <c r="BE88" s="59"/>
      <c r="BG88" s="64" t="s">
        <v>217</v>
      </c>
      <c r="BH88" s="181">
        <f t="shared" si="8"/>
        <v>210</v>
      </c>
      <c r="BI88" s="181">
        <f t="shared" si="8"/>
        <v>287</v>
      </c>
      <c r="BJ88" s="181">
        <f>SUM(BJ46,BJ56,BJ66,BJ76)</f>
        <v>384</v>
      </c>
      <c r="BK88" s="145">
        <f>SUM(BH88:BJ88)</f>
        <v>881</v>
      </c>
    </row>
    <row r="89" spans="1:91" x14ac:dyDescent="0.35">
      <c r="BG89" s="160" t="s">
        <v>218</v>
      </c>
      <c r="BH89" s="4">
        <f t="shared" si="8"/>
        <v>32</v>
      </c>
      <c r="BI89" s="4">
        <f t="shared" si="8"/>
        <v>45</v>
      </c>
      <c r="BJ89" s="4">
        <f t="shared" si="8"/>
        <v>59</v>
      </c>
      <c r="BK89" s="121">
        <f t="shared" ref="BK89:BK90" si="11">SUM(BH89:BJ89)</f>
        <v>136</v>
      </c>
    </row>
    <row r="90" spans="1:91" ht="16" thickBot="1" x14ac:dyDescent="0.4">
      <c r="BG90" s="65" t="s">
        <v>216</v>
      </c>
      <c r="BH90" s="45">
        <f t="shared" si="8"/>
        <v>508430</v>
      </c>
      <c r="BI90" s="45">
        <f t="shared" si="8"/>
        <v>1207304</v>
      </c>
      <c r="BJ90" s="45">
        <f t="shared" si="8"/>
        <v>2127104</v>
      </c>
      <c r="BK90" s="122">
        <f t="shared" si="11"/>
        <v>3842838</v>
      </c>
    </row>
    <row r="92" spans="1:91" x14ac:dyDescent="0.3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</row>
    <row r="94" spans="1:91" ht="21" x14ac:dyDescent="0.5">
      <c r="A94" s="54" t="s">
        <v>76</v>
      </c>
    </row>
    <row r="95" spans="1:91" x14ac:dyDescent="0.35">
      <c r="A95" t="s">
        <v>153</v>
      </c>
    </row>
    <row r="96" spans="1:91" x14ac:dyDescent="0.35">
      <c r="A96" t="s">
        <v>154</v>
      </c>
    </row>
    <row r="97" spans="1:11" x14ac:dyDescent="0.35">
      <c r="A97" t="s">
        <v>155</v>
      </c>
    </row>
    <row r="98" spans="1:11" x14ac:dyDescent="0.35">
      <c r="A98" t="s">
        <v>194</v>
      </c>
    </row>
    <row r="99" spans="1:11" x14ac:dyDescent="0.35">
      <c r="A99" t="s">
        <v>303</v>
      </c>
    </row>
    <row r="100" spans="1:11" x14ac:dyDescent="0.35">
      <c r="A100" t="s">
        <v>379</v>
      </c>
    </row>
    <row r="102" spans="1:11" x14ac:dyDescent="0.35">
      <c r="A102" s="8" t="s">
        <v>205</v>
      </c>
    </row>
    <row r="103" spans="1:11" ht="16" thickBot="1" x14ac:dyDescent="0.4"/>
    <row r="104" spans="1:11" ht="16" thickBot="1" x14ac:dyDescent="0.4">
      <c r="A104" s="29" t="s">
        <v>198</v>
      </c>
      <c r="B104" s="64"/>
      <c r="C104" s="200" t="s">
        <v>45</v>
      </c>
      <c r="D104" s="200" t="s">
        <v>46</v>
      </c>
      <c r="E104" s="53" t="s">
        <v>47</v>
      </c>
      <c r="G104" s="578" t="s">
        <v>85</v>
      </c>
      <c r="H104" s="167" t="s">
        <v>195</v>
      </c>
      <c r="I104" s="163"/>
      <c r="J104" s="164"/>
      <c r="K104" t="s">
        <v>381</v>
      </c>
    </row>
    <row r="105" spans="1:11" ht="34" customHeight="1" thickBot="1" x14ac:dyDescent="0.4">
      <c r="A105" s="27"/>
      <c r="B105" s="169" t="s">
        <v>44</v>
      </c>
      <c r="C105" s="158">
        <f>Bandwidth!O5+Bandwidth!O26+55%*Bandwidth!O47</f>
        <v>384.18799971999994</v>
      </c>
      <c r="D105" s="158">
        <f>Bandwidth!O6+Bandwidth!O27+55%*Bandwidth!O48</f>
        <v>910.41175786666656</v>
      </c>
      <c r="E105" s="159">
        <f>Bandwidth!O7+Bandwidth!O28+55%*Bandwidth!O49</f>
        <v>1618.573815093333</v>
      </c>
      <c r="G105" s="579"/>
      <c r="H105" s="123" t="s">
        <v>45</v>
      </c>
      <c r="I105" s="161" t="s">
        <v>46</v>
      </c>
      <c r="J105" s="162" t="s">
        <v>47</v>
      </c>
    </row>
    <row r="106" spans="1:11" x14ac:dyDescent="0.35">
      <c r="G106" s="160" t="s">
        <v>81</v>
      </c>
      <c r="H106" s="121">
        <f>ROUNDUP(C105/gig_bw,0)*1.5</f>
        <v>769.5</v>
      </c>
      <c r="I106" s="121">
        <f>ROUNDUP(D105/gig_bw,0)*1.5</f>
        <v>1821</v>
      </c>
      <c r="J106" s="121">
        <f>ROUNDUP(E105/gig_bw,0)*1.5</f>
        <v>3238.5</v>
      </c>
    </row>
    <row r="107" spans="1:11" x14ac:dyDescent="0.35">
      <c r="G107" s="160" t="s">
        <v>83</v>
      </c>
      <c r="H107" s="121">
        <f>ROUNDUP(C105/oc48_bw,0)*1.5</f>
        <v>307.5</v>
      </c>
      <c r="I107" s="121">
        <f>ROUNDUP(D105/oc48_bw,0)*1.5</f>
        <v>729</v>
      </c>
      <c r="J107" s="121">
        <f>ROUNDUP(E105/oc48_bw,0)*1.5</f>
        <v>1296</v>
      </c>
    </row>
    <row r="108" spans="1:11" ht="16" thickBot="1" x14ac:dyDescent="0.4">
      <c r="G108" s="65" t="s">
        <v>84</v>
      </c>
      <c r="H108" s="122">
        <f>ROUNDUP(C105/oc192_bw,0)*1.5</f>
        <v>78</v>
      </c>
      <c r="I108" s="122">
        <f>ROUNDUP(D105/oc192_bw,0)*1.5</f>
        <v>183</v>
      </c>
      <c r="J108" s="122">
        <f>ROUNDUP(E105/oc192_bw,0)*1.5</f>
        <v>324</v>
      </c>
    </row>
    <row r="111" spans="1:11" x14ac:dyDescent="0.35">
      <c r="A111" s="8" t="s">
        <v>206</v>
      </c>
    </row>
    <row r="112" spans="1:11" x14ac:dyDescent="0.35">
      <c r="A112" t="s">
        <v>203</v>
      </c>
    </row>
    <row r="113" spans="1:51" x14ac:dyDescent="0.35">
      <c r="A113" t="s">
        <v>196</v>
      </c>
      <c r="F113" s="46"/>
      <c r="N113" s="46"/>
    </row>
    <row r="114" spans="1:51" x14ac:dyDescent="0.35">
      <c r="A114" t="s">
        <v>197</v>
      </c>
      <c r="C114" s="4"/>
      <c r="E114" s="2"/>
      <c r="F114" s="60"/>
      <c r="G114" s="46"/>
      <c r="H114" s="7"/>
      <c r="I114" s="59"/>
    </row>
    <row r="115" spans="1:51" ht="16" thickBot="1" x14ac:dyDescent="0.4">
      <c r="G115" s="4"/>
      <c r="H115" s="4"/>
    </row>
    <row r="116" spans="1:51" ht="17" customHeight="1" thickBot="1" x14ac:dyDescent="0.4">
      <c r="A116" s="168" t="s">
        <v>198</v>
      </c>
      <c r="B116" s="64"/>
      <c r="C116" s="200" t="s">
        <v>45</v>
      </c>
      <c r="D116" s="200" t="s">
        <v>46</v>
      </c>
      <c r="E116" s="53" t="s">
        <v>47</v>
      </c>
      <c r="G116" s="578"/>
      <c r="H116" s="167" t="s">
        <v>195</v>
      </c>
      <c r="I116" s="163"/>
      <c r="J116" s="164"/>
    </row>
    <row r="117" spans="1:51" ht="16" thickBot="1" x14ac:dyDescent="0.4">
      <c r="A117" s="48"/>
      <c r="B117" s="169" t="s">
        <v>288</v>
      </c>
      <c r="C117" s="119">
        <f>K75+K65</f>
        <v>206</v>
      </c>
      <c r="D117" s="119">
        <f>S75+S65</f>
        <v>487</v>
      </c>
      <c r="E117" s="116">
        <f>AB75+AB65</f>
        <v>865</v>
      </c>
      <c r="G117" s="579"/>
      <c r="H117" s="123" t="s">
        <v>45</v>
      </c>
      <c r="I117" s="161" t="s">
        <v>46</v>
      </c>
      <c r="J117" s="162" t="s">
        <v>47</v>
      </c>
    </row>
    <row r="118" spans="1:51" ht="16" thickBot="1" x14ac:dyDescent="0.4">
      <c r="A118" s="173"/>
      <c r="B118" s="215" t="s">
        <v>289</v>
      </c>
      <c r="C118" s="218">
        <f>K88</f>
        <v>4</v>
      </c>
      <c r="D118" s="218">
        <f>S88</f>
        <v>10</v>
      </c>
      <c r="E118" s="217">
        <f>AB88</f>
        <v>16</v>
      </c>
      <c r="G118" s="65" t="s">
        <v>81</v>
      </c>
      <c r="H118" s="122">
        <f>C117*gen_xl_ports</f>
        <v>824</v>
      </c>
      <c r="I118" s="122">
        <f>D117*gen_xl_ports</f>
        <v>1948</v>
      </c>
      <c r="J118" s="122">
        <f>E117*gen_xl_ports</f>
        <v>3460</v>
      </c>
      <c r="K118" t="s">
        <v>204</v>
      </c>
    </row>
    <row r="119" spans="1:51" ht="16" thickBot="1" x14ac:dyDescent="0.4">
      <c r="G119" s="65" t="s">
        <v>84</v>
      </c>
      <c r="H119" s="122">
        <f>C118*nas_ports</f>
        <v>32</v>
      </c>
      <c r="I119" s="122">
        <f>D118*nas_ports</f>
        <v>80</v>
      </c>
      <c r="J119" s="122">
        <f>E118*nas_ports</f>
        <v>128</v>
      </c>
      <c r="K119" t="s">
        <v>380</v>
      </c>
    </row>
    <row r="121" spans="1:51" ht="19" thickBot="1" x14ac:dyDescent="0.5">
      <c r="A121" s="34" t="s">
        <v>210</v>
      </c>
    </row>
    <row r="122" spans="1:51" ht="16" thickBot="1" x14ac:dyDescent="0.4">
      <c r="A122" t="s">
        <v>211</v>
      </c>
      <c r="G122" s="578"/>
      <c r="H122" s="73" t="s">
        <v>213</v>
      </c>
      <c r="I122" s="163"/>
      <c r="J122" s="164"/>
      <c r="L122" s="578"/>
      <c r="M122" s="71" t="s">
        <v>98</v>
      </c>
      <c r="N122" s="72"/>
      <c r="O122" s="73"/>
      <c r="P122" s="71" t="s">
        <v>89</v>
      </c>
      <c r="Q122" s="72"/>
      <c r="R122" s="73"/>
      <c r="S122" s="71" t="s">
        <v>212</v>
      </c>
      <c r="T122" s="72"/>
      <c r="U122" s="72"/>
      <c r="V122" s="71" t="s">
        <v>224</v>
      </c>
      <c r="W122" s="72"/>
      <c r="X122" s="73"/>
      <c r="Z122" s="71" t="s">
        <v>45</v>
      </c>
      <c r="AA122" s="72"/>
      <c r="AB122" s="72"/>
      <c r="AC122" s="72"/>
      <c r="AD122" s="72"/>
      <c r="AE122" s="73"/>
      <c r="AG122" s="71" t="s">
        <v>46</v>
      </c>
      <c r="AH122" s="72"/>
      <c r="AI122" s="72"/>
      <c r="AJ122" s="72"/>
      <c r="AK122" s="72"/>
      <c r="AL122" s="73"/>
      <c r="AN122" s="71" t="s">
        <v>47</v>
      </c>
      <c r="AO122" s="72"/>
      <c r="AP122" s="72"/>
      <c r="AQ122" s="72"/>
      <c r="AR122" s="72"/>
      <c r="AS122" s="73"/>
      <c r="AU122" s="71" t="s">
        <v>69</v>
      </c>
      <c r="AV122" s="72"/>
      <c r="AW122" s="72"/>
      <c r="AX122" s="72"/>
      <c r="AY122" s="73"/>
    </row>
    <row r="123" spans="1:51" ht="31.5" thickBot="1" x14ac:dyDescent="0.4">
      <c r="A123" t="s">
        <v>207</v>
      </c>
      <c r="G123" s="583"/>
      <c r="H123" s="123" t="s">
        <v>45</v>
      </c>
      <c r="I123" s="161" t="s">
        <v>46</v>
      </c>
      <c r="J123" s="162" t="s">
        <v>47</v>
      </c>
      <c r="L123" s="579"/>
      <c r="M123" s="201" t="s">
        <v>45</v>
      </c>
      <c r="N123" s="139" t="s">
        <v>46</v>
      </c>
      <c r="O123" s="140" t="s">
        <v>47</v>
      </c>
      <c r="P123" s="109" t="s">
        <v>45</v>
      </c>
      <c r="Q123" s="72" t="s">
        <v>46</v>
      </c>
      <c r="R123" s="73" t="s">
        <v>47</v>
      </c>
      <c r="S123" s="109" t="s">
        <v>45</v>
      </c>
      <c r="T123" s="72" t="s">
        <v>46</v>
      </c>
      <c r="U123" s="72" t="s">
        <v>47</v>
      </c>
      <c r="V123" s="109" t="s">
        <v>45</v>
      </c>
      <c r="W123" s="72" t="s">
        <v>46</v>
      </c>
      <c r="X123" s="73" t="s">
        <v>47</v>
      </c>
      <c r="Z123" s="109" t="s">
        <v>156</v>
      </c>
      <c r="AA123" s="110" t="s">
        <v>78</v>
      </c>
      <c r="AB123" s="110" t="s">
        <v>52</v>
      </c>
      <c r="AC123" s="114" t="s">
        <v>223</v>
      </c>
      <c r="AD123" s="114" t="s">
        <v>54</v>
      </c>
      <c r="AE123" s="123" t="s">
        <v>88</v>
      </c>
      <c r="AG123" s="109" t="s">
        <v>156</v>
      </c>
      <c r="AH123" s="110" t="s">
        <v>78</v>
      </c>
      <c r="AI123" s="110" t="s">
        <v>52</v>
      </c>
      <c r="AJ123" s="114" t="s">
        <v>223</v>
      </c>
      <c r="AK123" s="114" t="s">
        <v>54</v>
      </c>
      <c r="AL123" s="123" t="s">
        <v>88</v>
      </c>
      <c r="AN123" s="109" t="s">
        <v>156</v>
      </c>
      <c r="AO123" s="110" t="s">
        <v>78</v>
      </c>
      <c r="AP123" s="110" t="s">
        <v>52</v>
      </c>
      <c r="AQ123" s="114" t="s">
        <v>223</v>
      </c>
      <c r="AR123" s="114" t="s">
        <v>54</v>
      </c>
      <c r="AS123" s="123" t="s">
        <v>88</v>
      </c>
      <c r="AU123" s="64"/>
      <c r="AV123" s="199" t="s">
        <v>45</v>
      </c>
      <c r="AW123" s="200" t="s">
        <v>46</v>
      </c>
      <c r="AX123" s="53" t="s">
        <v>47</v>
      </c>
      <c r="AY123" s="197" t="s">
        <v>70</v>
      </c>
    </row>
    <row r="124" spans="1:51" ht="17" customHeight="1" thickBot="1" x14ac:dyDescent="0.4">
      <c r="A124" s="580" t="s">
        <v>208</v>
      </c>
      <c r="B124" s="580"/>
      <c r="C124" s="580"/>
      <c r="D124" s="580"/>
      <c r="E124" s="580"/>
      <c r="G124" s="47" t="s">
        <v>81</v>
      </c>
      <c r="H124" s="121">
        <f>H118</f>
        <v>824</v>
      </c>
      <c r="I124" s="121">
        <f t="shared" ref="I124:J124" si="12">I118</f>
        <v>1948</v>
      </c>
      <c r="J124" s="121">
        <f t="shared" si="12"/>
        <v>3460</v>
      </c>
      <c r="L124" s="160" t="s">
        <v>81</v>
      </c>
      <c r="M124" s="174">
        <f>ROUNDUP(H124/gig_ports,0)</f>
        <v>103</v>
      </c>
      <c r="N124" s="4">
        <f>ROUNDUP(I124/gig_ports,0)</f>
        <v>244</v>
      </c>
      <c r="O124" s="51">
        <f>ROUNDUP(J124/gig_ports,0)</f>
        <v>433</v>
      </c>
      <c r="P124" s="174">
        <f>ROUNDUP(M124/22,0)</f>
        <v>5</v>
      </c>
      <c r="Q124" s="4">
        <f>ROUNDUP(N124/22,0)</f>
        <v>12</v>
      </c>
      <c r="R124" s="51">
        <f>ROUNDUP(O124/22,0)</f>
        <v>20</v>
      </c>
      <c r="S124" s="176"/>
      <c r="T124" s="176"/>
      <c r="U124" s="176"/>
      <c r="V124" s="174">
        <f>ROUNDUP(M124*gig_pwr*24*365,0)</f>
        <v>48724</v>
      </c>
      <c r="W124" s="4">
        <f>ROUNDUP(N124*gig_pwr*24*365,0)</f>
        <v>115422</v>
      </c>
      <c r="X124" s="51">
        <f>ROUNDUP(O124*gig_pwr*24*365,0)</f>
        <v>204827</v>
      </c>
      <c r="Z124" s="44">
        <f>M124*gig_cost+M125*oc48_cost+(M126+M127)*oc192_cost</f>
        <v>1142000</v>
      </c>
      <c r="AA124" s="50">
        <f>P128*shelf_cost</f>
        <v>70000</v>
      </c>
      <c r="AB124" s="50">
        <f>S128*rack_cost</f>
        <v>35000</v>
      </c>
      <c r="AC124" s="50">
        <f>ROUNDUP(V128*w_pwr,0)</f>
        <v>14166</v>
      </c>
      <c r="AD124" s="50">
        <v>0</v>
      </c>
      <c r="AE124" s="165">
        <f>SUM(Z124:AD124)</f>
        <v>1261166</v>
      </c>
      <c r="AG124" s="44">
        <f>N124*gig_cost+N125*oc48_cost+(N126+N127)*oc192_cost-Z124</f>
        <v>1546000</v>
      </c>
      <c r="AH124" s="50">
        <f>Q128*shelf_cost-AA124</f>
        <v>90000</v>
      </c>
      <c r="AI124" s="50">
        <f>T128*rack_cost-AB124</f>
        <v>45000</v>
      </c>
      <c r="AJ124" s="50">
        <f>ROUNDUP(W128*w_pwr,0)</f>
        <v>33283</v>
      </c>
      <c r="AK124" s="50">
        <f>ROUND(hw_supt*SUM(Z124,AA124),0)</f>
        <v>242400</v>
      </c>
      <c r="AL124" s="165">
        <f>SUM(AG124:AK124)</f>
        <v>1956683</v>
      </c>
      <c r="AN124" s="44">
        <f>O124*gig_cost+O125*oc48_cost+(O126+O127)*oc192_cost-AG124-Z124</f>
        <v>1967000</v>
      </c>
      <c r="AO124" s="50">
        <f>R128*shelf_cost-AH124-AA124</f>
        <v>110000</v>
      </c>
      <c r="AP124" s="50">
        <f>U128*rack_cost-AI124-AB124</f>
        <v>55000</v>
      </c>
      <c r="AQ124" s="50">
        <f>ROUNDUP(X128*w_pwr,0)</f>
        <v>57258</v>
      </c>
      <c r="AR124" s="50">
        <f>ROUND(hw_supt*SUM(Z124,AG124,AA124,AH124),0)</f>
        <v>569600</v>
      </c>
      <c r="AS124" s="165">
        <f>SUM(AN124:AR124)</f>
        <v>2758858</v>
      </c>
      <c r="AU124" s="173" t="s">
        <v>82</v>
      </c>
      <c r="AV124" s="186">
        <f>AE124</f>
        <v>1261166</v>
      </c>
      <c r="AW124" s="187">
        <f>AL124</f>
        <v>1956683</v>
      </c>
      <c r="AX124" s="188">
        <f>AS124</f>
        <v>2758858</v>
      </c>
      <c r="AY124" s="189">
        <f>SUM(AV124:AX124)</f>
        <v>5976707</v>
      </c>
    </row>
    <row r="125" spans="1:51" x14ac:dyDescent="0.35">
      <c r="A125" s="580"/>
      <c r="B125" s="580"/>
      <c r="C125" s="580"/>
      <c r="D125" s="580"/>
      <c r="E125" s="580"/>
      <c r="G125" s="47" t="s">
        <v>83</v>
      </c>
      <c r="H125" s="121">
        <f>H107</f>
        <v>307.5</v>
      </c>
      <c r="I125" s="121">
        <f t="shared" ref="I125:J125" si="13">I107</f>
        <v>729</v>
      </c>
      <c r="J125" s="121">
        <f t="shared" si="13"/>
        <v>1296</v>
      </c>
      <c r="L125" s="160" t="s">
        <v>83</v>
      </c>
      <c r="M125" s="174">
        <f>ROUNDUP(H125/oc48_ports,0)</f>
        <v>39</v>
      </c>
      <c r="N125" s="4">
        <f>ROUNDUP(I125/oc48_ports,0)</f>
        <v>92</v>
      </c>
      <c r="O125" s="51">
        <f>ROUNDUP(J125/oc48_ports,0)</f>
        <v>162</v>
      </c>
      <c r="P125" s="174">
        <f>ROUNDUP(M125/6,0)</f>
        <v>7</v>
      </c>
      <c r="Q125" s="4">
        <f>ROUNDUP(N125/6,0)</f>
        <v>16</v>
      </c>
      <c r="R125" s="51">
        <f>ROUNDUP(O125/6,0)</f>
        <v>27</v>
      </c>
      <c r="S125" s="176"/>
      <c r="T125" s="176"/>
      <c r="U125" s="176"/>
      <c r="V125" s="174">
        <f>ROUNDUP(M125*oc48_pwr*24*365,0)</f>
        <v>46122</v>
      </c>
      <c r="W125" s="4">
        <f>ROUNDUP(N125*oc48_pwr*24*365,0)</f>
        <v>108800</v>
      </c>
      <c r="X125" s="51">
        <f>ROUNDUP(O125*oc48_pwr*24*365,0)</f>
        <v>191582</v>
      </c>
      <c r="AU125" s="160" t="s">
        <v>219</v>
      </c>
      <c r="AV125" s="174">
        <f>M128</f>
        <v>178</v>
      </c>
      <c r="AW125" s="4">
        <f>N128-M128</f>
        <v>242</v>
      </c>
      <c r="AX125" s="51">
        <f>O128-N128</f>
        <v>315</v>
      </c>
      <c r="AY125" s="121">
        <f>SUM(AV125:AX125)</f>
        <v>735</v>
      </c>
    </row>
    <row r="126" spans="1:51" ht="16" thickBot="1" x14ac:dyDescent="0.4">
      <c r="A126" s="580"/>
      <c r="B126" s="580"/>
      <c r="C126" s="580"/>
      <c r="D126" s="580"/>
      <c r="E126" s="580"/>
      <c r="G126" s="47" t="s">
        <v>84</v>
      </c>
      <c r="H126" s="121">
        <f>H119</f>
        <v>32</v>
      </c>
      <c r="I126" s="121">
        <f t="shared" ref="I126:J126" si="14">I119</f>
        <v>80</v>
      </c>
      <c r="J126" s="121">
        <f t="shared" si="14"/>
        <v>128</v>
      </c>
      <c r="L126" s="160" t="s">
        <v>290</v>
      </c>
      <c r="M126" s="174">
        <f>ROUNDUP(H126/oc192_ports,0)</f>
        <v>8</v>
      </c>
      <c r="N126" s="4">
        <f>ROUNDUP(I126/oc192_ports,0)</f>
        <v>20</v>
      </c>
      <c r="O126" s="51">
        <f>ROUNDUP(J126/oc192_ports,0)</f>
        <v>32</v>
      </c>
      <c r="P126" s="174">
        <f>ROUNDUP(M126/2,0)</f>
        <v>4</v>
      </c>
      <c r="Q126" s="4">
        <f t="shared" ref="Q126:R126" si="15">ROUNDUP(N126/4,0)</f>
        <v>5</v>
      </c>
      <c r="R126" s="51">
        <f t="shared" si="15"/>
        <v>8</v>
      </c>
      <c r="S126" s="176"/>
      <c r="T126" s="176"/>
      <c r="U126" s="176"/>
      <c r="V126" s="174">
        <f t="shared" ref="V126:X127" si="16">ROUNDUP(M126*oc192_pwr*24*365,0)</f>
        <v>18922</v>
      </c>
      <c r="W126" s="4">
        <f t="shared" si="16"/>
        <v>47304</v>
      </c>
      <c r="X126" s="51">
        <f t="shared" si="16"/>
        <v>75687</v>
      </c>
      <c r="AU126" s="160" t="s">
        <v>220</v>
      </c>
      <c r="AV126" s="174">
        <f>P128</f>
        <v>7</v>
      </c>
      <c r="AW126" s="4">
        <f>Q128-P128</f>
        <v>9</v>
      </c>
      <c r="AX126" s="51">
        <f>R128-Q128</f>
        <v>11</v>
      </c>
      <c r="AY126" s="121">
        <f t="shared" ref="AY126:AY128" si="17">SUM(AV126:AX126)</f>
        <v>27</v>
      </c>
    </row>
    <row r="127" spans="1:51" ht="16" thickBot="1" x14ac:dyDescent="0.4">
      <c r="G127" s="71" t="s">
        <v>75</v>
      </c>
      <c r="H127" s="172">
        <f>SUM(H124:H125)</f>
        <v>1131.5</v>
      </c>
      <c r="I127" s="172">
        <f t="shared" ref="I127:J127" si="18">SUM(I124:I125)</f>
        <v>2677</v>
      </c>
      <c r="J127" s="172">
        <f t="shared" si="18"/>
        <v>4756</v>
      </c>
      <c r="L127" s="160" t="s">
        <v>291</v>
      </c>
      <c r="M127" s="174">
        <f>P128*4</f>
        <v>28</v>
      </c>
      <c r="N127" s="4">
        <f>Q128*4</f>
        <v>64</v>
      </c>
      <c r="O127" s="51">
        <f>R128*4</f>
        <v>108</v>
      </c>
      <c r="P127" s="183" t="s">
        <v>182</v>
      </c>
      <c r="Q127" s="184" t="s">
        <v>182</v>
      </c>
      <c r="R127" s="185" t="s">
        <v>182</v>
      </c>
      <c r="S127" s="176"/>
      <c r="T127" s="176"/>
      <c r="U127" s="176"/>
      <c r="V127" s="174">
        <f t="shared" si="16"/>
        <v>66226</v>
      </c>
      <c r="W127" s="4">
        <f t="shared" si="16"/>
        <v>151373</v>
      </c>
      <c r="X127" s="51">
        <f t="shared" si="16"/>
        <v>255442</v>
      </c>
      <c r="AU127" s="160" t="s">
        <v>218</v>
      </c>
      <c r="AV127" s="174">
        <f>S128</f>
        <v>7</v>
      </c>
      <c r="AW127" s="4">
        <f>T128-S128</f>
        <v>9</v>
      </c>
      <c r="AX127" s="51">
        <f>U128-T128</f>
        <v>11</v>
      </c>
      <c r="AY127" s="121">
        <f t="shared" si="17"/>
        <v>27</v>
      </c>
    </row>
    <row r="128" spans="1:51" ht="16" thickBot="1" x14ac:dyDescent="0.4">
      <c r="L128" s="173" t="s">
        <v>75</v>
      </c>
      <c r="M128" s="175">
        <f>SUM(M124:M127)</f>
        <v>178</v>
      </c>
      <c r="N128" s="170">
        <f>SUM(N124:N127)</f>
        <v>420</v>
      </c>
      <c r="O128" s="171">
        <f>SUM(O124:O127)</f>
        <v>735</v>
      </c>
      <c r="P128" s="175">
        <f>MAX(P124:P127)</f>
        <v>7</v>
      </c>
      <c r="Q128" s="170">
        <f>MAX(Q124:Q127)</f>
        <v>16</v>
      </c>
      <c r="R128" s="171">
        <f>MAX(R124:R127)</f>
        <v>27</v>
      </c>
      <c r="S128" s="175">
        <f>P128</f>
        <v>7</v>
      </c>
      <c r="T128" s="170">
        <f t="shared" ref="T128:U128" si="19">Q128</f>
        <v>16</v>
      </c>
      <c r="U128" s="170">
        <f t="shared" si="19"/>
        <v>27</v>
      </c>
      <c r="V128" s="175">
        <f>SUM(V124:V127)</f>
        <v>179994</v>
      </c>
      <c r="W128" s="170">
        <f>SUM(W124:W127)</f>
        <v>422899</v>
      </c>
      <c r="X128" s="171">
        <f>SUM(X124:X127)</f>
        <v>727538</v>
      </c>
      <c r="AU128" s="65" t="s">
        <v>216</v>
      </c>
      <c r="AV128" s="74">
        <f>V128</f>
        <v>179994</v>
      </c>
      <c r="AW128" s="45">
        <f>W128</f>
        <v>422899</v>
      </c>
      <c r="AX128" s="52">
        <f>X128</f>
        <v>727538</v>
      </c>
      <c r="AY128" s="122">
        <f t="shared" si="17"/>
        <v>1330431</v>
      </c>
    </row>
    <row r="130" spans="1:91" x14ac:dyDescent="0.3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</row>
    <row r="132" spans="1:91" ht="18.5" x14ac:dyDescent="0.45">
      <c r="A132" s="55" t="s">
        <v>92</v>
      </c>
    </row>
    <row r="133" spans="1:91" x14ac:dyDescent="0.35">
      <c r="A133" t="s">
        <v>273</v>
      </c>
    </row>
    <row r="134" spans="1:91" x14ac:dyDescent="0.35">
      <c r="A134" t="s">
        <v>382</v>
      </c>
    </row>
    <row r="135" spans="1:91" x14ac:dyDescent="0.35">
      <c r="A135" t="s">
        <v>266</v>
      </c>
    </row>
    <row r="137" spans="1:91" x14ac:dyDescent="0.35">
      <c r="C137" s="8" t="s">
        <v>45</v>
      </c>
      <c r="D137" s="8" t="s">
        <v>46</v>
      </c>
      <c r="E137" s="8" t="s">
        <v>47</v>
      </c>
    </row>
    <row r="138" spans="1:91" x14ac:dyDescent="0.35">
      <c r="A138" s="8" t="s">
        <v>428</v>
      </c>
      <c r="B138" s="195"/>
      <c r="C138" s="196"/>
      <c r="D138" s="196"/>
      <c r="E138" s="196"/>
    </row>
    <row r="139" spans="1:91" x14ac:dyDescent="0.35">
      <c r="A139" s="8"/>
      <c r="B139" s="202" t="s">
        <v>260</v>
      </c>
      <c r="C139" s="196"/>
      <c r="D139" s="196"/>
      <c r="E139" s="196"/>
    </row>
    <row r="140" spans="1:91" x14ac:dyDescent="0.35">
      <c r="B140" s="10" t="s">
        <v>433</v>
      </c>
      <c r="C140" s="1">
        <f>C19*rack_sf*1.5</f>
        <v>1872</v>
      </c>
      <c r="D140" s="1">
        <f>D19*rack_sf*1.5</f>
        <v>4464</v>
      </c>
      <c r="E140" s="1">
        <f>E19*rack_sf*1.5</f>
        <v>7824</v>
      </c>
    </row>
    <row r="141" spans="1:91" x14ac:dyDescent="0.35">
      <c r="B141" s="10" t="s">
        <v>429</v>
      </c>
      <c r="C141" s="205">
        <f>D140*w_space*12</f>
        <v>358905.59999999998</v>
      </c>
      <c r="D141" s="205">
        <f>E140*w_space*12</f>
        <v>629049.60000000009</v>
      </c>
      <c r="E141" s="205">
        <f>E140*w_space*12</f>
        <v>629049.60000000009</v>
      </c>
    </row>
    <row r="142" spans="1:91" x14ac:dyDescent="0.35">
      <c r="B142" s="10" t="s">
        <v>252</v>
      </c>
      <c r="C142" s="205">
        <f>C158*23801/2*50%</f>
        <v>701420.36061643832</v>
      </c>
      <c r="D142" s="205">
        <f>(D158-C158)*23801/2*50%</f>
        <v>959558.30389554799</v>
      </c>
      <c r="E142" s="205">
        <f>(E158-D158)*23801/2*50%</f>
        <v>1247554.4794092465</v>
      </c>
    </row>
    <row r="143" spans="1:91" x14ac:dyDescent="0.35">
      <c r="B143" s="10" t="s">
        <v>253</v>
      </c>
      <c r="C143" s="205">
        <f>C140/2*262*50%</f>
        <v>122616</v>
      </c>
      <c r="D143" s="205">
        <f>(D140-C140)/2*262*50%</f>
        <v>169776</v>
      </c>
      <c r="E143" s="205">
        <f>(E140-D140)/2*262*50%</f>
        <v>220080</v>
      </c>
    </row>
    <row r="144" spans="1:91" x14ac:dyDescent="0.35">
      <c r="B144" s="10" t="s">
        <v>262</v>
      </c>
      <c r="C144" s="481"/>
      <c r="D144" s="482"/>
      <c r="E144" s="482"/>
    </row>
    <row r="145" spans="1:5" x14ac:dyDescent="0.35">
      <c r="B145" s="10" t="s">
        <v>263</v>
      </c>
      <c r="C145" s="205">
        <f>5%*SUM(C142:C143)</f>
        <v>41201.818030821916</v>
      </c>
      <c r="D145" s="205">
        <f t="shared" ref="D145:E145" si="20">5%*SUM(D142:D143)</f>
        <v>56466.715194777404</v>
      </c>
      <c r="E145" s="205">
        <f t="shared" si="20"/>
        <v>73381.723970462321</v>
      </c>
    </row>
    <row r="146" spans="1:5" x14ac:dyDescent="0.35">
      <c r="B146" s="10" t="s">
        <v>264</v>
      </c>
      <c r="C146" s="2"/>
    </row>
    <row r="147" spans="1:5" x14ac:dyDescent="0.35">
      <c r="B147" s="31" t="s">
        <v>231</v>
      </c>
      <c r="C147" s="4">
        <f>H107</f>
        <v>307.5</v>
      </c>
      <c r="D147" s="4">
        <f>I107-H107</f>
        <v>421.5</v>
      </c>
      <c r="E147" s="4">
        <f>J107-I107</f>
        <v>567</v>
      </c>
    </row>
    <row r="148" spans="1:5" x14ac:dyDescent="0.35">
      <c r="B148" s="31" t="s">
        <v>226</v>
      </c>
      <c r="C148" s="4">
        <f>ROUNDUP(C147/144,0)</f>
        <v>3</v>
      </c>
      <c r="D148" s="4">
        <f t="shared" ref="D148:E148" si="21">ROUNDUP(D147/144,0)</f>
        <v>3</v>
      </c>
      <c r="E148" s="4">
        <f t="shared" si="21"/>
        <v>4</v>
      </c>
    </row>
    <row r="149" spans="1:5" x14ac:dyDescent="0.35">
      <c r="B149" s="31" t="s">
        <v>228</v>
      </c>
      <c r="C149" s="1">
        <f>C148*fiber_run*110%</f>
        <v>17424</v>
      </c>
      <c r="D149" s="1">
        <f>D148*fiber_run*110%</f>
        <v>17424</v>
      </c>
      <c r="E149" s="1">
        <f>E148*fiber_run*110%</f>
        <v>23232.000000000004</v>
      </c>
    </row>
    <row r="150" spans="1:5" x14ac:dyDescent="0.35">
      <c r="B150" s="31" t="s">
        <v>229</v>
      </c>
      <c r="C150" s="59">
        <f>C149*fiber_cost</f>
        <v>34325.279999999999</v>
      </c>
      <c r="D150" s="59">
        <f>D149*fiber_cost</f>
        <v>34325.279999999999</v>
      </c>
      <c r="E150" s="59">
        <f>E149*fiber_cost</f>
        <v>45767.040000000008</v>
      </c>
    </row>
    <row r="151" spans="1:5" x14ac:dyDescent="0.35">
      <c r="B151" s="31" t="s">
        <v>232</v>
      </c>
      <c r="C151" s="59">
        <f>20000*C148</f>
        <v>60000</v>
      </c>
      <c r="D151" s="59">
        <f t="shared" ref="D151:E151" si="22">20000*D148</f>
        <v>60000</v>
      </c>
      <c r="E151" s="59">
        <f t="shared" si="22"/>
        <v>80000</v>
      </c>
    </row>
    <row r="152" spans="1:5" x14ac:dyDescent="0.35">
      <c r="B152" s="31" t="s">
        <v>233</v>
      </c>
      <c r="C152" s="43">
        <f>SUM(C150:C151)</f>
        <v>94325.28</v>
      </c>
      <c r="D152" s="43">
        <f t="shared" ref="D152:E152" si="23">SUM(D150:D151)</f>
        <v>94325.28</v>
      </c>
      <c r="E152" s="43">
        <f t="shared" si="23"/>
        <v>125767.04000000001</v>
      </c>
    </row>
    <row r="153" spans="1:5" x14ac:dyDescent="0.35">
      <c r="B153" s="209" t="s">
        <v>271</v>
      </c>
      <c r="C153" s="210">
        <f>C140/2*65</f>
        <v>60840</v>
      </c>
      <c r="D153" s="210">
        <f>(D140-C140)/2*65</f>
        <v>84240</v>
      </c>
      <c r="E153" s="210">
        <f>(E140-D140)/2*65</f>
        <v>109200</v>
      </c>
    </row>
    <row r="154" spans="1:5" x14ac:dyDescent="0.35">
      <c r="B154" s="10" t="s">
        <v>265</v>
      </c>
      <c r="C154" s="43">
        <v>0</v>
      </c>
      <c r="D154" s="19">
        <v>0</v>
      </c>
      <c r="E154" s="19">
        <v>0</v>
      </c>
    </row>
    <row r="155" spans="1:5" x14ac:dyDescent="0.35">
      <c r="B155" s="18" t="s">
        <v>269</v>
      </c>
      <c r="C155" s="196">
        <f>SUM(C141:C145,C152,C153,C154)</f>
        <v>1379309.0586472601</v>
      </c>
      <c r="D155" s="196">
        <f t="shared" ref="D155:E155" si="24">SUM(D141:D145,D152,D153,D154)</f>
        <v>1993415.8990903255</v>
      </c>
      <c r="E155" s="196">
        <f t="shared" si="24"/>
        <v>2405032.8433797089</v>
      </c>
    </row>
    <row r="156" spans="1:5" x14ac:dyDescent="0.35">
      <c r="A156" s="8" t="s">
        <v>432</v>
      </c>
      <c r="B156" s="20"/>
      <c r="C156" s="196"/>
      <c r="D156" s="204"/>
      <c r="E156" s="204"/>
    </row>
    <row r="157" spans="1:5" x14ac:dyDescent="0.35">
      <c r="B157" t="s">
        <v>254</v>
      </c>
      <c r="C157" s="19"/>
      <c r="D157" s="19"/>
      <c r="E157" s="19"/>
    </row>
    <row r="158" spans="1:5" x14ac:dyDescent="0.35">
      <c r="A158" s="8"/>
      <c r="B158" s="191" t="s">
        <v>261</v>
      </c>
      <c r="C158" s="21">
        <f>C161/24/365</f>
        <v>117.88082191780822</v>
      </c>
      <c r="D158" s="21">
        <f t="shared" ref="D158:E158" si="25">D161/24/365</f>
        <v>279.1443493150685</v>
      </c>
      <c r="E158" s="21">
        <f t="shared" si="25"/>
        <v>488.80856164383562</v>
      </c>
    </row>
    <row r="159" spans="1:5" x14ac:dyDescent="0.35">
      <c r="B159" s="191" t="s">
        <v>257</v>
      </c>
      <c r="C159" s="1">
        <f>(BH90+AV128)</f>
        <v>688424</v>
      </c>
      <c r="D159" s="1">
        <f>(BI90+AW128)</f>
        <v>1630203</v>
      </c>
      <c r="E159" s="1">
        <f>(BJ90+AX128)</f>
        <v>2854642</v>
      </c>
    </row>
    <row r="160" spans="1:5" x14ac:dyDescent="0.35">
      <c r="B160" s="191" t="s">
        <v>258</v>
      </c>
      <c r="C160" s="1">
        <f>C159*50%</f>
        <v>344212</v>
      </c>
      <c r="D160" s="1">
        <f t="shared" ref="D160:E160" si="26">D159*50%</f>
        <v>815101.5</v>
      </c>
      <c r="E160" s="1">
        <f t="shared" si="26"/>
        <v>1427321</v>
      </c>
    </row>
    <row r="161" spans="1:5" x14ac:dyDescent="0.35">
      <c r="B161" s="191" t="s">
        <v>256</v>
      </c>
      <c r="C161" s="1">
        <f>SUM(C159:C160)</f>
        <v>1032636</v>
      </c>
      <c r="D161" s="1">
        <f t="shared" ref="D161:E161" si="27">SUM(D159:D160)</f>
        <v>2445304.5</v>
      </c>
      <c r="E161" s="1">
        <f t="shared" si="27"/>
        <v>4281963</v>
      </c>
    </row>
    <row r="162" spans="1:5" x14ac:dyDescent="0.35">
      <c r="B162" s="191" t="s">
        <v>267</v>
      </c>
      <c r="C162" s="205">
        <f>C161*w_pwr</f>
        <v>81268.453200000004</v>
      </c>
      <c r="D162" s="205">
        <f>D161*w_pwr</f>
        <v>192445.46415000001</v>
      </c>
      <c r="E162" s="205">
        <f>E161*w_pwr</f>
        <v>336990.48810000002</v>
      </c>
    </row>
    <row r="163" spans="1:5" x14ac:dyDescent="0.35">
      <c r="B163" s="202" t="s">
        <v>268</v>
      </c>
      <c r="C163" s="205">
        <f>C105/2*1000*w_it*12*60%</f>
        <v>622384.55954639998</v>
      </c>
      <c r="D163" s="205">
        <f>D105/2*1000*w_it*12*60%</f>
        <v>1474867.0477439996</v>
      </c>
      <c r="E163" s="205">
        <f>E105/2*1000*w_it*12*60%</f>
        <v>2622089.5804511993</v>
      </c>
    </row>
    <row r="164" spans="1:5" x14ac:dyDescent="0.35">
      <c r="B164" s="202" t="s">
        <v>275</v>
      </c>
      <c r="C164" s="205">
        <v>0</v>
      </c>
      <c r="D164" s="205">
        <f>AR87+AK124</f>
        <v>339220</v>
      </c>
      <c r="E164" s="205">
        <f>SUM(AY87,AR124)</f>
        <v>801131.4</v>
      </c>
    </row>
    <row r="165" spans="1:5" x14ac:dyDescent="0.35">
      <c r="B165" s="202" t="s">
        <v>247</v>
      </c>
      <c r="C165" s="59">
        <f>w_tax*SUM(C142,C150,C27)</f>
        <v>52336.912812328766</v>
      </c>
      <c r="D165" s="59">
        <f>w_tax*SUM(C150:D150,C142:D142,C27:D27)</f>
        <v>123405.72449023974</v>
      </c>
      <c r="E165" s="59">
        <f>w_tax*SUM(C150:E150,C142:E142,C27:E27)</f>
        <v>215895.90127842463</v>
      </c>
    </row>
    <row r="166" spans="1:5" x14ac:dyDescent="0.35">
      <c r="B166" s="18" t="s">
        <v>270</v>
      </c>
      <c r="C166" s="206">
        <f>SUM(C162,C163,C164,C165)</f>
        <v>755989.92555872875</v>
      </c>
      <c r="D166" s="206">
        <f t="shared" ref="D166:E166" si="28">SUM(D162,D163,D164,D165)</f>
        <v>2129938.2363842395</v>
      </c>
      <c r="E166" s="206">
        <f t="shared" si="28"/>
        <v>3976107.369829624</v>
      </c>
    </row>
    <row r="167" spans="1:5" x14ac:dyDescent="0.35">
      <c r="A167" s="18" t="s">
        <v>248</v>
      </c>
    </row>
    <row r="168" spans="1:5" x14ac:dyDescent="0.35">
      <c r="B168" s="202" t="s">
        <v>467</v>
      </c>
      <c r="C168" s="59">
        <f>D188*1000</f>
        <v>105827.99999999999</v>
      </c>
      <c r="D168" s="43">
        <f>C168*1.03</f>
        <v>109002.83999999998</v>
      </c>
      <c r="E168" s="43">
        <f>D168*1.03</f>
        <v>112272.92519999998</v>
      </c>
    </row>
    <row r="169" spans="1:5" x14ac:dyDescent="0.35">
      <c r="B169" s="202" t="s">
        <v>468</v>
      </c>
      <c r="C169" s="59">
        <f>E188*1000</f>
        <v>176380</v>
      </c>
      <c r="D169" s="43">
        <f t="shared" ref="D169:E173" si="29">C169*1.03</f>
        <v>181671.4</v>
      </c>
      <c r="E169" s="43">
        <f t="shared" si="29"/>
        <v>187121.54199999999</v>
      </c>
    </row>
    <row r="170" spans="1:5" x14ac:dyDescent="0.35">
      <c r="B170" s="202" t="s">
        <v>469</v>
      </c>
      <c r="C170" s="59">
        <f>F188*1000</f>
        <v>122220</v>
      </c>
      <c r="D170" s="43">
        <f t="shared" si="29"/>
        <v>125886.6</v>
      </c>
      <c r="E170" s="43">
        <f>D170*1.03*1.333</f>
        <v>172841.042934</v>
      </c>
    </row>
    <row r="171" spans="1:5" x14ac:dyDescent="0.35">
      <c r="B171" s="202" t="s">
        <v>250</v>
      </c>
      <c r="C171" s="59">
        <f>G188*1000</f>
        <v>0</v>
      </c>
      <c r="D171" s="43">
        <f t="shared" si="29"/>
        <v>0</v>
      </c>
      <c r="E171" s="43">
        <f t="shared" si="29"/>
        <v>0</v>
      </c>
    </row>
    <row r="172" spans="1:5" x14ac:dyDescent="0.35">
      <c r="B172" s="202" t="s">
        <v>249</v>
      </c>
      <c r="C172" s="59">
        <f>E189*C140</f>
        <v>0</v>
      </c>
      <c r="D172" s="43">
        <f>C172*1.03</f>
        <v>0</v>
      </c>
      <c r="E172" s="43">
        <f>D172*1.03</f>
        <v>0</v>
      </c>
    </row>
    <row r="173" spans="1:5" x14ac:dyDescent="0.35">
      <c r="B173" s="18" t="s">
        <v>251</v>
      </c>
      <c r="C173" s="206">
        <f>SUM(C168:C171)</f>
        <v>404428</v>
      </c>
      <c r="D173" s="206">
        <f t="shared" si="29"/>
        <v>416560.84</v>
      </c>
      <c r="E173" s="206">
        <f t="shared" si="29"/>
        <v>429057.66520000005</v>
      </c>
    </row>
    <row r="174" spans="1:5" x14ac:dyDescent="0.35">
      <c r="A174" s="8" t="s">
        <v>272</v>
      </c>
      <c r="B174" s="519">
        <f>SUM(C174:E174)</f>
        <v>13889839.838089887</v>
      </c>
      <c r="C174" s="206">
        <f>SUM(C155,C166,C173)</f>
        <v>2539726.9842059887</v>
      </c>
      <c r="D174" s="206">
        <f>SUM(D155,D166,D173)</f>
        <v>4539914.9754745653</v>
      </c>
      <c r="E174" s="206">
        <f>SUM(E155,E166,E173)</f>
        <v>6810197.8784093326</v>
      </c>
    </row>
    <row r="175" spans="1:5" x14ac:dyDescent="0.35">
      <c r="B175" s="195"/>
      <c r="C175" s="203"/>
      <c r="D175" s="203"/>
      <c r="E175" s="203"/>
    </row>
    <row r="176" spans="1:5" x14ac:dyDescent="0.35">
      <c r="B176" s="195"/>
      <c r="C176" s="203"/>
      <c r="D176" s="203"/>
      <c r="E176" s="203"/>
    </row>
    <row r="181" spans="2:6" x14ac:dyDescent="0.35">
      <c r="B181" t="s">
        <v>255</v>
      </c>
    </row>
    <row r="183" spans="2:6" ht="31" x14ac:dyDescent="0.35">
      <c r="D183" s="522" t="s">
        <v>465</v>
      </c>
      <c r="E183" s="523" t="s">
        <v>466</v>
      </c>
      <c r="F183" s="523" t="s">
        <v>442</v>
      </c>
    </row>
    <row r="184" spans="2:6" x14ac:dyDescent="0.35">
      <c r="B184" t="s">
        <v>235</v>
      </c>
      <c r="C184" t="s">
        <v>236</v>
      </c>
      <c r="D184" s="520">
        <f>E184*120%</f>
        <v>105.82799999999999</v>
      </c>
      <c r="E184" s="520">
        <f>w_admin/1000</f>
        <v>88.19</v>
      </c>
      <c r="F184" s="520">
        <f>w_tech/1000</f>
        <v>61.11</v>
      </c>
    </row>
    <row r="185" spans="2:6" x14ac:dyDescent="0.35">
      <c r="B185" t="s">
        <v>237</v>
      </c>
      <c r="C185" t="s">
        <v>238</v>
      </c>
      <c r="D185" s="520">
        <v>1</v>
      </c>
      <c r="E185" s="520">
        <v>2</v>
      </c>
      <c r="F185" s="520">
        <v>2</v>
      </c>
    </row>
    <row r="186" spans="2:6" x14ac:dyDescent="0.35">
      <c r="B186" t="s">
        <v>239</v>
      </c>
      <c r="C186" t="s">
        <v>238</v>
      </c>
      <c r="D186" s="520">
        <v>1</v>
      </c>
      <c r="E186" s="520">
        <v>1</v>
      </c>
      <c r="F186" s="520">
        <v>1</v>
      </c>
    </row>
    <row r="187" spans="2:6" x14ac:dyDescent="0.35">
      <c r="B187" t="s">
        <v>240</v>
      </c>
      <c r="C187" t="s">
        <v>241</v>
      </c>
      <c r="D187" s="521">
        <v>0</v>
      </c>
      <c r="E187" s="521">
        <v>0</v>
      </c>
      <c r="F187" s="521">
        <v>0</v>
      </c>
    </row>
    <row r="188" spans="2:6" x14ac:dyDescent="0.35">
      <c r="B188" t="s">
        <v>242</v>
      </c>
      <c r="C188" t="s">
        <v>236</v>
      </c>
      <c r="D188" s="520">
        <f>D185*D186*D184*(1+D187)</f>
        <v>105.82799999999999</v>
      </c>
      <c r="E188" s="520">
        <f>E185*E186*E184*(1+E187)</f>
        <v>176.38</v>
      </c>
      <c r="F188" s="520">
        <f>F185*F186*F184*(1+F187)</f>
        <v>122.22</v>
      </c>
    </row>
    <row r="189" spans="2:6" x14ac:dyDescent="0.35">
      <c r="B189" t="s">
        <v>243</v>
      </c>
      <c r="E189" s="19">
        <v>0</v>
      </c>
      <c r="F189" t="s">
        <v>244</v>
      </c>
    </row>
  </sheetData>
  <mergeCells count="9">
    <mergeCell ref="G122:G123"/>
    <mergeCell ref="L122:L123"/>
    <mergeCell ref="A124:E126"/>
    <mergeCell ref="A42:E42"/>
    <mergeCell ref="A52:E52"/>
    <mergeCell ref="A62:E62"/>
    <mergeCell ref="A72:E72"/>
    <mergeCell ref="G104:G105"/>
    <mergeCell ref="G116:G117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3A93-2809-E544-AA3F-88C9A41854D9}">
  <dimension ref="A1:W35"/>
  <sheetViews>
    <sheetView workbookViewId="0">
      <selection activeCell="L43" sqref="L43"/>
    </sheetView>
  </sheetViews>
  <sheetFormatPr defaultColWidth="10.6640625" defaultRowHeight="15.5" x14ac:dyDescent="0.35"/>
  <cols>
    <col min="4" max="22" width="13.6640625" customWidth="1"/>
  </cols>
  <sheetData>
    <row r="1" spans="1:23" ht="21" x14ac:dyDescent="0.5">
      <c r="A1" s="87" t="s">
        <v>176</v>
      </c>
    </row>
    <row r="2" spans="1:23" x14ac:dyDescent="0.35">
      <c r="D2" s="8"/>
      <c r="E2" s="8"/>
    </row>
    <row r="3" spans="1:23" ht="16" thickBot="1" x14ac:dyDescent="0.4">
      <c r="D3" s="8"/>
      <c r="E3" s="8"/>
    </row>
    <row r="4" spans="1:23" ht="16" thickBot="1" x14ac:dyDescent="0.4">
      <c r="D4" s="584" t="s">
        <v>161</v>
      </c>
      <c r="E4" s="587" t="s">
        <v>158</v>
      </c>
      <c r="F4" s="66" t="s">
        <v>178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  <c r="S4" s="590" t="s">
        <v>169</v>
      </c>
      <c r="T4" s="591"/>
      <c r="U4" s="591"/>
      <c r="V4" s="592"/>
    </row>
    <row r="5" spans="1:23" ht="16" thickBot="1" x14ac:dyDescent="0.4">
      <c r="D5" s="585"/>
      <c r="E5" s="588"/>
      <c r="F5" s="115">
        <v>2000</v>
      </c>
      <c r="G5" s="119" t="s">
        <v>134</v>
      </c>
      <c r="H5" s="119"/>
      <c r="I5" s="119"/>
      <c r="J5" s="116"/>
      <c r="K5" s="66" t="s">
        <v>171</v>
      </c>
      <c r="L5" s="67"/>
      <c r="M5" s="67"/>
      <c r="N5" s="68"/>
      <c r="O5" s="67" t="s">
        <v>170</v>
      </c>
      <c r="P5" s="67"/>
      <c r="Q5" s="68"/>
      <c r="S5" s="593"/>
      <c r="T5" s="594"/>
      <c r="U5" s="594"/>
      <c r="V5" s="595"/>
    </row>
    <row r="6" spans="1:23" ht="31.5" thickBot="1" x14ac:dyDescent="0.4">
      <c r="D6" s="585"/>
      <c r="E6" s="588"/>
      <c r="F6" s="106" t="s">
        <v>177</v>
      </c>
      <c r="G6" s="13" t="s">
        <v>162</v>
      </c>
      <c r="H6" s="108" t="s">
        <v>163</v>
      </c>
      <c r="I6" s="13" t="s">
        <v>181</v>
      </c>
      <c r="J6" s="106" t="s">
        <v>164</v>
      </c>
      <c r="K6" s="106" t="s">
        <v>167</v>
      </c>
      <c r="L6" s="108" t="s">
        <v>168</v>
      </c>
      <c r="M6" s="108" t="s">
        <v>183</v>
      </c>
      <c r="N6" s="107" t="s">
        <v>166</v>
      </c>
      <c r="O6" s="108" t="s">
        <v>159</v>
      </c>
      <c r="P6" s="108" t="s">
        <v>165</v>
      </c>
      <c r="Q6" s="107" t="s">
        <v>173</v>
      </c>
      <c r="S6" s="123" t="s">
        <v>45</v>
      </c>
      <c r="T6" s="123" t="s">
        <v>46</v>
      </c>
      <c r="U6" s="123" t="s">
        <v>47</v>
      </c>
      <c r="V6" s="123" t="s">
        <v>136</v>
      </c>
    </row>
    <row r="7" spans="1:23" x14ac:dyDescent="0.35">
      <c r="C7" t="s">
        <v>30</v>
      </c>
      <c r="D7" s="96">
        <f>gen_l_cost</f>
        <v>850</v>
      </c>
      <c r="E7" s="100">
        <f>gen_l_pow80*24*365*2</f>
        <v>4555.2</v>
      </c>
      <c r="F7" s="98">
        <f>gen_l_tps80</f>
        <v>1500</v>
      </c>
      <c r="G7" s="121">
        <f>ROUNDUP(F5/F7,0)</f>
        <v>2</v>
      </c>
      <c r="H7" s="21">
        <f>(G7*gen_l_ru)/max_ru</f>
        <v>0.14285714285714285</v>
      </c>
      <c r="I7" s="128" t="s">
        <v>182</v>
      </c>
      <c r="J7" s="92">
        <f>E7*G7</f>
        <v>9110.4</v>
      </c>
      <c r="K7" s="111">
        <f>D7*G7</f>
        <v>1700</v>
      </c>
      <c r="L7" s="19">
        <f>H7*rack_cost</f>
        <v>714.28571428571422</v>
      </c>
      <c r="M7" s="19">
        <v>0</v>
      </c>
      <c r="N7" s="93">
        <f>SUM(K7:M7)</f>
        <v>2414.2857142857142</v>
      </c>
      <c r="O7" s="19">
        <f>J7*kwh_cost</f>
        <v>468.27456000000001</v>
      </c>
      <c r="P7" s="102">
        <f>hw_supt*(K7+M7)</f>
        <v>340</v>
      </c>
      <c r="Q7" s="103">
        <f>SUM(O7:P7)</f>
        <v>808.27456000000006</v>
      </c>
      <c r="S7" s="124">
        <f>N7+O7</f>
        <v>2882.5602742857141</v>
      </c>
      <c r="T7" s="124">
        <f>Q7</f>
        <v>808.27456000000006</v>
      </c>
      <c r="U7" s="124">
        <f>Q7</f>
        <v>808.27456000000006</v>
      </c>
      <c r="V7" s="124">
        <f>SUM(S7:U7)</f>
        <v>4499.1093942857142</v>
      </c>
      <c r="W7" t="s">
        <v>180</v>
      </c>
    </row>
    <row r="8" spans="1:23" ht="16" thickBot="1" x14ac:dyDescent="0.4">
      <c r="C8" t="s">
        <v>39</v>
      </c>
      <c r="D8" s="97">
        <f>gen_xl_cost</f>
        <v>2350</v>
      </c>
      <c r="E8" s="101">
        <f>gen_xl_pow80*24*265*2</f>
        <v>5088.0000000000009</v>
      </c>
      <c r="F8" s="99">
        <f>gen_xl_tps80</f>
        <v>3600</v>
      </c>
      <c r="G8" s="122">
        <f>ROUNDUP(F5/F8,0)</f>
        <v>1</v>
      </c>
      <c r="H8" s="62">
        <f>G8*gen_xl_ru/max_ru</f>
        <v>0.14285714285714285</v>
      </c>
      <c r="I8" s="129" t="s">
        <v>182</v>
      </c>
      <c r="J8" s="94">
        <f>E8*G8</f>
        <v>5088.0000000000009</v>
      </c>
      <c r="K8" s="112">
        <f>D8*G8</f>
        <v>2350</v>
      </c>
      <c r="L8" s="63">
        <f>H8*rack_cost</f>
        <v>714.28571428571422</v>
      </c>
      <c r="M8" s="63">
        <v>0</v>
      </c>
      <c r="N8" s="95">
        <f>SUM(K8:M8)</f>
        <v>3064.2857142857142</v>
      </c>
      <c r="O8" s="63">
        <f>J8*kwh_cost</f>
        <v>261.52320000000003</v>
      </c>
      <c r="P8" s="113">
        <f>hw_supt*(K8+M8)</f>
        <v>470</v>
      </c>
      <c r="Q8" s="104">
        <f>SUM(O8:P8)</f>
        <v>731.52320000000009</v>
      </c>
      <c r="S8" s="125">
        <f>N8+O8</f>
        <v>3325.8089142857143</v>
      </c>
      <c r="T8" s="125">
        <f>Q8</f>
        <v>731.52320000000009</v>
      </c>
      <c r="U8" s="125">
        <f>Q8</f>
        <v>731.52320000000009</v>
      </c>
      <c r="V8" s="125">
        <f>SUM(S8:U8)</f>
        <v>4788.8553142857145</v>
      </c>
    </row>
    <row r="9" spans="1:23" x14ac:dyDescent="0.35">
      <c r="C9" s="91"/>
      <c r="I9" s="7"/>
    </row>
    <row r="10" spans="1:23" ht="16" thickBot="1" x14ac:dyDescent="0.4">
      <c r="I10" s="7"/>
    </row>
    <row r="11" spans="1:23" ht="16" thickBot="1" x14ac:dyDescent="0.4">
      <c r="D11" s="584" t="s">
        <v>161</v>
      </c>
      <c r="E11" s="587" t="s">
        <v>158</v>
      </c>
      <c r="F11" s="66" t="s">
        <v>174</v>
      </c>
      <c r="G11" s="67"/>
      <c r="H11" s="67"/>
      <c r="I11" s="120"/>
      <c r="J11" s="67"/>
      <c r="K11" s="67"/>
      <c r="L11" s="67"/>
      <c r="M11" s="67"/>
      <c r="N11" s="67"/>
      <c r="O11" s="67"/>
      <c r="P11" s="67"/>
      <c r="Q11" s="68"/>
      <c r="S11" s="590" t="s">
        <v>169</v>
      </c>
      <c r="T11" s="591"/>
      <c r="U11" s="591"/>
      <c r="V11" s="592"/>
    </row>
    <row r="12" spans="1:23" ht="16" thickBot="1" x14ac:dyDescent="0.4">
      <c r="D12" s="585"/>
      <c r="E12" s="588"/>
      <c r="F12" s="115">
        <v>2000</v>
      </c>
      <c r="G12" s="119" t="s">
        <v>172</v>
      </c>
      <c r="H12" s="119"/>
      <c r="I12" s="130"/>
      <c r="J12" s="116"/>
      <c r="K12" s="66" t="s">
        <v>171</v>
      </c>
      <c r="L12" s="67"/>
      <c r="M12" s="67"/>
      <c r="N12" s="68"/>
      <c r="O12" s="67" t="s">
        <v>170</v>
      </c>
      <c r="P12" s="67"/>
      <c r="Q12" s="68"/>
      <c r="S12" s="593"/>
      <c r="T12" s="594"/>
      <c r="U12" s="594"/>
      <c r="V12" s="595"/>
    </row>
    <row r="13" spans="1:23" ht="31.5" thickBot="1" x14ac:dyDescent="0.4">
      <c r="D13" s="585"/>
      <c r="E13" s="588"/>
      <c r="F13" s="106" t="s">
        <v>160</v>
      </c>
      <c r="G13" s="13" t="s">
        <v>162</v>
      </c>
      <c r="H13" s="108" t="s">
        <v>163</v>
      </c>
      <c r="I13" s="13" t="s">
        <v>181</v>
      </c>
      <c r="J13" s="106" t="s">
        <v>164</v>
      </c>
      <c r="K13" s="106" t="s">
        <v>167</v>
      </c>
      <c r="L13" s="108" t="s">
        <v>168</v>
      </c>
      <c r="M13" s="108" t="s">
        <v>183</v>
      </c>
      <c r="N13" s="107" t="s">
        <v>166</v>
      </c>
      <c r="O13" s="108" t="s">
        <v>159</v>
      </c>
      <c r="P13" s="108" t="s">
        <v>165</v>
      </c>
      <c r="Q13" s="107" t="s">
        <v>173</v>
      </c>
      <c r="S13" s="123" t="s">
        <v>45</v>
      </c>
      <c r="T13" s="123" t="s">
        <v>46</v>
      </c>
      <c r="U13" s="123" t="s">
        <v>47</v>
      </c>
      <c r="V13" s="123" t="s">
        <v>136</v>
      </c>
    </row>
    <row r="14" spans="1:23" x14ac:dyDescent="0.35">
      <c r="C14" t="s">
        <v>30</v>
      </c>
      <c r="D14" s="96">
        <f>gen_l_cost</f>
        <v>850</v>
      </c>
      <c r="E14" s="100">
        <f>gen_l_pow80*24*365*2</f>
        <v>4555.2</v>
      </c>
      <c r="F14" s="98">
        <f>gen_l_disk</f>
        <v>637.5</v>
      </c>
      <c r="G14" s="121">
        <f>ROUNDUP(F12/F14,0)</f>
        <v>4</v>
      </c>
      <c r="H14" s="21">
        <f>(G14*gen_l_ru)/max_ru</f>
        <v>0.2857142857142857</v>
      </c>
      <c r="I14" s="128" t="s">
        <v>182</v>
      </c>
      <c r="J14" s="92">
        <f>E14*G14</f>
        <v>18220.8</v>
      </c>
      <c r="K14" s="111">
        <f>D14*G14</f>
        <v>3400</v>
      </c>
      <c r="L14" s="19">
        <f>H14*rack_cost</f>
        <v>1428.5714285714284</v>
      </c>
      <c r="M14" s="19">
        <v>0</v>
      </c>
      <c r="N14" s="93">
        <f>SUM(K14:M14)</f>
        <v>4828.5714285714284</v>
      </c>
      <c r="O14" s="19">
        <f>J14*kwh_cost</f>
        <v>936.54912000000002</v>
      </c>
      <c r="P14" s="102">
        <f>hw_supt*(K14+M14)</f>
        <v>680</v>
      </c>
      <c r="Q14" s="103">
        <f>SUM(O14:P14)</f>
        <v>1616.5491200000001</v>
      </c>
      <c r="S14" s="124">
        <f>N14+O14</f>
        <v>5765.1205485714281</v>
      </c>
      <c r="T14" s="124">
        <f>Q14</f>
        <v>1616.5491200000001</v>
      </c>
      <c r="U14" s="124">
        <f>Q14</f>
        <v>1616.5491200000001</v>
      </c>
      <c r="V14" s="124">
        <f>SUM(S14:U14)</f>
        <v>8998.2187885714284</v>
      </c>
      <c r="W14" t="s">
        <v>179</v>
      </c>
    </row>
    <row r="15" spans="1:23" ht="16" thickBot="1" x14ac:dyDescent="0.4">
      <c r="C15" t="s">
        <v>39</v>
      </c>
      <c r="D15" s="97">
        <f>gen_xl_cost</f>
        <v>2350</v>
      </c>
      <c r="E15" s="101">
        <f>gen_xl_pow80*24*265*2</f>
        <v>5088.0000000000009</v>
      </c>
      <c r="F15" s="99">
        <f>gen_xl_disk</f>
        <v>1500</v>
      </c>
      <c r="G15" s="122">
        <f>ROUNDUP(F12/F15,0)</f>
        <v>2</v>
      </c>
      <c r="H15" s="62">
        <f>G15*gen_xl_ru/max_ru</f>
        <v>0.2857142857142857</v>
      </c>
      <c r="I15" s="129" t="s">
        <v>182</v>
      </c>
      <c r="J15" s="94">
        <f>E15*G15</f>
        <v>10176.000000000002</v>
      </c>
      <c r="K15" s="112">
        <f>D15*G15</f>
        <v>4700</v>
      </c>
      <c r="L15" s="63">
        <f>H15*rack_cost</f>
        <v>1428.5714285714284</v>
      </c>
      <c r="M15" s="63">
        <v>0</v>
      </c>
      <c r="N15" s="95">
        <f>SUM(K15:M15)</f>
        <v>6128.5714285714284</v>
      </c>
      <c r="O15" s="63">
        <f>J15*kwh_cost</f>
        <v>523.04640000000006</v>
      </c>
      <c r="P15" s="113">
        <f>hw_supt*(K15+M15)</f>
        <v>940</v>
      </c>
      <c r="Q15" s="104">
        <f>SUM(O15:P15)</f>
        <v>1463.0464000000002</v>
      </c>
      <c r="S15" s="125">
        <f>N15+O15</f>
        <v>6651.6178285714286</v>
      </c>
      <c r="T15" s="125">
        <f>Q15</f>
        <v>1463.0464000000002</v>
      </c>
      <c r="U15" s="125">
        <f>Q15</f>
        <v>1463.0464000000002</v>
      </c>
      <c r="V15" s="125">
        <f>SUM(S15:U15)</f>
        <v>9577.710628571429</v>
      </c>
    </row>
    <row r="16" spans="1:23" x14ac:dyDescent="0.35">
      <c r="I16" s="7"/>
    </row>
    <row r="17" spans="1:23" ht="16" thickBot="1" x14ac:dyDescent="0.4">
      <c r="I17" s="7"/>
    </row>
    <row r="18" spans="1:23" ht="16" thickBot="1" x14ac:dyDescent="0.4">
      <c r="D18" s="584" t="s">
        <v>161</v>
      </c>
      <c r="E18" s="587" t="s">
        <v>158</v>
      </c>
      <c r="F18" s="66" t="s">
        <v>175</v>
      </c>
      <c r="G18" s="67"/>
      <c r="H18" s="67"/>
      <c r="I18" s="120"/>
      <c r="J18" s="67"/>
      <c r="K18" s="67"/>
      <c r="L18" s="67"/>
      <c r="M18" s="67"/>
      <c r="N18" s="67"/>
      <c r="O18" s="67"/>
      <c r="P18" s="67"/>
      <c r="Q18" s="68"/>
      <c r="S18" s="590" t="s">
        <v>169</v>
      </c>
      <c r="T18" s="591"/>
      <c r="U18" s="591"/>
      <c r="V18" s="592"/>
    </row>
    <row r="19" spans="1:23" ht="16" thickBot="1" x14ac:dyDescent="0.4">
      <c r="D19" s="585"/>
      <c r="E19" s="588"/>
      <c r="F19" s="115">
        <v>1000</v>
      </c>
      <c r="G19" s="119" t="s">
        <v>145</v>
      </c>
      <c r="H19" s="119"/>
      <c r="I19" s="130"/>
      <c r="J19" s="116"/>
      <c r="K19" s="66" t="s">
        <v>171</v>
      </c>
      <c r="L19" s="67"/>
      <c r="M19" s="67"/>
      <c r="N19" s="68"/>
      <c r="O19" s="67" t="s">
        <v>170</v>
      </c>
      <c r="P19" s="67"/>
      <c r="Q19" s="68"/>
      <c r="S19" s="593"/>
      <c r="T19" s="594"/>
      <c r="U19" s="594"/>
      <c r="V19" s="595"/>
    </row>
    <row r="20" spans="1:23" ht="31.5" thickBot="1" x14ac:dyDescent="0.4">
      <c r="D20" s="585"/>
      <c r="E20" s="588"/>
      <c r="F20" s="106" t="s">
        <v>106</v>
      </c>
      <c r="G20" s="13" t="s">
        <v>162</v>
      </c>
      <c r="H20" s="108" t="s">
        <v>163</v>
      </c>
      <c r="I20" s="13" t="s">
        <v>181</v>
      </c>
      <c r="J20" s="106" t="s">
        <v>164</v>
      </c>
      <c r="K20" s="106" t="s">
        <v>167</v>
      </c>
      <c r="L20" s="108" t="s">
        <v>168</v>
      </c>
      <c r="M20" s="108" t="s">
        <v>183</v>
      </c>
      <c r="N20" s="107" t="s">
        <v>166</v>
      </c>
      <c r="O20" s="108" t="s">
        <v>159</v>
      </c>
      <c r="P20" s="108" t="s">
        <v>165</v>
      </c>
      <c r="Q20" s="107" t="s">
        <v>173</v>
      </c>
      <c r="S20" s="123" t="s">
        <v>45</v>
      </c>
      <c r="T20" s="123" t="s">
        <v>46</v>
      </c>
      <c r="U20" s="123" t="s">
        <v>47</v>
      </c>
      <c r="V20" s="123" t="s">
        <v>136</v>
      </c>
    </row>
    <row r="21" spans="1:23" x14ac:dyDescent="0.35">
      <c r="C21" t="s">
        <v>30</v>
      </c>
      <c r="D21" s="96">
        <f>gen_l_cost</f>
        <v>850</v>
      </c>
      <c r="E21" s="100">
        <f>gen_l_pow80*24*365*2</f>
        <v>4555.2</v>
      </c>
      <c r="F21" s="117">
        <f>gen_l_bw</f>
        <v>0.75</v>
      </c>
      <c r="G21" s="121">
        <f>ROUNDUP(F19/F21,0)</f>
        <v>1334</v>
      </c>
      <c r="H21" s="21">
        <f>(G21*gen_l_ru)/max_ru</f>
        <v>95.285714285714292</v>
      </c>
      <c r="I21" s="131">
        <f>G21*gen_l_ports/gig_ports</f>
        <v>333.5</v>
      </c>
      <c r="J21" s="92">
        <f>E21*G21</f>
        <v>6076636.7999999998</v>
      </c>
      <c r="K21" s="111">
        <f>D21*G21</f>
        <v>1133900</v>
      </c>
      <c r="L21" s="19">
        <f>H21*rack_cost</f>
        <v>476428.57142857148</v>
      </c>
      <c r="M21" s="19">
        <f>I21*gig_cost</f>
        <v>1667500</v>
      </c>
      <c r="N21" s="93">
        <f>SUM(K21:M21)</f>
        <v>3277828.5714285714</v>
      </c>
      <c r="O21" s="19">
        <f>J21*kwh_cost</f>
        <v>312339.13152</v>
      </c>
      <c r="P21" s="102">
        <f>hw_supt*(K21+M21)</f>
        <v>560280</v>
      </c>
      <c r="Q21" s="103">
        <f>SUM(O21:P21)</f>
        <v>872619.13152000005</v>
      </c>
      <c r="S21" s="124">
        <f>N21+O21</f>
        <v>3590167.7029485712</v>
      </c>
      <c r="T21" s="124">
        <f>Q21</f>
        <v>872619.13152000005</v>
      </c>
      <c r="U21" s="124">
        <f>Q21</f>
        <v>872619.13152000005</v>
      </c>
      <c r="V21" s="124">
        <f>SUM(S21:U21)</f>
        <v>5335405.9659885718</v>
      </c>
      <c r="W21" t="s">
        <v>184</v>
      </c>
    </row>
    <row r="22" spans="1:23" ht="16" thickBot="1" x14ac:dyDescent="0.4">
      <c r="C22" t="s">
        <v>39</v>
      </c>
      <c r="D22" s="97">
        <f>gen_xl_cost</f>
        <v>2350</v>
      </c>
      <c r="E22" s="101">
        <f>gen_xl_pow80*24*265*2</f>
        <v>5088.0000000000009</v>
      </c>
      <c r="F22" s="118">
        <f>gen_xl_bw</f>
        <v>2.25</v>
      </c>
      <c r="G22" s="122">
        <f>ROUNDUP(F19/F22,0)</f>
        <v>445</v>
      </c>
      <c r="H22" s="62">
        <f>G22*gen_xl_ru/max_ru</f>
        <v>63.571428571428569</v>
      </c>
      <c r="I22" s="132">
        <f>G22*gen_xl_ports/gig_ports</f>
        <v>222.5</v>
      </c>
      <c r="J22" s="94">
        <f>E22*G22</f>
        <v>2264160.0000000005</v>
      </c>
      <c r="K22" s="112">
        <f>D22*G22</f>
        <v>1045750</v>
      </c>
      <c r="L22" s="63">
        <f>H22*rack_cost</f>
        <v>317857.14285714284</v>
      </c>
      <c r="M22" s="63">
        <f>I22*gig_cost</f>
        <v>1112500</v>
      </c>
      <c r="N22" s="95">
        <f>SUM(K22:M22)</f>
        <v>2476107.1428571427</v>
      </c>
      <c r="O22" s="63">
        <f>J22*kwh_cost</f>
        <v>116377.82400000002</v>
      </c>
      <c r="P22" s="113">
        <f>hw_supt*(K22+M22)</f>
        <v>431650</v>
      </c>
      <c r="Q22" s="104">
        <f>SUM(O22:P22)</f>
        <v>548027.82400000002</v>
      </c>
      <c r="S22" s="125">
        <f>N22+O22</f>
        <v>2592484.9668571427</v>
      </c>
      <c r="T22" s="125">
        <f>Q22</f>
        <v>548027.82400000002</v>
      </c>
      <c r="U22" s="125">
        <f>Q22</f>
        <v>548027.82400000002</v>
      </c>
      <c r="V22" s="125">
        <f>SUM(S22:U22)</f>
        <v>3688540.6148571428</v>
      </c>
    </row>
    <row r="28" spans="1:23" ht="21" x14ac:dyDescent="0.5">
      <c r="A28" s="87" t="s">
        <v>186</v>
      </c>
    </row>
    <row r="29" spans="1:23" ht="16" thickBot="1" x14ac:dyDescent="0.4"/>
    <row r="30" spans="1:23" ht="16" thickBot="1" x14ac:dyDescent="0.4">
      <c r="D30" s="584" t="s">
        <v>187</v>
      </c>
      <c r="E30" s="587" t="s">
        <v>158</v>
      </c>
      <c r="F30" s="67" t="s">
        <v>188</v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  <c r="S30" s="590" t="s">
        <v>169</v>
      </c>
      <c r="T30" s="591"/>
      <c r="U30" s="591"/>
      <c r="V30" s="592"/>
    </row>
    <row r="31" spans="1:23" ht="17" customHeight="1" thickBot="1" x14ac:dyDescent="0.4">
      <c r="D31" s="585"/>
      <c r="E31" s="588"/>
      <c r="F31" s="8">
        <v>500</v>
      </c>
      <c r="G31" s="8" t="s">
        <v>145</v>
      </c>
      <c r="H31" s="8"/>
      <c r="I31" s="8"/>
      <c r="J31" s="8"/>
      <c r="K31" s="135" t="s">
        <v>171</v>
      </c>
      <c r="L31" s="136"/>
      <c r="M31" s="136"/>
      <c r="N31" s="137"/>
      <c r="O31" s="136" t="s">
        <v>170</v>
      </c>
      <c r="P31" s="136"/>
      <c r="Q31" s="137"/>
      <c r="S31" s="593"/>
      <c r="T31" s="594"/>
      <c r="U31" s="594"/>
      <c r="V31" s="595"/>
    </row>
    <row r="32" spans="1:23" ht="31.5" thickBot="1" x14ac:dyDescent="0.4">
      <c r="D32" s="586"/>
      <c r="E32" s="589"/>
      <c r="F32" s="13" t="s">
        <v>189</v>
      </c>
      <c r="G32" s="13" t="s">
        <v>190</v>
      </c>
      <c r="H32" s="13" t="s">
        <v>163</v>
      </c>
      <c r="I32" s="157"/>
      <c r="J32" s="106" t="s">
        <v>164</v>
      </c>
      <c r="K32" s="106" t="s">
        <v>191</v>
      </c>
      <c r="L32" s="108" t="s">
        <v>168</v>
      </c>
      <c r="M32" s="133"/>
      <c r="N32" s="107" t="s">
        <v>166</v>
      </c>
      <c r="O32" s="108" t="s">
        <v>159</v>
      </c>
      <c r="P32" s="108" t="s">
        <v>165</v>
      </c>
      <c r="Q32" s="107" t="s">
        <v>173</v>
      </c>
      <c r="S32" s="123" t="s">
        <v>45</v>
      </c>
      <c r="T32" s="123" t="s">
        <v>46</v>
      </c>
      <c r="U32" s="123" t="s">
        <v>47</v>
      </c>
      <c r="V32" s="123" t="s">
        <v>136</v>
      </c>
    </row>
    <row r="33" spans="3:23" x14ac:dyDescent="0.35">
      <c r="C33" t="s">
        <v>81</v>
      </c>
      <c r="D33" s="143">
        <f>gig_cost</f>
        <v>5000</v>
      </c>
      <c r="E33" s="144">
        <f>gig_pwr*24*265*2</f>
        <v>686.87999999999988</v>
      </c>
      <c r="F33" s="144">
        <f>gig_bw*gig_ports</f>
        <v>6</v>
      </c>
      <c r="G33" s="145">
        <f>ROUNDUP(F31/F33,0)</f>
        <v>84</v>
      </c>
      <c r="H33" s="146">
        <f>G33/shelf_cards*shelf_rus/max_ru</f>
        <v>1.5</v>
      </c>
      <c r="I33" s="147"/>
      <c r="J33" s="148">
        <f>E33*G33</f>
        <v>57697.919999999991</v>
      </c>
      <c r="K33" s="149">
        <f>D33*G33</f>
        <v>420000</v>
      </c>
      <c r="L33" s="150">
        <f>H33*rack_cost</f>
        <v>7500</v>
      </c>
      <c r="M33" s="151"/>
      <c r="N33" s="152">
        <f>SUM(K33:M33)</f>
        <v>427500</v>
      </c>
      <c r="O33" s="150">
        <f>J33*kwh_cost</f>
        <v>2965.6730879999996</v>
      </c>
      <c r="P33" s="153">
        <f>hw_supt*(K33+M33)</f>
        <v>84000</v>
      </c>
      <c r="Q33" s="154">
        <f>SUM(O33:P33)</f>
        <v>86965.673087999996</v>
      </c>
      <c r="S33" s="124">
        <f>N33+O33</f>
        <v>430465.67308799998</v>
      </c>
      <c r="T33" s="124">
        <f>Q33</f>
        <v>86965.673087999996</v>
      </c>
      <c r="U33" s="124">
        <f>Q33</f>
        <v>86965.673087999996</v>
      </c>
      <c r="V33" s="124">
        <f>SUM(S33:U33)</f>
        <v>604397.019264</v>
      </c>
    </row>
    <row r="34" spans="3:23" x14ac:dyDescent="0.35">
      <c r="C34" t="s">
        <v>83</v>
      </c>
      <c r="D34" s="96">
        <f>oc48_cost</f>
        <v>5000</v>
      </c>
      <c r="E34" s="126">
        <f>oc48_pwr*24*265*2</f>
        <v>1717.1999999999996</v>
      </c>
      <c r="F34" s="126">
        <f>oc48_bw*oc48_ports</f>
        <v>15</v>
      </c>
      <c r="G34" s="121">
        <f>ROUNDUP(F31/F34,0)</f>
        <v>34</v>
      </c>
      <c r="H34" s="141">
        <f>G34/shelf_cards*shelf_rus/max_ru</f>
        <v>0.6071428571428571</v>
      </c>
      <c r="I34" s="155"/>
      <c r="J34" s="92">
        <f t="shared" ref="J34:J35" si="0">E34*G34</f>
        <v>58384.799999999988</v>
      </c>
      <c r="K34" s="111">
        <f t="shared" ref="K34:K35" si="1">D34*G34</f>
        <v>170000</v>
      </c>
      <c r="L34" s="19">
        <f>H34*rack_cost</f>
        <v>3035.7142857142853</v>
      </c>
      <c r="M34" s="134"/>
      <c r="N34" s="93">
        <f t="shared" ref="N34:N35" si="2">SUM(K34:M34)</f>
        <v>173035.71428571429</v>
      </c>
      <c r="O34" s="19">
        <f>J34*kwh_cost</f>
        <v>3000.9787199999996</v>
      </c>
      <c r="P34" s="102">
        <f>hw_supt*(K34+M34)</f>
        <v>34000</v>
      </c>
      <c r="Q34" s="103">
        <f t="shared" ref="Q34:Q35" si="3">SUM(O34:P34)</f>
        <v>37000.978719999999</v>
      </c>
      <c r="S34" s="124">
        <f t="shared" ref="S34:S35" si="4">N34+O34</f>
        <v>176036.6930057143</v>
      </c>
      <c r="T34" s="124">
        <f t="shared" ref="T34:T35" si="5">Q34</f>
        <v>37000.978719999999</v>
      </c>
      <c r="U34" s="124">
        <f t="shared" ref="U34:U35" si="6">Q34</f>
        <v>37000.978719999999</v>
      </c>
      <c r="V34" s="124">
        <f t="shared" ref="V34:V35" si="7">SUM(S34:U34)</f>
        <v>250038.6504457143</v>
      </c>
      <c r="W34" t="s">
        <v>192</v>
      </c>
    </row>
    <row r="35" spans="3:23" ht="16" thickBot="1" x14ac:dyDescent="0.4">
      <c r="C35" t="s">
        <v>84</v>
      </c>
      <c r="D35" s="97">
        <f>oc192_cost</f>
        <v>12000</v>
      </c>
      <c r="E35" s="138">
        <f>oc192_pwr*24*365*2</f>
        <v>4730.3999999999987</v>
      </c>
      <c r="F35" s="138">
        <f>oc192_bw*oc192_ports</f>
        <v>30</v>
      </c>
      <c r="G35" s="122">
        <f>ROUNDUP(F31/F35,0)</f>
        <v>17</v>
      </c>
      <c r="H35" s="127">
        <f>G35/shelf_cards*shelf_rus/max_ru</f>
        <v>0.30357142857142855</v>
      </c>
      <c r="I35" s="142"/>
      <c r="J35" s="94">
        <f t="shared" si="0"/>
        <v>80416.799999999974</v>
      </c>
      <c r="K35" s="112">
        <f t="shared" si="1"/>
        <v>204000</v>
      </c>
      <c r="L35" s="63">
        <f>H35*rack_cost</f>
        <v>1517.8571428571427</v>
      </c>
      <c r="M35" s="156"/>
      <c r="N35" s="95">
        <f t="shared" si="2"/>
        <v>205517.85714285713</v>
      </c>
      <c r="O35" s="63">
        <f>J35*kwh_cost</f>
        <v>4133.4235199999985</v>
      </c>
      <c r="P35" s="113">
        <f>hw_supt*(K35+M35)</f>
        <v>40800</v>
      </c>
      <c r="Q35" s="104">
        <f t="shared" si="3"/>
        <v>44933.423519999997</v>
      </c>
      <c r="S35" s="125">
        <f t="shared" si="4"/>
        <v>209651.28066285714</v>
      </c>
      <c r="T35" s="125">
        <f t="shared" si="5"/>
        <v>44933.423519999997</v>
      </c>
      <c r="U35" s="125">
        <f t="shared" si="6"/>
        <v>44933.423519999997</v>
      </c>
      <c r="V35" s="125">
        <f t="shared" si="7"/>
        <v>299518.12770285713</v>
      </c>
    </row>
  </sheetData>
  <mergeCells count="12">
    <mergeCell ref="S4:V5"/>
    <mergeCell ref="D11:D13"/>
    <mergeCell ref="E11:E13"/>
    <mergeCell ref="S11:V12"/>
    <mergeCell ref="D4:D6"/>
    <mergeCell ref="E4:E6"/>
    <mergeCell ref="D30:D32"/>
    <mergeCell ref="E30:E32"/>
    <mergeCell ref="S30:V31"/>
    <mergeCell ref="D18:D20"/>
    <mergeCell ref="E18:E20"/>
    <mergeCell ref="S18:V1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EA7B-0CC3-3A43-BF87-72956B9431CD}">
  <dimension ref="A2:AB60"/>
  <sheetViews>
    <sheetView topLeftCell="A25" zoomScale="120" zoomScaleNormal="120" workbookViewId="0">
      <selection activeCell="E48" sqref="E48"/>
    </sheetView>
  </sheetViews>
  <sheetFormatPr defaultColWidth="12.5" defaultRowHeight="15.5" x14ac:dyDescent="0.35"/>
  <cols>
    <col min="1" max="1" width="49.33203125" bestFit="1" customWidth="1"/>
    <col min="2" max="2" width="12.5" customWidth="1"/>
    <col min="5" max="5" width="12.5" style="46" customWidth="1"/>
    <col min="6" max="6" width="12.5" customWidth="1"/>
    <col min="7" max="7" width="12.5" style="46" customWidth="1"/>
  </cols>
  <sheetData>
    <row r="2" spans="1:10" x14ac:dyDescent="0.35">
      <c r="A2" s="8" t="s">
        <v>58</v>
      </c>
    </row>
    <row r="3" spans="1:10" x14ac:dyDescent="0.35">
      <c r="A3" s="20" t="s">
        <v>60</v>
      </c>
      <c r="B3" s="1">
        <v>40000000</v>
      </c>
    </row>
    <row r="4" spans="1:10" x14ac:dyDescent="0.35">
      <c r="A4" s="20"/>
      <c r="B4" s="1"/>
    </row>
    <row r="5" spans="1:10" x14ac:dyDescent="0.35">
      <c r="A5" s="20" t="s">
        <v>122</v>
      </c>
      <c r="B5" s="86" t="s">
        <v>123</v>
      </c>
      <c r="C5" s="39" t="s">
        <v>124</v>
      </c>
    </row>
    <row r="6" spans="1:10" x14ac:dyDescent="0.35">
      <c r="A6" s="20"/>
      <c r="B6">
        <v>44</v>
      </c>
      <c r="C6" s="23">
        <f>ROUND(tot_req_hr/3600,3)</f>
        <v>1.2E-2</v>
      </c>
    </row>
    <row r="7" spans="1:10" x14ac:dyDescent="0.35">
      <c r="A7" s="20"/>
      <c r="B7" s="23"/>
    </row>
    <row r="8" spans="1:10" ht="31" x14ac:dyDescent="0.35">
      <c r="A8" s="83" t="s">
        <v>125</v>
      </c>
      <c r="B8" s="3" t="s">
        <v>115</v>
      </c>
      <c r="C8" s="3" t="s">
        <v>116</v>
      </c>
      <c r="D8" s="3" t="s">
        <v>117</v>
      </c>
      <c r="E8" s="3" t="s">
        <v>120</v>
      </c>
      <c r="F8" s="3" t="s">
        <v>118</v>
      </c>
      <c r="G8" s="3" t="s">
        <v>119</v>
      </c>
      <c r="H8" s="3" t="s">
        <v>1</v>
      </c>
      <c r="I8" s="3" t="s">
        <v>121</v>
      </c>
      <c r="J8" s="39" t="s">
        <v>114</v>
      </c>
    </row>
    <row r="9" spans="1:10" x14ac:dyDescent="0.35">
      <c r="A9" s="20"/>
      <c r="B9">
        <v>112</v>
      </c>
      <c r="C9">
        <v>192</v>
      </c>
      <c r="D9">
        <v>240</v>
      </c>
      <c r="E9" s="388">
        <v>0.2</v>
      </c>
      <c r="F9" s="14">
        <v>0.6</v>
      </c>
      <c r="G9" s="14">
        <v>0.2</v>
      </c>
      <c r="H9">
        <v>192</v>
      </c>
      <c r="I9">
        <v>24</v>
      </c>
      <c r="J9" s="41">
        <f>stream_req/tot_req_hr</f>
        <v>0.54545454545454541</v>
      </c>
    </row>
    <row r="10" spans="1:10" x14ac:dyDescent="0.35">
      <c r="A10" s="20"/>
    </row>
    <row r="11" spans="1:10" ht="31" x14ac:dyDescent="0.35">
      <c r="A11" s="20" t="s">
        <v>126</v>
      </c>
      <c r="B11" s="8" t="s">
        <v>23</v>
      </c>
      <c r="C11" s="3" t="s">
        <v>121</v>
      </c>
      <c r="D11" s="39" t="s">
        <v>114</v>
      </c>
    </row>
    <row r="12" spans="1:10" x14ac:dyDescent="0.35">
      <c r="A12" s="20"/>
      <c r="B12">
        <f>7.2/1000</f>
        <v>7.1999999999999998E-3</v>
      </c>
      <c r="C12">
        <v>4</v>
      </c>
      <c r="D12" s="41">
        <f>down_req/tot_req_hr</f>
        <v>9.0909090909090912E-2</v>
      </c>
    </row>
    <row r="13" spans="1:10" x14ac:dyDescent="0.35">
      <c r="A13" s="20"/>
      <c r="D13" s="41"/>
    </row>
    <row r="14" spans="1:10" ht="31" x14ac:dyDescent="0.35">
      <c r="A14" s="20" t="s">
        <v>59</v>
      </c>
      <c r="B14" s="3" t="s">
        <v>127</v>
      </c>
      <c r="C14" s="3" t="s">
        <v>121</v>
      </c>
      <c r="D14" s="39" t="s">
        <v>114</v>
      </c>
    </row>
    <row r="15" spans="1:10" x14ac:dyDescent="0.35">
      <c r="A15" s="31" t="s">
        <v>64</v>
      </c>
      <c r="B15">
        <f>0.2/1000</f>
        <v>2.0000000000000001E-4</v>
      </c>
      <c r="C15">
        <v>16</v>
      </c>
      <c r="D15" s="41">
        <f>16/44</f>
        <v>0.36363636363636365</v>
      </c>
    </row>
    <row r="16" spans="1:10" x14ac:dyDescent="0.35">
      <c r="A16" s="31"/>
    </row>
    <row r="17" spans="1:28" x14ac:dyDescent="0.35">
      <c r="A17" s="8" t="s">
        <v>63</v>
      </c>
      <c r="B17" s="39" t="s">
        <v>27</v>
      </c>
      <c r="C17" s="39" t="s">
        <v>28</v>
      </c>
      <c r="D17" s="39" t="s">
        <v>0</v>
      </c>
      <c r="E17" s="3" t="s">
        <v>29</v>
      </c>
    </row>
    <row r="18" spans="1:28" x14ac:dyDescent="0.35">
      <c r="A18" s="10"/>
      <c r="B18" s="14">
        <v>0.8</v>
      </c>
      <c r="C18" s="14">
        <v>0.75</v>
      </c>
      <c r="D18" s="14">
        <v>0.8</v>
      </c>
      <c r="E18" s="388">
        <v>0.75</v>
      </c>
    </row>
    <row r="23" spans="1:28" x14ac:dyDescent="0.35">
      <c r="A23" s="18" t="s">
        <v>32</v>
      </c>
    </row>
    <row r="24" spans="1:28" ht="34" customHeight="1" x14ac:dyDescent="0.35">
      <c r="B24" s="596" t="s">
        <v>31</v>
      </c>
      <c r="C24" s="596" t="s">
        <v>40</v>
      </c>
      <c r="D24" s="597" t="s">
        <v>104</v>
      </c>
      <c r="E24" s="597" t="s">
        <v>105</v>
      </c>
      <c r="F24" s="597" t="s">
        <v>106</v>
      </c>
      <c r="G24" s="597" t="s">
        <v>96</v>
      </c>
      <c r="H24" s="597" t="s">
        <v>138</v>
      </c>
      <c r="I24" s="597"/>
      <c r="J24" s="597"/>
      <c r="K24" s="597"/>
      <c r="L24" s="596" t="s">
        <v>139</v>
      </c>
      <c r="M24" s="596"/>
      <c r="N24" s="596"/>
      <c r="O24" s="596"/>
      <c r="P24" s="596" t="s">
        <v>37</v>
      </c>
      <c r="Q24" s="596"/>
      <c r="R24" s="596"/>
      <c r="S24" s="596"/>
      <c r="T24" s="596" t="s">
        <v>53</v>
      </c>
      <c r="U24" s="596"/>
      <c r="V24" s="596"/>
      <c r="W24" s="596"/>
      <c r="X24" s="596" t="s">
        <v>38</v>
      </c>
      <c r="Y24" s="596"/>
      <c r="Z24" s="596"/>
      <c r="AA24" s="596"/>
      <c r="AB24" s="596"/>
    </row>
    <row r="25" spans="1:28" x14ac:dyDescent="0.35">
      <c r="B25" s="596"/>
      <c r="C25" s="596"/>
      <c r="D25" s="597"/>
      <c r="E25" s="597"/>
      <c r="F25" s="597"/>
      <c r="G25" s="597"/>
      <c r="H25" s="24" t="s">
        <v>33</v>
      </c>
      <c r="I25" s="24" t="s">
        <v>34</v>
      </c>
      <c r="J25" s="24" t="s">
        <v>35</v>
      </c>
      <c r="K25" s="77" t="s">
        <v>36</v>
      </c>
      <c r="L25" s="24" t="s">
        <v>33</v>
      </c>
      <c r="M25" s="24" t="s">
        <v>34</v>
      </c>
      <c r="N25" s="24" t="s">
        <v>35</v>
      </c>
      <c r="O25" s="77" t="s">
        <v>36</v>
      </c>
      <c r="P25" s="24" t="s">
        <v>33</v>
      </c>
      <c r="Q25" s="24" t="s">
        <v>34</v>
      </c>
      <c r="R25" s="24" t="s">
        <v>35</v>
      </c>
      <c r="S25" s="77" t="s">
        <v>36</v>
      </c>
      <c r="T25" s="24" t="s">
        <v>33</v>
      </c>
      <c r="U25" s="24" t="s">
        <v>34</v>
      </c>
      <c r="V25" s="24" t="s">
        <v>35</v>
      </c>
      <c r="W25" s="77" t="s">
        <v>36</v>
      </c>
      <c r="X25" s="596"/>
      <c r="Y25" s="24"/>
      <c r="Z25" s="24"/>
      <c r="AA25" s="24"/>
      <c r="AB25" s="24"/>
    </row>
    <row r="26" spans="1:28" x14ac:dyDescent="0.35">
      <c r="A26" s="20" t="s">
        <v>30</v>
      </c>
      <c r="B26" s="22">
        <v>3</v>
      </c>
      <c r="C26" s="22">
        <v>4</v>
      </c>
      <c r="D26" s="21">
        <f>8*mem_limit</f>
        <v>6.4</v>
      </c>
      <c r="E26" s="389">
        <f>850*disk_limit</f>
        <v>637.5</v>
      </c>
      <c r="F26" s="21">
        <f>(gen_l_ports-1)*bw_limit</f>
        <v>0.75</v>
      </c>
      <c r="G26" s="81">
        <v>2</v>
      </c>
      <c r="H26" s="1">
        <v>750</v>
      </c>
      <c r="I26" s="1">
        <v>1125</v>
      </c>
      <c r="J26" s="1">
        <v>1500</v>
      </c>
      <c r="K26" s="78">
        <v>1875</v>
      </c>
      <c r="L26" s="1">
        <f t="shared" ref="L26:O27" si="0">H26/tot_req_sec</f>
        <v>62500</v>
      </c>
      <c r="M26" s="1">
        <f t="shared" si="0"/>
        <v>93750</v>
      </c>
      <c r="N26" s="1">
        <f t="shared" si="0"/>
        <v>125000</v>
      </c>
      <c r="O26" s="78">
        <f t="shared" si="0"/>
        <v>156250</v>
      </c>
      <c r="P26" s="23">
        <f>0.4*S26</f>
        <v>0.13</v>
      </c>
      <c r="Q26" s="23">
        <f>0.6*S26</f>
        <v>0.19500000000000001</v>
      </c>
      <c r="R26" s="23">
        <f>0.8*S26</f>
        <v>0.26</v>
      </c>
      <c r="S26" s="79">
        <v>0.32500000000000001</v>
      </c>
      <c r="T26" s="5">
        <f>ROUNDDOWN(MIN(max_rpwr/gen_l_pow40,max_ru/gen_l_ru),0)</f>
        <v>14</v>
      </c>
      <c r="U26" s="5">
        <f>ROUNDDOWN(MIN(max_rpwr/gen_l_pow60,max_ru/gen_l_ru),0)</f>
        <v>14</v>
      </c>
      <c r="V26" s="5">
        <f>ROUNDDOWN(MIN(max_rpwr/gen_l_pow80,max_ru/gen_l_ru),0)</f>
        <v>11</v>
      </c>
      <c r="W26" s="80">
        <f>ROUNDDOWN(MIN(max_rpwr/gen_l_pow100,max_ru/gen_l_ru),0)</f>
        <v>9</v>
      </c>
      <c r="X26" s="19">
        <v>850</v>
      </c>
      <c r="Y26" s="19"/>
      <c r="Z26" s="19"/>
      <c r="AA26" s="19"/>
      <c r="AB26" s="19"/>
    </row>
    <row r="27" spans="1:28" x14ac:dyDescent="0.35">
      <c r="A27" s="20" t="s">
        <v>39</v>
      </c>
      <c r="B27" s="22">
        <v>6</v>
      </c>
      <c r="C27" s="22">
        <v>8</v>
      </c>
      <c r="D27" s="21">
        <f>32*mem_limit</f>
        <v>25.6</v>
      </c>
      <c r="E27" s="389">
        <f>2000*disk_limit</f>
        <v>1500</v>
      </c>
      <c r="F27" s="21">
        <f>(gen_xl_ports-1)*bw_limit</f>
        <v>2.25</v>
      </c>
      <c r="G27" s="81">
        <v>4</v>
      </c>
      <c r="H27" s="1">
        <v>1800</v>
      </c>
      <c r="I27" s="1">
        <v>2700</v>
      </c>
      <c r="J27" s="1">
        <v>3600</v>
      </c>
      <c r="K27" s="78">
        <v>4500</v>
      </c>
      <c r="L27" s="1">
        <f t="shared" si="0"/>
        <v>150000</v>
      </c>
      <c r="M27" s="1">
        <f t="shared" si="0"/>
        <v>225000</v>
      </c>
      <c r="N27" s="1">
        <f t="shared" si="0"/>
        <v>300000</v>
      </c>
      <c r="O27" s="78">
        <f t="shared" si="0"/>
        <v>375000</v>
      </c>
      <c r="P27" s="23">
        <f>0.4*S27</f>
        <v>0.2</v>
      </c>
      <c r="Q27" s="23">
        <f>0.6*S27</f>
        <v>0.3</v>
      </c>
      <c r="R27" s="23">
        <f>0.8*S27</f>
        <v>0.4</v>
      </c>
      <c r="S27" s="79">
        <v>0.5</v>
      </c>
      <c r="T27" s="5">
        <f>ROUNDDOWN(MIN(max_rpwr/gen_xl_pow40,max_ru/gen_xl_ru),0)</f>
        <v>7</v>
      </c>
      <c r="U27" s="5">
        <f>ROUNDDOWN(MIN(max_rpwr/gen_xl_pow60,max_ru/gen_xl_ru),0)</f>
        <v>7</v>
      </c>
      <c r="V27" s="5">
        <f>ROUNDDOWN(MIN(max_rpwr/gen_xl_pow80,max_ru/gen_xl_ru),0)</f>
        <v>7</v>
      </c>
      <c r="W27" s="80">
        <f>ROUNDDOWN(MIN(max_rpwr/gen_xl_pow100,max_ru/gen_xl_ru),0)</f>
        <v>6</v>
      </c>
      <c r="X27" s="19">
        <v>2350</v>
      </c>
      <c r="Y27" s="19"/>
      <c r="Z27" s="19"/>
      <c r="AA27" s="19"/>
      <c r="AB27" s="19"/>
    </row>
    <row r="29" spans="1:28" ht="31" x14ac:dyDescent="0.35">
      <c r="A29" s="8" t="s">
        <v>286</v>
      </c>
      <c r="B29" s="39" t="s">
        <v>31</v>
      </c>
      <c r="C29" s="3" t="s">
        <v>105</v>
      </c>
      <c r="D29" s="39" t="s">
        <v>287</v>
      </c>
      <c r="E29" s="3" t="s">
        <v>106</v>
      </c>
      <c r="F29" s="39" t="s">
        <v>87</v>
      </c>
      <c r="G29" s="3" t="s">
        <v>82</v>
      </c>
      <c r="H29" s="39" t="s">
        <v>110</v>
      </c>
    </row>
    <row r="30" spans="1:28" x14ac:dyDescent="0.35">
      <c r="A30" s="10"/>
      <c r="B30" s="1">
        <v>4</v>
      </c>
      <c r="C30" s="1">
        <f>240000*bw_limit</f>
        <v>180000</v>
      </c>
      <c r="D30">
        <v>8</v>
      </c>
      <c r="E30" s="390">
        <f>(nas_ports-2)*10*bw_limit</f>
        <v>45</v>
      </c>
      <c r="F30" s="60">
        <v>1.1200000000000001</v>
      </c>
      <c r="G30" s="82">
        <v>180000</v>
      </c>
      <c r="H30" s="5">
        <f>ROUNDDOWN(MIN(max_rpwr/nas_pwr,max_ru/nas_ru),0)</f>
        <v>2</v>
      </c>
    </row>
    <row r="31" spans="1:28" x14ac:dyDescent="0.35">
      <c r="A31" s="10"/>
      <c r="B31" s="1"/>
      <c r="C31" s="1"/>
      <c r="E31" s="390"/>
      <c r="F31" s="60"/>
      <c r="G31" s="82"/>
      <c r="H31" s="5"/>
    </row>
    <row r="32" spans="1:28" x14ac:dyDescent="0.35">
      <c r="A32" s="8" t="s">
        <v>77</v>
      </c>
    </row>
    <row r="33" spans="1:16" x14ac:dyDescent="0.35">
      <c r="A33" s="10" t="s">
        <v>157</v>
      </c>
      <c r="B33" s="596" t="s">
        <v>78</v>
      </c>
      <c r="C33" s="596" t="s">
        <v>79</v>
      </c>
      <c r="D33" s="597" t="s">
        <v>209</v>
      </c>
      <c r="E33" s="596" t="s">
        <v>80</v>
      </c>
      <c r="F33" s="596"/>
      <c r="G33" s="596"/>
      <c r="H33" s="596"/>
      <c r="I33" s="596"/>
      <c r="J33" s="596"/>
      <c r="K33" s="596"/>
      <c r="L33" s="596"/>
      <c r="M33" s="596"/>
      <c r="N33" s="596"/>
      <c r="O33" s="596"/>
      <c r="P33" s="596"/>
    </row>
    <row r="34" spans="1:16" x14ac:dyDescent="0.35">
      <c r="B34" s="596"/>
      <c r="C34" s="596"/>
      <c r="D34" s="597"/>
      <c r="E34" s="182" t="s">
        <v>81</v>
      </c>
      <c r="F34" s="8"/>
      <c r="G34" s="8"/>
      <c r="H34" s="8"/>
      <c r="I34" s="8" t="s">
        <v>83</v>
      </c>
      <c r="J34" s="8"/>
      <c r="K34" s="8"/>
      <c r="L34" s="8"/>
      <c r="M34" s="8" t="s">
        <v>84</v>
      </c>
      <c r="N34" s="8"/>
      <c r="O34" s="8"/>
      <c r="P34" s="8"/>
    </row>
    <row r="35" spans="1:16" ht="31" x14ac:dyDescent="0.35">
      <c r="B35" s="596"/>
      <c r="C35" s="596"/>
      <c r="D35" s="597"/>
      <c r="E35" s="3" t="s">
        <v>152</v>
      </c>
      <c r="F35" s="3" t="s">
        <v>193</v>
      </c>
      <c r="G35" s="3" t="s">
        <v>87</v>
      </c>
      <c r="H35" s="39" t="s">
        <v>82</v>
      </c>
      <c r="I35" s="39" t="s">
        <v>86</v>
      </c>
      <c r="J35" s="3" t="s">
        <v>193</v>
      </c>
      <c r="K35" s="39" t="s">
        <v>87</v>
      </c>
      <c r="L35" s="39" t="s">
        <v>82</v>
      </c>
      <c r="M35" s="39" t="s">
        <v>86</v>
      </c>
      <c r="N35" s="3" t="s">
        <v>193</v>
      </c>
      <c r="O35" s="39" t="s">
        <v>87</v>
      </c>
      <c r="P35" s="39" t="s">
        <v>82</v>
      </c>
    </row>
    <row r="36" spans="1:16" x14ac:dyDescent="0.35">
      <c r="B36" s="59">
        <v>10000</v>
      </c>
      <c r="C36">
        <v>21</v>
      </c>
      <c r="D36">
        <v>28</v>
      </c>
      <c r="E36" s="46">
        <v>8</v>
      </c>
      <c r="F36">
        <f>1*bw_limit</f>
        <v>0.75</v>
      </c>
      <c r="G36" s="46">
        <f>0.009*gig_bw*gig_ports</f>
        <v>5.3999999999999992E-2</v>
      </c>
      <c r="H36" s="59">
        <v>5000</v>
      </c>
      <c r="I36">
        <v>8</v>
      </c>
      <c r="J36">
        <f>2.5*bw_limit</f>
        <v>1.875</v>
      </c>
      <c r="K36" s="90">
        <f>0.009*oc48_bw*oc48_ports</f>
        <v>0.13499999999999998</v>
      </c>
      <c r="L36" s="59">
        <v>5000</v>
      </c>
      <c r="M36">
        <v>4</v>
      </c>
      <c r="N36">
        <f>10*bw_limit</f>
        <v>7.5</v>
      </c>
      <c r="O36" s="60">
        <f>0.009*oc192_bw*oc192_ports</f>
        <v>0.26999999999999996</v>
      </c>
      <c r="P36" s="59">
        <v>12000</v>
      </c>
    </row>
    <row r="37" spans="1:16" x14ac:dyDescent="0.35">
      <c r="A37" s="10"/>
      <c r="B37" s="1"/>
      <c r="C37" s="1"/>
    </row>
    <row r="38" spans="1:16" x14ac:dyDescent="0.35">
      <c r="A38" s="8" t="s">
        <v>112</v>
      </c>
      <c r="B38" s="39" t="s">
        <v>111</v>
      </c>
      <c r="C38" s="39" t="s">
        <v>87</v>
      </c>
      <c r="D38" s="39" t="s">
        <v>113</v>
      </c>
    </row>
    <row r="39" spans="1:16" x14ac:dyDescent="0.35">
      <c r="A39" s="8"/>
      <c r="B39" s="1">
        <v>42</v>
      </c>
      <c r="C39" s="23">
        <v>3</v>
      </c>
      <c r="D39" s="25">
        <v>5000</v>
      </c>
    </row>
    <row r="40" spans="1:16" x14ac:dyDescent="0.35">
      <c r="A40" s="8"/>
    </row>
    <row r="42" spans="1:16" x14ac:dyDescent="0.35">
      <c r="A42" s="18" t="s">
        <v>93</v>
      </c>
    </row>
    <row r="43" spans="1:16" x14ac:dyDescent="0.35">
      <c r="A43" s="10" t="s">
        <v>55</v>
      </c>
      <c r="B43" s="14">
        <v>0.2</v>
      </c>
      <c r="C43" t="s">
        <v>91</v>
      </c>
    </row>
    <row r="44" spans="1:16" x14ac:dyDescent="0.35">
      <c r="A44" s="10" t="s">
        <v>94</v>
      </c>
      <c r="B44" s="1">
        <v>32</v>
      </c>
    </row>
    <row r="45" spans="1:16" x14ac:dyDescent="0.35">
      <c r="A45" s="10" t="s">
        <v>49</v>
      </c>
      <c r="B45" s="40">
        <v>5.1400000000000001E-2</v>
      </c>
    </row>
    <row r="46" spans="1:16" x14ac:dyDescent="0.35">
      <c r="A46" s="10" t="s">
        <v>225</v>
      </c>
      <c r="B46" s="19">
        <v>0.45</v>
      </c>
    </row>
    <row r="47" spans="1:16" x14ac:dyDescent="0.35">
      <c r="A47" s="10" t="s">
        <v>227</v>
      </c>
      <c r="B47" s="1">
        <v>5280</v>
      </c>
    </row>
    <row r="48" spans="1:16" x14ac:dyDescent="0.35">
      <c r="A48" s="10" t="s">
        <v>230</v>
      </c>
      <c r="B48" s="19">
        <v>1.97</v>
      </c>
      <c r="F48" s="19"/>
      <c r="G48" s="194"/>
      <c r="H48" s="102"/>
    </row>
    <row r="49" spans="1:11" x14ac:dyDescent="0.35">
      <c r="A49" s="10" t="s">
        <v>234</v>
      </c>
      <c r="B49" s="19">
        <v>100000</v>
      </c>
    </row>
    <row r="50" spans="1:11" x14ac:dyDescent="0.35">
      <c r="A50" s="10" t="s">
        <v>245</v>
      </c>
      <c r="B50" s="19">
        <v>5</v>
      </c>
    </row>
    <row r="51" spans="1:11" x14ac:dyDescent="0.35">
      <c r="A51" s="10" t="s">
        <v>246</v>
      </c>
      <c r="B51" s="19">
        <v>50</v>
      </c>
    </row>
    <row r="52" spans="1:11" x14ac:dyDescent="0.35">
      <c r="A52" s="10" t="s">
        <v>284</v>
      </c>
      <c r="B52" s="41">
        <v>0.01</v>
      </c>
    </row>
    <row r="53" spans="1:11" x14ac:dyDescent="0.35">
      <c r="A53" s="10" t="s">
        <v>463</v>
      </c>
      <c r="B53" s="19">
        <v>10</v>
      </c>
    </row>
    <row r="54" spans="1:11" x14ac:dyDescent="0.35">
      <c r="A54" s="10" t="s">
        <v>493</v>
      </c>
      <c r="B54" s="1">
        <v>12000</v>
      </c>
      <c r="C54" t="s">
        <v>494</v>
      </c>
    </row>
    <row r="55" spans="1:11" x14ac:dyDescent="0.35">
      <c r="D55" s="596" t="s">
        <v>344</v>
      </c>
      <c r="E55" s="596"/>
    </row>
    <row r="56" spans="1:11" ht="46.5" x14ac:dyDescent="0.35">
      <c r="A56" s="8" t="s">
        <v>342</v>
      </c>
      <c r="B56" s="39" t="s">
        <v>331</v>
      </c>
      <c r="C56" s="39" t="s">
        <v>343</v>
      </c>
      <c r="D56" s="39" t="s">
        <v>345</v>
      </c>
      <c r="E56" s="3" t="s">
        <v>346</v>
      </c>
      <c r="F56" s="3" t="s">
        <v>443</v>
      </c>
      <c r="G56" s="3" t="s">
        <v>444</v>
      </c>
      <c r="H56" s="3" t="s">
        <v>347</v>
      </c>
      <c r="I56" s="3" t="s">
        <v>383</v>
      </c>
      <c r="J56" s="3" t="s">
        <v>430</v>
      </c>
      <c r="K56" s="3" t="s">
        <v>464</v>
      </c>
    </row>
    <row r="57" spans="1:11" x14ac:dyDescent="0.35">
      <c r="B57" t="s">
        <v>327</v>
      </c>
      <c r="C57" s="41">
        <v>0.1792</v>
      </c>
      <c r="D57" s="41">
        <v>0.8</v>
      </c>
      <c r="E57" s="387">
        <v>0.2</v>
      </c>
      <c r="F57" s="516">
        <v>101980</v>
      </c>
      <c r="G57" s="19">
        <v>79930</v>
      </c>
      <c r="H57" s="517">
        <f>'DC Locations'!P8</f>
        <v>6.2399999999999997E-2</v>
      </c>
      <c r="I57" s="19">
        <f>ip_tx_cost</f>
        <v>0.45</v>
      </c>
      <c r="J57" s="19">
        <f>'DC Locations'!L8</f>
        <v>11.36</v>
      </c>
      <c r="K57" s="518">
        <f>'DC Locations'!M8</f>
        <v>4.9500000000000004E-3</v>
      </c>
    </row>
    <row r="58" spans="1:11" x14ac:dyDescent="0.35">
      <c r="B58" t="s">
        <v>330</v>
      </c>
      <c r="C58" s="41">
        <v>0.21679999999999999</v>
      </c>
      <c r="D58" s="41">
        <v>0.5</v>
      </c>
      <c r="E58" s="387">
        <v>0.5</v>
      </c>
      <c r="F58" s="516">
        <f>82840</f>
        <v>82840</v>
      </c>
      <c r="G58" s="19">
        <v>75950</v>
      </c>
      <c r="H58" s="517">
        <f>'DC Locations'!G6</f>
        <v>7.8600000000000003E-2</v>
      </c>
      <c r="I58" s="19">
        <f>ip_tx_cost</f>
        <v>0.45</v>
      </c>
      <c r="J58" s="19">
        <f>'DC Locations'!C6</f>
        <v>4.6399999999999997</v>
      </c>
      <c r="K58" s="518">
        <f>'DC Locations'!D6</f>
        <v>1.5129999999999999E-2</v>
      </c>
    </row>
    <row r="59" spans="1:11" x14ac:dyDescent="0.35">
      <c r="B59" t="s">
        <v>328</v>
      </c>
      <c r="C59" s="41">
        <v>0.371</v>
      </c>
      <c r="D59" s="41">
        <v>0.5</v>
      </c>
      <c r="E59" s="387">
        <v>0.5</v>
      </c>
      <c r="F59" s="516">
        <f>91690</f>
        <v>91690</v>
      </c>
      <c r="G59" s="19">
        <v>79370</v>
      </c>
      <c r="H59" s="517">
        <f>'DC Locations'!P15</f>
        <v>5.57E-2</v>
      </c>
      <c r="I59" s="19">
        <f>ip_tx_cost</f>
        <v>0.45</v>
      </c>
      <c r="J59" s="19">
        <f>'DC Locations'!L15</f>
        <v>5.0599999999999996</v>
      </c>
      <c r="K59" s="518">
        <f>'DC Locations'!M15</f>
        <v>2.5260000000000001E-2</v>
      </c>
    </row>
    <row r="60" spans="1:11" x14ac:dyDescent="0.35">
      <c r="B60" t="s">
        <v>329</v>
      </c>
      <c r="C60" s="41">
        <v>0.23300000000000001</v>
      </c>
      <c r="D60" s="41">
        <v>0.2</v>
      </c>
      <c r="E60" s="387">
        <v>0.8</v>
      </c>
      <c r="F60" s="516">
        <f>88190</f>
        <v>88190</v>
      </c>
      <c r="G60" s="19">
        <v>61110</v>
      </c>
      <c r="H60" s="517">
        <f>'DC Locations'!G16</f>
        <v>7.8700000000000006E-2</v>
      </c>
      <c r="I60" s="19">
        <f>ip_tx_cost</f>
        <v>0.45</v>
      </c>
      <c r="J60" s="19">
        <f>'DC Locations'!C16</f>
        <v>6.7</v>
      </c>
      <c r="K60" s="518">
        <f>'DC Locations'!D16</f>
        <v>0.02</v>
      </c>
    </row>
  </sheetData>
  <mergeCells count="17">
    <mergeCell ref="B33:B35"/>
    <mergeCell ref="C33:C35"/>
    <mergeCell ref="D33:D35"/>
    <mergeCell ref="E33:P33"/>
    <mergeCell ref="X24:X25"/>
    <mergeCell ref="T24:W24"/>
    <mergeCell ref="P24:S24"/>
    <mergeCell ref="B24:B25"/>
    <mergeCell ref="C24:C25"/>
    <mergeCell ref="D24:D25"/>
    <mergeCell ref="E24:E25"/>
    <mergeCell ref="F24:F25"/>
    <mergeCell ref="L24:O24"/>
    <mergeCell ref="G24:G25"/>
    <mergeCell ref="D55:E55"/>
    <mergeCell ref="Y24:AB24"/>
    <mergeCell ref="H24:K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opLeftCell="A3" zoomScale="112" zoomScaleNormal="112" zoomScalePageLayoutView="120" workbookViewId="0">
      <selection activeCell="B18" sqref="B18"/>
    </sheetView>
  </sheetViews>
  <sheetFormatPr defaultColWidth="10.6640625" defaultRowHeight="15.5" x14ac:dyDescent="0.35"/>
  <cols>
    <col min="1" max="1" width="11.5" customWidth="1"/>
    <col min="2" max="8" width="11.33203125" customWidth="1"/>
    <col min="9" max="22" width="11.83203125" customWidth="1"/>
  </cols>
  <sheetData>
    <row r="1" spans="1:9" ht="23.5" x14ac:dyDescent="0.55000000000000004">
      <c r="A1" s="35" t="s">
        <v>143</v>
      </c>
    </row>
    <row r="3" spans="1:9" ht="16" thickBot="1" x14ac:dyDescent="0.4"/>
    <row r="4" spans="1:9" ht="51" customHeight="1" thickBot="1" x14ac:dyDescent="0.4">
      <c r="A4" s="475" t="s">
        <v>313</v>
      </c>
      <c r="B4" s="476" t="s">
        <v>319</v>
      </c>
      <c r="C4" s="476" t="s">
        <v>318</v>
      </c>
      <c r="D4" s="476" t="s">
        <v>317</v>
      </c>
      <c r="E4" s="476" t="s">
        <v>321</v>
      </c>
      <c r="F4" s="476" t="s">
        <v>320</v>
      </c>
      <c r="G4" s="476" t="s">
        <v>315</v>
      </c>
      <c r="H4" s="477" t="s">
        <v>316</v>
      </c>
      <c r="I4" s="3"/>
    </row>
    <row r="5" spans="1:9" x14ac:dyDescent="0.35">
      <c r="A5" s="235">
        <v>44197</v>
      </c>
      <c r="B5" s="236">
        <v>5000000</v>
      </c>
      <c r="C5" s="237" t="s">
        <v>314</v>
      </c>
      <c r="D5" s="237" t="s">
        <v>314</v>
      </c>
      <c r="E5" s="238">
        <v>0.3</v>
      </c>
      <c r="F5" s="239">
        <f t="shared" ref="F5:F11" si="0">B5*E5</f>
        <v>1500000</v>
      </c>
      <c r="G5" s="239"/>
      <c r="H5" s="240" t="s">
        <v>314</v>
      </c>
      <c r="I5" s="4"/>
    </row>
    <row r="6" spans="1:9" ht="16" thickBot="1" x14ac:dyDescent="0.4">
      <c r="A6" s="241">
        <v>44378</v>
      </c>
      <c r="B6" s="242">
        <v>6670000</v>
      </c>
      <c r="C6" s="243">
        <f t="shared" ref="C6:C11" si="1">B6-B5</f>
        <v>1670000</v>
      </c>
      <c r="D6" s="244">
        <f t="shared" ref="D6:D11" si="2">C6/B5</f>
        <v>0.33400000000000002</v>
      </c>
      <c r="E6" s="245">
        <v>0.3</v>
      </c>
      <c r="F6" s="246">
        <f t="shared" si="0"/>
        <v>2001000</v>
      </c>
      <c r="G6" s="246">
        <f t="shared" ref="G6:G11" si="3">F6-F5</f>
        <v>501000</v>
      </c>
      <c r="H6" s="247">
        <f t="shared" ref="H6:H11" si="4">G6/F5</f>
        <v>0.33400000000000002</v>
      </c>
      <c r="I6" s="4"/>
    </row>
    <row r="7" spans="1:9" ht="16" thickBot="1" x14ac:dyDescent="0.4">
      <c r="A7" s="255">
        <v>44562</v>
      </c>
      <c r="B7" s="256">
        <v>8890000</v>
      </c>
      <c r="C7" s="257">
        <f t="shared" si="1"/>
        <v>2220000</v>
      </c>
      <c r="D7" s="258">
        <f t="shared" si="2"/>
        <v>0.33283358320839579</v>
      </c>
      <c r="E7" s="259">
        <v>0.45</v>
      </c>
      <c r="F7" s="260">
        <f t="shared" si="0"/>
        <v>4000500</v>
      </c>
      <c r="G7" s="260">
        <f t="shared" si="3"/>
        <v>1999500</v>
      </c>
      <c r="H7" s="261">
        <f t="shared" si="4"/>
        <v>0.99925037481259371</v>
      </c>
      <c r="I7" s="4"/>
    </row>
    <row r="8" spans="1:9" ht="16" thickBot="1" x14ac:dyDescent="0.4">
      <c r="A8" s="241">
        <v>44743</v>
      </c>
      <c r="B8" s="242">
        <v>11850000</v>
      </c>
      <c r="C8" s="243">
        <f t="shared" si="1"/>
        <v>2960000</v>
      </c>
      <c r="D8" s="244">
        <f t="shared" si="2"/>
        <v>0.3329583802024747</v>
      </c>
      <c r="E8" s="245">
        <v>0.45</v>
      </c>
      <c r="F8" s="246">
        <f t="shared" si="0"/>
        <v>5332500</v>
      </c>
      <c r="G8" s="246">
        <f t="shared" si="3"/>
        <v>1332000</v>
      </c>
      <c r="H8" s="247">
        <f t="shared" si="4"/>
        <v>0.3329583802024747</v>
      </c>
      <c r="I8" s="4"/>
    </row>
    <row r="9" spans="1:9" ht="16" thickBot="1" x14ac:dyDescent="0.4">
      <c r="A9" s="255">
        <v>44927</v>
      </c>
      <c r="B9" s="256">
        <v>15800000</v>
      </c>
      <c r="C9" s="257">
        <f t="shared" si="1"/>
        <v>3950000</v>
      </c>
      <c r="D9" s="258">
        <f t="shared" si="2"/>
        <v>0.33333333333333331</v>
      </c>
      <c r="E9" s="259">
        <v>0.6</v>
      </c>
      <c r="F9" s="260">
        <f t="shared" si="0"/>
        <v>9480000</v>
      </c>
      <c r="G9" s="260">
        <f t="shared" si="3"/>
        <v>4147500</v>
      </c>
      <c r="H9" s="261">
        <f t="shared" si="4"/>
        <v>0.77777777777777779</v>
      </c>
      <c r="I9" s="4"/>
    </row>
    <row r="10" spans="1:9" x14ac:dyDescent="0.35">
      <c r="A10" s="241">
        <v>45108</v>
      </c>
      <c r="B10" s="242">
        <v>21070000</v>
      </c>
      <c r="C10" s="243">
        <f t="shared" si="1"/>
        <v>5270000</v>
      </c>
      <c r="D10" s="244">
        <f t="shared" si="2"/>
        <v>0.33354430379746836</v>
      </c>
      <c r="E10" s="245">
        <v>0.6</v>
      </c>
      <c r="F10" s="246">
        <f t="shared" si="0"/>
        <v>12642000</v>
      </c>
      <c r="G10" s="246">
        <f t="shared" si="3"/>
        <v>3162000</v>
      </c>
      <c r="H10" s="247">
        <f t="shared" si="4"/>
        <v>0.33354430379746836</v>
      </c>
      <c r="I10" s="4"/>
    </row>
    <row r="11" spans="1:9" ht="16" thickBot="1" x14ac:dyDescent="0.4">
      <c r="A11" s="248">
        <v>45292</v>
      </c>
      <c r="B11" s="249">
        <v>28090000</v>
      </c>
      <c r="C11" s="250">
        <f t="shared" si="1"/>
        <v>7020000</v>
      </c>
      <c r="D11" s="251">
        <f t="shared" si="2"/>
        <v>0.33317513051732323</v>
      </c>
      <c r="E11" s="252">
        <v>0.6</v>
      </c>
      <c r="F11" s="253">
        <f t="shared" si="0"/>
        <v>16854000</v>
      </c>
      <c r="G11" s="253">
        <f t="shared" si="3"/>
        <v>4212000</v>
      </c>
      <c r="H11" s="254">
        <f t="shared" si="4"/>
        <v>0.33317513051732323</v>
      </c>
      <c r="I11" s="4"/>
    </row>
    <row r="15" spans="1:9" ht="24" thickBot="1" x14ac:dyDescent="0.6">
      <c r="A15" s="35" t="s">
        <v>326</v>
      </c>
    </row>
    <row r="16" spans="1:9" ht="17" customHeight="1" x14ac:dyDescent="0.35">
      <c r="A16" s="549" t="s">
        <v>331</v>
      </c>
      <c r="B16" s="549" t="s">
        <v>335</v>
      </c>
      <c r="C16" s="478" t="s">
        <v>45</v>
      </c>
      <c r="D16" s="436"/>
      <c r="E16" s="478" t="s">
        <v>46</v>
      </c>
      <c r="F16" s="479"/>
      <c r="G16" s="478" t="s">
        <v>47</v>
      </c>
      <c r="H16" s="436"/>
    </row>
    <row r="17" spans="1:8" ht="16" thickBot="1" x14ac:dyDescent="0.4">
      <c r="A17" s="550"/>
      <c r="B17" s="550"/>
      <c r="C17" s="472" t="s">
        <v>319</v>
      </c>
      <c r="D17" s="473" t="s">
        <v>61</v>
      </c>
      <c r="E17" s="472" t="s">
        <v>319</v>
      </c>
      <c r="F17" s="474" t="s">
        <v>61</v>
      </c>
      <c r="G17" s="472" t="s">
        <v>319</v>
      </c>
      <c r="H17" s="473" t="s">
        <v>61</v>
      </c>
    </row>
    <row r="18" spans="1:8" x14ac:dyDescent="0.35">
      <c r="A18" s="285" t="s">
        <v>327</v>
      </c>
      <c r="B18" s="273">
        <v>0.1792</v>
      </c>
      <c r="C18" s="277">
        <f>ROUND($B$7*$B18,0)</f>
        <v>1593088</v>
      </c>
      <c r="D18" s="271">
        <f>ROUND($F$7*$B18,0)</f>
        <v>716890</v>
      </c>
      <c r="E18" s="277">
        <f>ROUND($B$9*$B18,0)</f>
        <v>2831360</v>
      </c>
      <c r="F18" s="282">
        <f>ROUND($F$9*$B18,0)</f>
        <v>1698816</v>
      </c>
      <c r="G18" s="277">
        <f>ROUND($B$11*$B18,0)</f>
        <v>5033728</v>
      </c>
      <c r="H18" s="271">
        <f>ROUND($F$11*$B18,0)</f>
        <v>3020237</v>
      </c>
    </row>
    <row r="19" spans="1:8" x14ac:dyDescent="0.35">
      <c r="A19" s="286" t="s">
        <v>330</v>
      </c>
      <c r="B19" s="274">
        <v>0.21679999999999999</v>
      </c>
      <c r="C19" s="278">
        <f>ROUND($B$7*$B19,0)</f>
        <v>1927352</v>
      </c>
      <c r="D19" s="269">
        <f>ROUND($F$7*$B19,0)</f>
        <v>867308</v>
      </c>
      <c r="E19" s="278">
        <f>ROUND($B$9*$B19,0)</f>
        <v>3425440</v>
      </c>
      <c r="F19" s="283">
        <f>ROUND($F$9*$B19,0)</f>
        <v>2055264</v>
      </c>
      <c r="G19" s="278">
        <f>ROUND($B$11*$B19,0)</f>
        <v>6089912</v>
      </c>
      <c r="H19" s="269">
        <f>ROUND($F$11*$B19,0)</f>
        <v>3653947</v>
      </c>
    </row>
    <row r="20" spans="1:8" x14ac:dyDescent="0.35">
      <c r="A20" s="287" t="s">
        <v>328</v>
      </c>
      <c r="B20" s="275">
        <v>0.371</v>
      </c>
      <c r="C20" s="279">
        <f>ROUND($B$7*$B20,0)</f>
        <v>3298190</v>
      </c>
      <c r="D20" s="272">
        <f>ROUND($F$7*$B20,0)</f>
        <v>1484186</v>
      </c>
      <c r="E20" s="279">
        <f>ROUND($B$9*$B20,0)</f>
        <v>5861800</v>
      </c>
      <c r="F20" s="272">
        <f>ROUND($F$9*$B20,0)</f>
        <v>3517080</v>
      </c>
      <c r="G20" s="279">
        <f>ROUND($B$11*$B20,0)</f>
        <v>10421390</v>
      </c>
      <c r="H20" s="272">
        <f>ROUND($F$11*$B20,0)</f>
        <v>6252834</v>
      </c>
    </row>
    <row r="21" spans="1:8" ht="16" thickBot="1" x14ac:dyDescent="0.4">
      <c r="A21" s="288" t="s">
        <v>329</v>
      </c>
      <c r="B21" s="276">
        <v>0.23300000000000001</v>
      </c>
      <c r="C21" s="280">
        <f>ROUND($B$7*$B21,0)</f>
        <v>2071370</v>
      </c>
      <c r="D21" s="270">
        <f>ROUND($F$7*$B21,0)</f>
        <v>932117</v>
      </c>
      <c r="E21" s="281">
        <f>ROUND($B$9*$B21,0)</f>
        <v>3681400</v>
      </c>
      <c r="F21" s="284">
        <f>ROUND($F$9*$B21,0)</f>
        <v>2208840</v>
      </c>
      <c r="G21" s="280">
        <f>ROUND($B$11*$B21,0)</f>
        <v>6544970</v>
      </c>
      <c r="H21" s="270">
        <f>ROUND($F$11*$B21,0)</f>
        <v>3926982</v>
      </c>
    </row>
  </sheetData>
  <mergeCells count="2">
    <mergeCell ref="A16:A17"/>
    <mergeCell ref="B16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157A-2B67-D948-8B77-B9B708C12A12}">
  <dimension ref="A1:AD33"/>
  <sheetViews>
    <sheetView topLeftCell="Q9" zoomScale="140" zoomScaleNormal="140" workbookViewId="0">
      <selection activeCell="AB30" sqref="AB30"/>
    </sheetView>
  </sheetViews>
  <sheetFormatPr defaultColWidth="11.5" defaultRowHeight="15.5" x14ac:dyDescent="0.35"/>
  <cols>
    <col min="1" max="1" width="15.33203125" customWidth="1"/>
    <col min="3" max="22" width="9.83203125" customWidth="1"/>
    <col min="24" max="25" width="14.33203125" customWidth="1"/>
    <col min="26" max="26" width="14.33203125" bestFit="1" customWidth="1"/>
  </cols>
  <sheetData>
    <row r="1" spans="1:30" ht="23.5" x14ac:dyDescent="0.55000000000000004">
      <c r="A1" s="35" t="s">
        <v>368</v>
      </c>
      <c r="B1" s="35" t="s">
        <v>396</v>
      </c>
    </row>
    <row r="3" spans="1:30" x14ac:dyDescent="0.35">
      <c r="B3" t="s">
        <v>398</v>
      </c>
      <c r="X3" t="s">
        <v>352</v>
      </c>
    </row>
    <row r="4" spans="1:30" x14ac:dyDescent="0.35">
      <c r="B4" t="s">
        <v>397</v>
      </c>
      <c r="AA4" t="s">
        <v>327</v>
      </c>
      <c r="AB4" t="s">
        <v>330</v>
      </c>
      <c r="AC4" t="s">
        <v>328</v>
      </c>
      <c r="AD4" t="s">
        <v>329</v>
      </c>
    </row>
    <row r="5" spans="1:30" ht="16" thickBot="1" x14ac:dyDescent="0.4">
      <c r="X5" t="s">
        <v>304</v>
      </c>
      <c r="Y5" t="s">
        <v>362</v>
      </c>
    </row>
    <row r="6" spans="1:30" ht="16" thickBot="1" x14ac:dyDescent="0.4">
      <c r="B6" s="443" t="s">
        <v>389</v>
      </c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1"/>
      <c r="Z6" t="s">
        <v>363</v>
      </c>
      <c r="AA6" s="7" t="s">
        <v>369</v>
      </c>
      <c r="AB6" s="7" t="s">
        <v>370</v>
      </c>
      <c r="AC6" s="7" t="s">
        <v>371</v>
      </c>
      <c r="AD6" s="7" t="s">
        <v>372</v>
      </c>
    </row>
    <row r="7" spans="1:30" x14ac:dyDescent="0.35">
      <c r="B7" s="320"/>
      <c r="C7" s="551" t="s">
        <v>327</v>
      </c>
      <c r="D7" s="552"/>
      <c r="E7" s="552"/>
      <c r="F7" s="552"/>
      <c r="G7" s="553"/>
      <c r="H7" s="551" t="s">
        <v>330</v>
      </c>
      <c r="I7" s="552"/>
      <c r="J7" s="552"/>
      <c r="K7" s="552"/>
      <c r="L7" s="553"/>
      <c r="M7" s="551" t="s">
        <v>328</v>
      </c>
      <c r="N7" s="552"/>
      <c r="O7" s="552"/>
      <c r="P7" s="552"/>
      <c r="Q7" s="553"/>
      <c r="R7" s="551" t="s">
        <v>329</v>
      </c>
      <c r="S7" s="552"/>
      <c r="T7" s="552"/>
      <c r="U7" s="552"/>
      <c r="V7" s="553"/>
      <c r="Z7" t="s">
        <v>364</v>
      </c>
      <c r="AA7" s="7" t="s">
        <v>365</v>
      </c>
      <c r="AB7" s="431">
        <v>0</v>
      </c>
      <c r="AC7" s="431">
        <v>0</v>
      </c>
      <c r="AD7" s="7" t="s">
        <v>366</v>
      </c>
    </row>
    <row r="8" spans="1:30" ht="16" thickBot="1" x14ac:dyDescent="0.4">
      <c r="B8" s="455" t="s">
        <v>304</v>
      </c>
      <c r="C8" s="348" t="s">
        <v>358</v>
      </c>
      <c r="D8" s="349" t="s">
        <v>359</v>
      </c>
      <c r="E8" s="349" t="s">
        <v>360</v>
      </c>
      <c r="F8" s="349" t="s">
        <v>361</v>
      </c>
      <c r="G8" s="350" t="s">
        <v>136</v>
      </c>
      <c r="H8" s="348" t="s">
        <v>358</v>
      </c>
      <c r="I8" s="349" t="s">
        <v>359</v>
      </c>
      <c r="J8" s="349" t="s">
        <v>360</v>
      </c>
      <c r="K8" s="349" t="s">
        <v>361</v>
      </c>
      <c r="L8" s="350" t="s">
        <v>136</v>
      </c>
      <c r="M8" s="348" t="s">
        <v>358</v>
      </c>
      <c r="N8" s="349" t="s">
        <v>359</v>
      </c>
      <c r="O8" s="349" t="s">
        <v>360</v>
      </c>
      <c r="P8" s="349" t="s">
        <v>361</v>
      </c>
      <c r="Q8" s="350" t="s">
        <v>136</v>
      </c>
      <c r="R8" s="348" t="s">
        <v>358</v>
      </c>
      <c r="S8" s="349" t="s">
        <v>359</v>
      </c>
      <c r="T8" s="349" t="s">
        <v>360</v>
      </c>
      <c r="U8" s="349" t="s">
        <v>361</v>
      </c>
      <c r="V8" s="350" t="s">
        <v>136</v>
      </c>
      <c r="Y8" t="s">
        <v>354</v>
      </c>
      <c r="AA8" s="7"/>
      <c r="AB8" s="7"/>
      <c r="AC8" s="7"/>
      <c r="AD8" s="7"/>
    </row>
    <row r="9" spans="1:30" x14ac:dyDescent="0.35">
      <c r="B9" s="456" t="s">
        <v>353</v>
      </c>
      <c r="C9" s="459">
        <f>100%*'User Profile'!$B$18</f>
        <v>0.1792</v>
      </c>
      <c r="D9" s="453">
        <f>0%*'User Profile'!$B$19</f>
        <v>0</v>
      </c>
      <c r="E9" s="453">
        <f>0%*'User Profile'!$B$20</f>
        <v>0</v>
      </c>
      <c r="F9" s="453">
        <f>0%*'User Profile'!$B$21</f>
        <v>0</v>
      </c>
      <c r="G9" s="454">
        <f>SUM(C9:F9)</f>
        <v>0.1792</v>
      </c>
      <c r="H9" s="459">
        <f>0%*'User Profile'!$B$18</f>
        <v>0</v>
      </c>
      <c r="I9" s="453">
        <f>100%*'User Profile'!$B$19</f>
        <v>0.21679999999999999</v>
      </c>
      <c r="J9" s="453">
        <f>0%*'User Profile'!$B$20</f>
        <v>0</v>
      </c>
      <c r="K9" s="453">
        <f>0%*'User Profile'!$B$21</f>
        <v>0</v>
      </c>
      <c r="L9" s="454">
        <f>SUM(H9:K9)</f>
        <v>0.21679999999999999</v>
      </c>
      <c r="M9" s="459">
        <f>0%*'User Profile'!$B$18</f>
        <v>0</v>
      </c>
      <c r="N9" s="453">
        <v>0</v>
      </c>
      <c r="O9" s="453">
        <f>100%*'User Profile'!$B$20</f>
        <v>0.371</v>
      </c>
      <c r="P9" s="453">
        <v>0</v>
      </c>
      <c r="Q9" s="454">
        <f>SUM(M9:P9)</f>
        <v>0.371</v>
      </c>
      <c r="R9" s="459">
        <v>0</v>
      </c>
      <c r="S9" s="453">
        <v>0</v>
      </c>
      <c r="T9" s="453">
        <v>0</v>
      </c>
      <c r="U9" s="453"/>
      <c r="V9" s="454">
        <f t="shared" ref="V9:V12" si="0">SUM(R9:U9)</f>
        <v>0</v>
      </c>
      <c r="Z9" t="s">
        <v>367</v>
      </c>
      <c r="AA9" s="431">
        <v>0</v>
      </c>
      <c r="AB9" s="7" t="s">
        <v>370</v>
      </c>
      <c r="AC9" s="7" t="s">
        <v>392</v>
      </c>
      <c r="AD9" s="7" t="s">
        <v>372</v>
      </c>
    </row>
    <row r="10" spans="1:30" x14ac:dyDescent="0.35">
      <c r="B10" s="457" t="s">
        <v>354</v>
      </c>
      <c r="C10" s="460"/>
      <c r="D10" s="445"/>
      <c r="E10" s="445"/>
      <c r="F10" s="445"/>
      <c r="G10" s="461"/>
      <c r="H10" s="462">
        <v>0</v>
      </c>
      <c r="I10" s="439">
        <f>100%*'User Profile'!$B$19</f>
        <v>0.21679999999999999</v>
      </c>
      <c r="J10" s="439">
        <f>0%*'User Profile'!$B$20</f>
        <v>0</v>
      </c>
      <c r="K10" s="439">
        <f>0%*'User Profile'!$B$21</f>
        <v>0</v>
      </c>
      <c r="L10" s="446">
        <f>SUM(H10:K10)</f>
        <v>0.21679999999999999</v>
      </c>
      <c r="M10" s="462">
        <f>'User Profile'!$B$18</f>
        <v>0.1792</v>
      </c>
      <c r="N10" s="439">
        <f>0%*'User Profile'!$B$19</f>
        <v>0</v>
      </c>
      <c r="O10" s="439">
        <f>100%*'User Profile'!$B$20</f>
        <v>0.371</v>
      </c>
      <c r="P10" s="439">
        <f>0%*'User Profile'!$B$21</f>
        <v>0</v>
      </c>
      <c r="Q10" s="447">
        <f>SUM(M10:P10)</f>
        <v>0.55020000000000002</v>
      </c>
      <c r="R10" s="462">
        <f>0%*'User Profile'!$B$18</f>
        <v>0</v>
      </c>
      <c r="S10" s="439">
        <f>0%*'User Profile'!$B$19</f>
        <v>0</v>
      </c>
      <c r="T10" s="439">
        <f>0%*'User Profile'!$B$20</f>
        <v>0</v>
      </c>
      <c r="U10" s="439">
        <f>100%*'User Profile'!$B$21</f>
        <v>0.23300000000000001</v>
      </c>
      <c r="V10" s="446">
        <f t="shared" si="0"/>
        <v>0.23300000000000001</v>
      </c>
      <c r="Z10" t="s">
        <v>364</v>
      </c>
      <c r="AA10" s="431">
        <v>0</v>
      </c>
      <c r="AB10" s="431">
        <v>0</v>
      </c>
      <c r="AC10" s="431">
        <v>0</v>
      </c>
      <c r="AD10" s="7" t="s">
        <v>373</v>
      </c>
    </row>
    <row r="11" spans="1:30" x14ac:dyDescent="0.35">
      <c r="B11" s="457" t="s">
        <v>356</v>
      </c>
      <c r="C11" s="462">
        <f>100%*'User Profile'!$B$18</f>
        <v>0.1792</v>
      </c>
      <c r="D11" s="439">
        <v>0</v>
      </c>
      <c r="E11" s="439">
        <f>0%*'User Profile'!$B$20</f>
        <v>0</v>
      </c>
      <c r="F11" s="439">
        <f>0%*'User Profile'!$B$21</f>
        <v>0</v>
      </c>
      <c r="G11" s="446">
        <f>SUM(C11:F11)</f>
        <v>0.1792</v>
      </c>
      <c r="H11" s="460"/>
      <c r="I11" s="445"/>
      <c r="J11" s="445"/>
      <c r="K11" s="445"/>
      <c r="L11" s="461"/>
      <c r="M11" s="462">
        <f>0%*'User Profile'!$B$18</f>
        <v>0</v>
      </c>
      <c r="N11" s="439">
        <f>0%*'User Profile'!$B$19</f>
        <v>0</v>
      </c>
      <c r="O11" s="439">
        <f>100%*'User Profile'!$B$20</f>
        <v>0.371</v>
      </c>
      <c r="P11" s="439">
        <f>0%*'User Profile'!$B$21</f>
        <v>0</v>
      </c>
      <c r="Q11" s="446">
        <f>SUM(M11:P11)</f>
        <v>0.371</v>
      </c>
      <c r="R11" s="462">
        <f>0%*'User Profile'!$B$18</f>
        <v>0</v>
      </c>
      <c r="S11" s="439">
        <f>'User Profile'!$B$19</f>
        <v>0.21679999999999999</v>
      </c>
      <c r="T11" s="439">
        <f>0%*'User Profile'!$B$20</f>
        <v>0</v>
      </c>
      <c r="U11" s="439">
        <f>100%*'User Profile'!$B$21</f>
        <v>0.23300000000000001</v>
      </c>
      <c r="V11" s="446">
        <f t="shared" si="0"/>
        <v>0.44979999999999998</v>
      </c>
      <c r="Y11" t="s">
        <v>356</v>
      </c>
      <c r="Z11" t="s">
        <v>367</v>
      </c>
      <c r="AA11" s="7" t="s">
        <v>369</v>
      </c>
      <c r="AB11" s="431">
        <v>0</v>
      </c>
      <c r="AC11" s="7" t="s">
        <v>371</v>
      </c>
      <c r="AD11" s="7" t="s">
        <v>393</v>
      </c>
    </row>
    <row r="12" spans="1:30" ht="16" thickBot="1" x14ac:dyDescent="0.4">
      <c r="B12" s="457" t="s">
        <v>355</v>
      </c>
      <c r="C12" s="462">
        <f>100%*'User Profile'!$B$18</f>
        <v>0.1792</v>
      </c>
      <c r="D12" s="439">
        <f>0%*'User Profile'!$B$19</f>
        <v>0</v>
      </c>
      <c r="E12" s="439">
        <f>'User Profile'!$B$20</f>
        <v>0.371</v>
      </c>
      <c r="F12" s="439">
        <f>0%*'User Profile'!$B$21</f>
        <v>0</v>
      </c>
      <c r="G12" s="447">
        <f>SUM(C12:F12)</f>
        <v>0.55020000000000002</v>
      </c>
      <c r="H12" s="462">
        <f>0%*'User Profile'!$B$18</f>
        <v>0</v>
      </c>
      <c r="I12" s="439">
        <f>100%*'User Profile'!$B$19</f>
        <v>0.21679999999999999</v>
      </c>
      <c r="J12" s="439">
        <f>0%*'User Profile'!$B$20</f>
        <v>0</v>
      </c>
      <c r="K12" s="439">
        <f>0%*'User Profile'!$B$21</f>
        <v>0</v>
      </c>
      <c r="L12" s="446">
        <f>SUM(H12:K12)</f>
        <v>0.21679999999999999</v>
      </c>
      <c r="M12" s="460"/>
      <c r="N12" s="445"/>
      <c r="O12" s="445"/>
      <c r="P12" s="445"/>
      <c r="Q12" s="461"/>
      <c r="R12" s="463">
        <f>0%*'User Profile'!$B$18</f>
        <v>0</v>
      </c>
      <c r="S12" s="442">
        <f>0%*'User Profile'!$B$19</f>
        <v>0</v>
      </c>
      <c r="T12" s="442">
        <v>0</v>
      </c>
      <c r="U12" s="442">
        <f>100%*'User Profile'!$B$21</f>
        <v>0.23300000000000001</v>
      </c>
      <c r="V12" s="464">
        <f t="shared" si="0"/>
        <v>0.23300000000000001</v>
      </c>
      <c r="Z12" t="s">
        <v>364</v>
      </c>
      <c r="AA12" s="7" t="s">
        <v>365</v>
      </c>
      <c r="AB12" s="431">
        <v>0</v>
      </c>
      <c r="AC12" s="431">
        <v>0</v>
      </c>
      <c r="AD12" s="7" t="s">
        <v>366</v>
      </c>
    </row>
    <row r="13" spans="1:30" ht="16" thickBot="1" x14ac:dyDescent="0.4">
      <c r="B13" s="458" t="s">
        <v>357</v>
      </c>
      <c r="C13" s="463">
        <f>100%*'User Profile'!$B$18</f>
        <v>0.1792</v>
      </c>
      <c r="D13" s="442">
        <f>0%*'User Profile'!$B$19</f>
        <v>0</v>
      </c>
      <c r="E13" s="442">
        <f>0%*'User Profile'!$B$20</f>
        <v>0</v>
      </c>
      <c r="F13" s="442">
        <f>0%*'User Profile'!$B$21</f>
        <v>0</v>
      </c>
      <c r="G13" s="464">
        <f>SUM(C13:F13)</f>
        <v>0.1792</v>
      </c>
      <c r="H13" s="463">
        <f>0%*'User Profile'!$B$18</f>
        <v>0</v>
      </c>
      <c r="I13" s="442">
        <f>100%*'User Profile'!$B$19</f>
        <v>0.21679999999999999</v>
      </c>
      <c r="J13" s="442">
        <f>0%*'User Profile'!$B$20</f>
        <v>0</v>
      </c>
      <c r="K13" s="442">
        <f>'User Profile'!$B$21</f>
        <v>0.23300000000000001</v>
      </c>
      <c r="L13" s="464">
        <f>SUM(H13:K13)</f>
        <v>0.44979999999999998</v>
      </c>
      <c r="M13" s="463">
        <f>0%*'User Profile'!$B$18</f>
        <v>0</v>
      </c>
      <c r="N13" s="442">
        <f>0%*'User Profile'!$B$19</f>
        <v>0</v>
      </c>
      <c r="O13" s="442">
        <f>100%*'User Profile'!$B$20</f>
        <v>0.371</v>
      </c>
      <c r="P13" s="442">
        <f>0%*'User Profile'!$B$21</f>
        <v>0</v>
      </c>
      <c r="Q13" s="464">
        <f>SUM(M13:P13)</f>
        <v>0.371</v>
      </c>
      <c r="R13" s="465"/>
      <c r="S13" s="466"/>
      <c r="T13" s="466"/>
      <c r="U13" s="466"/>
      <c r="V13" s="467"/>
      <c r="AA13" s="7"/>
      <c r="AB13" s="431"/>
      <c r="AC13" s="431"/>
      <c r="AD13" s="7"/>
    </row>
    <row r="14" spans="1:30" x14ac:dyDescent="0.35">
      <c r="AA14" s="7"/>
      <c r="AB14" s="431"/>
      <c r="AC14" s="431"/>
      <c r="AD14" s="7"/>
    </row>
    <row r="15" spans="1:30" x14ac:dyDescent="0.35">
      <c r="Y15" t="s">
        <v>355</v>
      </c>
      <c r="Z15" t="s">
        <v>367</v>
      </c>
      <c r="AA15" s="7" t="s">
        <v>392</v>
      </c>
      <c r="AB15" s="431" t="s">
        <v>370</v>
      </c>
      <c r="AC15" s="431">
        <v>0</v>
      </c>
      <c r="AD15" s="7" t="s">
        <v>372</v>
      </c>
    </row>
    <row r="16" spans="1:30" x14ac:dyDescent="0.35">
      <c r="Z16" t="s">
        <v>364</v>
      </c>
      <c r="AA16" s="7" t="s">
        <v>365</v>
      </c>
      <c r="AB16" s="431" t="s">
        <v>374</v>
      </c>
      <c r="AC16" s="431" t="s">
        <v>374</v>
      </c>
      <c r="AD16" s="7" t="s">
        <v>366</v>
      </c>
    </row>
    <row r="17" spans="2:30" ht="16" thickBot="1" x14ac:dyDescent="0.4">
      <c r="Y17" t="s">
        <v>357</v>
      </c>
      <c r="Z17" t="s">
        <v>367</v>
      </c>
      <c r="AA17" s="7" t="s">
        <v>369</v>
      </c>
      <c r="AB17" s="431" t="s">
        <v>393</v>
      </c>
      <c r="AC17" s="431" t="s">
        <v>371</v>
      </c>
      <c r="AD17" s="431">
        <v>0</v>
      </c>
    </row>
    <row r="18" spans="2:30" ht="16" thickBot="1" x14ac:dyDescent="0.4">
      <c r="B18" s="443" t="s">
        <v>375</v>
      </c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  <c r="R18" s="450"/>
      <c r="S18" s="450"/>
      <c r="T18" s="450"/>
      <c r="U18" s="450"/>
      <c r="V18" s="451"/>
      <c r="Z18" t="s">
        <v>394</v>
      </c>
      <c r="AA18" s="7" t="s">
        <v>373</v>
      </c>
      <c r="AB18" s="431">
        <v>0</v>
      </c>
      <c r="AC18" s="431">
        <v>0</v>
      </c>
      <c r="AD18" s="431">
        <v>0</v>
      </c>
    </row>
    <row r="19" spans="2:30" x14ac:dyDescent="0.35">
      <c r="B19" s="320"/>
      <c r="C19" s="551" t="s">
        <v>327</v>
      </c>
      <c r="D19" s="552"/>
      <c r="E19" s="552"/>
      <c r="F19" s="552"/>
      <c r="G19" s="553"/>
      <c r="H19" s="551" t="s">
        <v>330</v>
      </c>
      <c r="I19" s="552"/>
      <c r="J19" s="552"/>
      <c r="K19" s="552"/>
      <c r="L19" s="553"/>
      <c r="M19" s="551" t="s">
        <v>328</v>
      </c>
      <c r="N19" s="552"/>
      <c r="O19" s="552"/>
      <c r="P19" s="552"/>
      <c r="Q19" s="553"/>
      <c r="R19" s="551" t="s">
        <v>329</v>
      </c>
      <c r="S19" s="552"/>
      <c r="T19" s="552"/>
      <c r="U19" s="552"/>
      <c r="V19" s="553"/>
      <c r="AB19" s="14"/>
      <c r="AC19" s="14"/>
    </row>
    <row r="20" spans="2:30" ht="16" thickBot="1" x14ac:dyDescent="0.4">
      <c r="B20" s="468" t="s">
        <v>304</v>
      </c>
      <c r="C20" s="469" t="s">
        <v>358</v>
      </c>
      <c r="D20" s="409" t="s">
        <v>359</v>
      </c>
      <c r="E20" s="409" t="s">
        <v>360</v>
      </c>
      <c r="F20" s="409" t="s">
        <v>361</v>
      </c>
      <c r="G20" s="452" t="s">
        <v>136</v>
      </c>
      <c r="H20" s="469" t="s">
        <v>358</v>
      </c>
      <c r="I20" s="409" t="s">
        <v>359</v>
      </c>
      <c r="J20" s="409" t="s">
        <v>360</v>
      </c>
      <c r="K20" s="409" t="s">
        <v>361</v>
      </c>
      <c r="L20" s="452" t="s">
        <v>136</v>
      </c>
      <c r="M20" s="469" t="s">
        <v>358</v>
      </c>
      <c r="N20" s="409" t="s">
        <v>359</v>
      </c>
      <c r="O20" s="409" t="s">
        <v>360</v>
      </c>
      <c r="P20" s="409" t="s">
        <v>361</v>
      </c>
      <c r="Q20" s="452" t="s">
        <v>136</v>
      </c>
      <c r="R20" s="469" t="s">
        <v>358</v>
      </c>
      <c r="S20" s="409" t="s">
        <v>359</v>
      </c>
      <c r="T20" s="409" t="s">
        <v>360</v>
      </c>
      <c r="U20" s="409" t="s">
        <v>361</v>
      </c>
      <c r="V20" s="452" t="s">
        <v>136</v>
      </c>
      <c r="AB20" s="14"/>
      <c r="AC20" s="14"/>
    </row>
    <row r="21" spans="2:30" x14ac:dyDescent="0.35">
      <c r="B21" s="456" t="s">
        <v>353</v>
      </c>
      <c r="C21" s="459">
        <f>80%*'User Profile'!$B$18</f>
        <v>0.14336000000000002</v>
      </c>
      <c r="D21" s="453">
        <f>50%*'User Profile'!$B$19</f>
        <v>0.1084</v>
      </c>
      <c r="E21" s="453">
        <f>50%*'User Profile'!$B$20</f>
        <v>0.1855</v>
      </c>
      <c r="F21" s="453">
        <f>20%*'User Profile'!$B$21</f>
        <v>4.6600000000000003E-2</v>
      </c>
      <c r="G21" s="454">
        <f>SUM(C21:F21)</f>
        <v>0.48385999999999996</v>
      </c>
      <c r="H21" s="459">
        <f>0%*'User Profile'!$B$18</f>
        <v>0</v>
      </c>
      <c r="I21" s="453">
        <f>0%*'User Profile'!$B$19</f>
        <v>0</v>
      </c>
      <c r="J21" s="453">
        <f>0%*'User Profile'!$B$20</f>
        <v>0</v>
      </c>
      <c r="K21" s="453">
        <f>0%*'User Profile'!$B$21</f>
        <v>0</v>
      </c>
      <c r="L21" s="454">
        <f>SUM(H21:K21)</f>
        <v>0</v>
      </c>
      <c r="M21" s="459">
        <f>0%*'User Profile'!$B$18</f>
        <v>0</v>
      </c>
      <c r="N21" s="453">
        <f>0%*'User Profile'!$B$19</f>
        <v>0</v>
      </c>
      <c r="O21" s="453">
        <f>0%*'User Profile'!$B$20</f>
        <v>0</v>
      </c>
      <c r="P21" s="453">
        <f>0%*'User Profile'!$B$21</f>
        <v>0</v>
      </c>
      <c r="Q21" s="454">
        <f>SUM(M21:P21)</f>
        <v>0</v>
      </c>
      <c r="R21" s="459">
        <f>20%*'User Profile'!$B$18</f>
        <v>3.5840000000000004E-2</v>
      </c>
      <c r="S21" s="453">
        <f>50%*'User Profile'!$B$19</f>
        <v>0.1084</v>
      </c>
      <c r="T21" s="453">
        <f>50%*'User Profile'!$B$20</f>
        <v>0.1855</v>
      </c>
      <c r="U21" s="453">
        <f>80%*'User Profile'!$B$21</f>
        <v>0.18640000000000001</v>
      </c>
      <c r="V21" s="454">
        <f t="shared" ref="V21" si="1">SUM(R21:U21)</f>
        <v>0.51614000000000004</v>
      </c>
      <c r="X21" t="s">
        <v>376</v>
      </c>
      <c r="AB21" s="14"/>
      <c r="AC21" s="14"/>
    </row>
    <row r="22" spans="2:30" x14ac:dyDescent="0.35">
      <c r="B22" s="457" t="s">
        <v>354</v>
      </c>
      <c r="C22" s="460"/>
      <c r="D22" s="445"/>
      <c r="E22" s="445"/>
      <c r="F22" s="445"/>
      <c r="G22" s="461"/>
      <c r="H22" s="462">
        <f>0%*'User Profile'!$B$18</f>
        <v>0</v>
      </c>
      <c r="I22" s="439">
        <f>0%*'User Profile'!$B$19</f>
        <v>0</v>
      </c>
      <c r="J22" s="439">
        <f>0%*'User Profile'!$B$20</f>
        <v>0</v>
      </c>
      <c r="K22" s="439">
        <f>0%*'User Profile'!$B$21</f>
        <v>0</v>
      </c>
      <c r="L22" s="446">
        <f>SUM(H22:K22)</f>
        <v>0</v>
      </c>
      <c r="M22" s="462">
        <f>0%*'User Profile'!$B$18</f>
        <v>0</v>
      </c>
      <c r="N22" s="439">
        <f>0%*'User Profile'!$B$19</f>
        <v>0</v>
      </c>
      <c r="O22" s="439">
        <f>0%*'User Profile'!$B$20</f>
        <v>0</v>
      </c>
      <c r="P22" s="439">
        <f>0%*'User Profile'!$B$21</f>
        <v>0</v>
      </c>
      <c r="Q22" s="446">
        <f>SUM(M22:P22)</f>
        <v>0</v>
      </c>
      <c r="R22" s="462">
        <f>100%*'User Profile'!$B$18</f>
        <v>0.1792</v>
      </c>
      <c r="S22" s="439">
        <f>100%*'User Profile'!$B$19</f>
        <v>0.21679999999999999</v>
      </c>
      <c r="T22" s="439">
        <f>100%*'User Profile'!$B$20</f>
        <v>0.371</v>
      </c>
      <c r="U22" s="439">
        <f>100%*'User Profile'!$B$21</f>
        <v>0.23300000000000001</v>
      </c>
      <c r="V22" s="447">
        <f>SUM(R22:U22)</f>
        <v>1</v>
      </c>
      <c r="X22" t="s">
        <v>377</v>
      </c>
    </row>
    <row r="23" spans="2:30" x14ac:dyDescent="0.35">
      <c r="B23" s="457" t="s">
        <v>356</v>
      </c>
      <c r="C23" s="462">
        <f>80%*'User Profile'!$B$18</f>
        <v>0.14336000000000002</v>
      </c>
      <c r="D23" s="439">
        <f>50%*'User Profile'!$B$19</f>
        <v>0.1084</v>
      </c>
      <c r="E23" s="439">
        <f>50%*'User Profile'!$B$20</f>
        <v>0.1855</v>
      </c>
      <c r="F23" s="439">
        <f>20%*'User Profile'!$B$21</f>
        <v>4.6600000000000003E-2</v>
      </c>
      <c r="G23" s="446">
        <f>SUM(C23:F23)</f>
        <v>0.48385999999999996</v>
      </c>
      <c r="H23" s="460"/>
      <c r="I23" s="445"/>
      <c r="J23" s="445"/>
      <c r="K23" s="445"/>
      <c r="L23" s="461"/>
      <c r="M23" s="462">
        <f>0%*'User Profile'!$B$18</f>
        <v>0</v>
      </c>
      <c r="N23" s="439">
        <f>0%*'User Profile'!$B$19</f>
        <v>0</v>
      </c>
      <c r="O23" s="439">
        <f>0%*'User Profile'!$B$20</f>
        <v>0</v>
      </c>
      <c r="P23" s="439">
        <f>0%*'User Profile'!$B$21</f>
        <v>0</v>
      </c>
      <c r="Q23" s="446">
        <f>SUM(M23:P23)</f>
        <v>0</v>
      </c>
      <c r="R23" s="462">
        <f>20%*'User Profile'!$B$18</f>
        <v>3.5840000000000004E-2</v>
      </c>
      <c r="S23" s="439">
        <f>50%*'User Profile'!$B$19</f>
        <v>0.1084</v>
      </c>
      <c r="T23" s="439">
        <f>50%*'User Profile'!$B$20</f>
        <v>0.1855</v>
      </c>
      <c r="U23" s="439">
        <f>80%*'User Profile'!$B$21</f>
        <v>0.18640000000000001</v>
      </c>
      <c r="V23" s="446">
        <f t="shared" ref="V23:V24" si="2">SUM(R23:U23)</f>
        <v>0.51614000000000004</v>
      </c>
      <c r="X23" t="s">
        <v>378</v>
      </c>
    </row>
    <row r="24" spans="2:30" x14ac:dyDescent="0.35">
      <c r="B24" s="457" t="s">
        <v>355</v>
      </c>
      <c r="C24" s="462">
        <f>80%*'User Profile'!$B$18</f>
        <v>0.14336000000000002</v>
      </c>
      <c r="D24" s="439">
        <f>50%*'User Profile'!$B$19</f>
        <v>0.1084</v>
      </c>
      <c r="E24" s="439">
        <f>50%*'User Profile'!$B$20</f>
        <v>0.1855</v>
      </c>
      <c r="F24" s="439">
        <f>20%*'User Profile'!$B$21</f>
        <v>4.6600000000000003E-2</v>
      </c>
      <c r="G24" s="446">
        <f>SUM(C24:F24)</f>
        <v>0.48385999999999996</v>
      </c>
      <c r="H24" s="462">
        <f>0%*'User Profile'!$B$18</f>
        <v>0</v>
      </c>
      <c r="I24" s="439">
        <f>0%*'User Profile'!$B$19</f>
        <v>0</v>
      </c>
      <c r="J24" s="439">
        <f>0%*'User Profile'!$B$20</f>
        <v>0</v>
      </c>
      <c r="K24" s="439">
        <f>0%*'User Profile'!$B$21</f>
        <v>0</v>
      </c>
      <c r="L24" s="446">
        <f>SUM(H24:K24)</f>
        <v>0</v>
      </c>
      <c r="M24" s="460"/>
      <c r="N24" s="445"/>
      <c r="O24" s="445"/>
      <c r="P24" s="445"/>
      <c r="Q24" s="461"/>
      <c r="R24" s="462">
        <f>20%*'User Profile'!$B$18</f>
        <v>3.5840000000000004E-2</v>
      </c>
      <c r="S24" s="439">
        <f>50%*'User Profile'!$B$19</f>
        <v>0.1084</v>
      </c>
      <c r="T24" s="439">
        <f>50%*'User Profile'!$B$20</f>
        <v>0.1855</v>
      </c>
      <c r="U24" s="439">
        <f>80%*'User Profile'!$B$21</f>
        <v>0.18640000000000001</v>
      </c>
      <c r="V24" s="446">
        <f t="shared" si="2"/>
        <v>0.51614000000000004</v>
      </c>
      <c r="X24" t="s">
        <v>427</v>
      </c>
    </row>
    <row r="25" spans="2:30" ht="16" thickBot="1" x14ac:dyDescent="0.4">
      <c r="B25" s="458" t="s">
        <v>357</v>
      </c>
      <c r="C25" s="463">
        <f>100%*'User Profile'!$B$18</f>
        <v>0.1792</v>
      </c>
      <c r="D25" s="442">
        <f>100%*'User Profile'!$B$19</f>
        <v>0.21679999999999999</v>
      </c>
      <c r="E25" s="442">
        <f>100%*'User Profile'!$B$20</f>
        <v>0.371</v>
      </c>
      <c r="F25" s="442">
        <f>100%*'User Profile'!$B$21</f>
        <v>0.23300000000000001</v>
      </c>
      <c r="G25" s="470">
        <f>SUM(C25:F25)</f>
        <v>1</v>
      </c>
      <c r="H25" s="463">
        <f>0%*'User Profile'!$B$18</f>
        <v>0</v>
      </c>
      <c r="I25" s="442">
        <f>0%*'User Profile'!$B$19</f>
        <v>0</v>
      </c>
      <c r="J25" s="442">
        <f>0%*'User Profile'!$B$20</f>
        <v>0</v>
      </c>
      <c r="K25" s="442">
        <f>0%*'User Profile'!$B$21</f>
        <v>0</v>
      </c>
      <c r="L25" s="464">
        <f>SUM(H25:K25)</f>
        <v>0</v>
      </c>
      <c r="M25" s="463">
        <f>0%*'User Profile'!$B$18</f>
        <v>0</v>
      </c>
      <c r="N25" s="442">
        <f>0%*'User Profile'!$B$19</f>
        <v>0</v>
      </c>
      <c r="O25" s="442">
        <f>0%*'User Profile'!$B$20</f>
        <v>0</v>
      </c>
      <c r="P25" s="442">
        <f>0%*'User Profile'!$B$21</f>
        <v>0</v>
      </c>
      <c r="Q25" s="464">
        <f>SUM(M25:P25)</f>
        <v>0</v>
      </c>
      <c r="R25" s="471"/>
      <c r="S25" s="448"/>
      <c r="T25" s="448"/>
      <c r="U25" s="448"/>
      <c r="V25" s="449"/>
    </row>
    <row r="28" spans="2:30" x14ac:dyDescent="0.35">
      <c r="X28" s="545"/>
      <c r="Y28" s="545"/>
      <c r="Z28" s="545"/>
    </row>
    <row r="29" spans="2:30" x14ac:dyDescent="0.35">
      <c r="X29" s="545"/>
      <c r="Y29" s="544"/>
      <c r="Z29" s="544"/>
    </row>
    <row r="30" spans="2:30" x14ac:dyDescent="0.35">
      <c r="X30" s="8"/>
      <c r="Y30" s="7"/>
      <c r="Z30" s="7"/>
    </row>
    <row r="31" spans="2:30" x14ac:dyDescent="0.35">
      <c r="X31" s="8"/>
      <c r="Y31" s="7"/>
      <c r="Z31" s="7"/>
    </row>
    <row r="32" spans="2:30" x14ac:dyDescent="0.35">
      <c r="X32" s="8"/>
      <c r="Y32" s="7"/>
      <c r="Z32" s="7"/>
    </row>
    <row r="33" spans="24:26" x14ac:dyDescent="0.35">
      <c r="X33" s="8"/>
      <c r="Y33" s="7"/>
      <c r="Z33" s="7"/>
    </row>
  </sheetData>
  <mergeCells count="8">
    <mergeCell ref="C7:G7"/>
    <mergeCell ref="H7:L7"/>
    <mergeCell ref="M7:Q7"/>
    <mergeCell ref="R7:V7"/>
    <mergeCell ref="C19:G19"/>
    <mergeCell ref="H19:L19"/>
    <mergeCell ref="M19:Q19"/>
    <mergeCell ref="R19:V19"/>
  </mergeCells>
  <pageMargins left="0.7" right="0.7" top="0.75" bottom="0.75" header="0.3" footer="0.3"/>
  <ignoredErrors>
    <ignoredError sqref="R22:T22 M10 S11 E12 V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D3A5-C0B5-874E-AF58-C37FB1326EFF}">
  <dimension ref="A1:R28"/>
  <sheetViews>
    <sheetView zoomScale="150" zoomScaleNormal="100" workbookViewId="0">
      <selection activeCell="K3" sqref="K3:R16"/>
    </sheetView>
  </sheetViews>
  <sheetFormatPr defaultColWidth="10.6640625" defaultRowHeight="15.5" x14ac:dyDescent="0.35"/>
  <cols>
    <col min="2" max="2" width="14.83203125" customWidth="1"/>
    <col min="3" max="3" width="11.6640625" customWidth="1"/>
    <col min="4" max="4" width="11.83203125" customWidth="1"/>
    <col min="5" max="7" width="11.6640625" customWidth="1"/>
    <col min="8" max="8" width="13" customWidth="1"/>
    <col min="9" max="9" width="13.6640625" customWidth="1"/>
    <col min="10" max="10" width="2" customWidth="1"/>
    <col min="11" max="11" width="14.6640625" customWidth="1"/>
    <col min="12" max="16" width="11.6640625" customWidth="1"/>
    <col min="17" max="17" width="13.1640625" customWidth="1"/>
    <col min="18" max="18" width="13.83203125" customWidth="1"/>
  </cols>
  <sheetData>
    <row r="1" spans="1:18" ht="23.5" x14ac:dyDescent="0.55000000000000004">
      <c r="A1" s="35" t="s">
        <v>399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</row>
    <row r="2" spans="1:18" ht="16" thickBot="1" x14ac:dyDescent="0.4"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</row>
    <row r="3" spans="1:18" ht="16" thickBot="1" x14ac:dyDescent="0.4">
      <c r="B3" s="443" t="s">
        <v>409</v>
      </c>
      <c r="C3" s="444"/>
      <c r="D3" s="444"/>
      <c r="E3" s="444"/>
      <c r="F3" s="444"/>
      <c r="G3" s="444"/>
      <c r="H3" s="444"/>
      <c r="I3" s="486"/>
      <c r="J3" s="488"/>
      <c r="K3" s="443" t="s">
        <v>400</v>
      </c>
      <c r="L3" s="444"/>
      <c r="M3" s="444"/>
      <c r="N3" s="444"/>
      <c r="O3" s="444"/>
      <c r="P3" s="444"/>
      <c r="Q3" s="444"/>
      <c r="R3" s="486"/>
    </row>
    <row r="4" spans="1:18" ht="77.5" x14ac:dyDescent="0.35">
      <c r="B4" s="483" t="s">
        <v>401</v>
      </c>
      <c r="C4" s="484" t="s">
        <v>431</v>
      </c>
      <c r="D4" s="484" t="s">
        <v>434</v>
      </c>
      <c r="E4" s="484" t="s">
        <v>440</v>
      </c>
      <c r="F4" s="484" t="s">
        <v>435</v>
      </c>
      <c r="G4" s="484" t="s">
        <v>436</v>
      </c>
      <c r="H4" s="485" t="s">
        <v>485</v>
      </c>
      <c r="I4" s="438" t="s">
        <v>484</v>
      </c>
      <c r="J4" s="488"/>
      <c r="K4" s="440" t="s">
        <v>401</v>
      </c>
      <c r="L4" s="441" t="s">
        <v>431</v>
      </c>
      <c r="M4" s="441" t="s">
        <v>434</v>
      </c>
      <c r="N4" s="484" t="s">
        <v>440</v>
      </c>
      <c r="O4" s="484" t="s">
        <v>435</v>
      </c>
      <c r="P4" s="441" t="s">
        <v>436</v>
      </c>
      <c r="Q4" s="485" t="s">
        <v>485</v>
      </c>
      <c r="R4" s="438" t="s">
        <v>484</v>
      </c>
    </row>
    <row r="5" spans="1:18" x14ac:dyDescent="0.35">
      <c r="B5" s="500" t="s">
        <v>411</v>
      </c>
      <c r="C5" s="489">
        <v>5.08</v>
      </c>
      <c r="D5" s="490">
        <v>2.266E-2</v>
      </c>
      <c r="E5" s="491">
        <f>87900+67130</f>
        <v>155030</v>
      </c>
      <c r="F5" s="492">
        <f>9710+8230</f>
        <v>17940</v>
      </c>
      <c r="G5" s="493">
        <v>1.3899999999999999E-2</v>
      </c>
      <c r="H5" s="494" t="s">
        <v>445</v>
      </c>
      <c r="I5" s="515">
        <f>(C5*12*'MW DC'!$E$140)+(D5*SUM('MW DC'!$C$27:$E$27))+E5+(G5*'MW DC'!$E$161)</f>
        <v>173890.80029660001</v>
      </c>
      <c r="J5" s="488"/>
      <c r="K5" s="500" t="s">
        <v>422</v>
      </c>
      <c r="L5" s="489">
        <v>9.44</v>
      </c>
      <c r="M5" s="490">
        <v>2.342E-2</v>
      </c>
      <c r="N5" s="491">
        <f>101510+86100</f>
        <v>187610</v>
      </c>
      <c r="O5" s="497">
        <f>28220+13860</f>
        <v>42080</v>
      </c>
      <c r="P5" s="498">
        <v>0.106</v>
      </c>
      <c r="Q5" s="508" t="s">
        <v>454</v>
      </c>
      <c r="R5" s="510">
        <f>(L5*12*'NE DC'!$E$140)+(M5*SUM('NE DC'!$C$27:$E$27))+N5+(P5*'NE DC'!$E$161)</f>
        <v>1709817.3919744</v>
      </c>
    </row>
    <row r="6" spans="1:18" x14ac:dyDescent="0.35">
      <c r="B6" s="526" t="s">
        <v>414</v>
      </c>
      <c r="C6" s="527">
        <v>4.6399999999999997</v>
      </c>
      <c r="D6" s="528">
        <v>1.5129999999999999E-2</v>
      </c>
      <c r="E6" s="529">
        <f>82840+75950</f>
        <v>158790</v>
      </c>
      <c r="F6" s="530">
        <f>1400+960</f>
        <v>2360</v>
      </c>
      <c r="G6" s="531">
        <v>7.8600000000000003E-2</v>
      </c>
      <c r="H6" s="540" t="s">
        <v>446</v>
      </c>
      <c r="I6" s="514">
        <f>(C6*12*'MW DC'!$E$140)+(D6*SUM('MW DC'!$C$27:$E$27))+E6+(G6*'MW DC'!$E$161)</f>
        <v>178113.34734879999</v>
      </c>
      <c r="J6" s="488"/>
      <c r="K6" s="500" t="s">
        <v>423</v>
      </c>
      <c r="L6" s="489">
        <v>8.56</v>
      </c>
      <c r="M6" s="490">
        <v>1.5820000000000001E-2</v>
      </c>
      <c r="N6" s="491">
        <f>101510+86100</f>
        <v>187610</v>
      </c>
      <c r="O6" s="497">
        <f>28220+13860</f>
        <v>42080</v>
      </c>
      <c r="P6" s="498">
        <v>4.7399999999999998E-2</v>
      </c>
      <c r="Q6" s="508" t="s">
        <v>457</v>
      </c>
      <c r="R6" s="510">
        <f>(L6*12*'NE DC'!$E$140)+(M6*SUM('NE DC'!$C$27:$E$27))+N6+(P6*'NE DC'!$E$161)</f>
        <v>1317206.9033424</v>
      </c>
    </row>
    <row r="7" spans="1:18" x14ac:dyDescent="0.35">
      <c r="B7" s="500" t="s">
        <v>415</v>
      </c>
      <c r="C7" s="499">
        <v>3.8</v>
      </c>
      <c r="D7" s="490">
        <v>1.9970000000000002E-2</v>
      </c>
      <c r="E7" s="491">
        <f>83480+66510</f>
        <v>149990</v>
      </c>
      <c r="F7" s="497">
        <f>3030+640</f>
        <v>3670</v>
      </c>
      <c r="G7" s="498">
        <v>7.3599999999999999E-2</v>
      </c>
      <c r="H7" s="494" t="s">
        <v>453</v>
      </c>
      <c r="I7" s="510">
        <f>(C7*12*'MW DC'!$E$140)+(D7*SUM('MW DC'!$C$27:$E$27))+E7+(G7*'MW DC'!$E$161)</f>
        <v>167095.20657719998</v>
      </c>
      <c r="J7" s="488"/>
      <c r="K7" s="500" t="s">
        <v>424</v>
      </c>
      <c r="L7" s="489">
        <v>8.17</v>
      </c>
      <c r="M7" s="490">
        <v>1.1039999999999999E-2</v>
      </c>
      <c r="N7" s="491">
        <f>93800+83690</f>
        <v>177490</v>
      </c>
      <c r="O7" s="497">
        <f>8000+3290</f>
        <v>11290</v>
      </c>
      <c r="P7" s="498">
        <v>0.12570000000000001</v>
      </c>
      <c r="Q7" s="508" t="s">
        <v>455</v>
      </c>
      <c r="R7" s="510">
        <f>(L7*12*'NE DC'!$E$140)+(M7*SUM('NE DC'!$C$27:$E$27))+N7+(P7*'NE DC'!$E$161)</f>
        <v>1568598.8703927998</v>
      </c>
    </row>
    <row r="8" spans="1:18" ht="16" thickBot="1" x14ac:dyDescent="0.4">
      <c r="B8" s="501" t="s">
        <v>418</v>
      </c>
      <c r="C8" s="502">
        <v>4.88</v>
      </c>
      <c r="D8" s="503">
        <v>1.7999999999999999E-2</v>
      </c>
      <c r="E8" s="504">
        <f>88230+63230</f>
        <v>151460</v>
      </c>
      <c r="F8" s="505">
        <f>6170+3110</f>
        <v>9280</v>
      </c>
      <c r="G8" s="506">
        <v>6.83E-2</v>
      </c>
      <c r="H8" s="507" t="s">
        <v>452</v>
      </c>
      <c r="I8" s="513">
        <f>(C8*12*'MW DC'!$E$140)+(D8*SUM('MW DC'!$C$27:$E$27))+E8+(G8*'MW DC'!$E$161)</f>
        <v>171429.05155500001</v>
      </c>
      <c r="J8" s="488"/>
      <c r="K8" s="533" t="s">
        <v>425</v>
      </c>
      <c r="L8" s="534">
        <v>11.36</v>
      </c>
      <c r="M8" s="535">
        <v>4.9500000000000004E-3</v>
      </c>
      <c r="N8" s="536">
        <f>101980+79330</f>
        <v>181310</v>
      </c>
      <c r="O8" s="537">
        <f>20230+7200</f>
        <v>27430</v>
      </c>
      <c r="P8" s="538">
        <v>6.2399999999999997E-2</v>
      </c>
      <c r="Q8" s="539" t="s">
        <v>461</v>
      </c>
      <c r="R8" s="512">
        <f>(L8*12*'NE DC'!$E$140)+(M8*SUM('NE DC'!$C$27:$E$27))+N8+(P8*'NE DC'!$E$161)</f>
        <v>1553542.8005840001</v>
      </c>
    </row>
    <row r="9" spans="1:18" ht="16" thickBot="1" x14ac:dyDescent="0.4"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</row>
    <row r="10" spans="1:18" ht="16" hidden="1" thickBot="1" x14ac:dyDescent="0.4">
      <c r="B10" s="488"/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8"/>
      <c r="R10" s="488"/>
    </row>
    <row r="11" spans="1:18" ht="16" thickBot="1" x14ac:dyDescent="0.4">
      <c r="B11" s="443" t="s">
        <v>402</v>
      </c>
      <c r="C11" s="444"/>
      <c r="D11" s="444"/>
      <c r="E11" s="444"/>
      <c r="F11" s="444"/>
      <c r="G11" s="444"/>
      <c r="H11" s="444"/>
      <c r="I11" s="486"/>
      <c r="J11" s="488"/>
      <c r="K11" s="443" t="s">
        <v>410</v>
      </c>
      <c r="L11" s="444"/>
      <c r="M11" s="444"/>
      <c r="N11" s="444"/>
      <c r="O11" s="444"/>
      <c r="P11" s="444"/>
      <c r="Q11" s="444"/>
      <c r="R11" s="486"/>
    </row>
    <row r="12" spans="1:18" ht="77.5" x14ac:dyDescent="0.35">
      <c r="B12" s="440" t="s">
        <v>401</v>
      </c>
      <c r="C12" s="441" t="s">
        <v>431</v>
      </c>
      <c r="D12" s="441" t="s">
        <v>434</v>
      </c>
      <c r="E12" s="484" t="s">
        <v>440</v>
      </c>
      <c r="F12" s="484" t="s">
        <v>435</v>
      </c>
      <c r="G12" s="441" t="s">
        <v>436</v>
      </c>
      <c r="H12" s="485" t="s">
        <v>485</v>
      </c>
      <c r="I12" s="438" t="s">
        <v>484</v>
      </c>
      <c r="J12" s="488"/>
      <c r="K12" s="440" t="s">
        <v>401</v>
      </c>
      <c r="L12" s="441" t="s">
        <v>431</v>
      </c>
      <c r="M12" s="441" t="s">
        <v>441</v>
      </c>
      <c r="N12" s="484" t="s">
        <v>440</v>
      </c>
      <c r="O12" s="484" t="s">
        <v>435</v>
      </c>
      <c r="P12" s="441" t="s">
        <v>436</v>
      </c>
      <c r="Q12" s="485" t="s">
        <v>485</v>
      </c>
      <c r="R12" s="438" t="s">
        <v>484</v>
      </c>
    </row>
    <row r="13" spans="1:18" x14ac:dyDescent="0.35">
      <c r="B13" s="500" t="s">
        <v>416</v>
      </c>
      <c r="C13" s="489">
        <v>9.36</v>
      </c>
      <c r="D13" s="490">
        <v>9.5399999999999999E-3</v>
      </c>
      <c r="E13" s="491">
        <f>92690+72190</f>
        <v>164880</v>
      </c>
      <c r="F13" s="497">
        <f>13220+5990</f>
        <v>19210</v>
      </c>
      <c r="G13" s="498">
        <v>0.1173</v>
      </c>
      <c r="H13" s="508" t="s">
        <v>460</v>
      </c>
      <c r="I13" s="510">
        <f>(C13*12*'W DC'!$E$140)+(D13*SUM('W DC'!$C$27:$E$27))+E13+(G13*'W DC'!$E$161)</f>
        <v>1620089.3347127999</v>
      </c>
      <c r="J13" s="488"/>
      <c r="K13" s="500" t="s">
        <v>419</v>
      </c>
      <c r="L13" s="499">
        <v>4.47</v>
      </c>
      <c r="M13" s="495">
        <v>1.4710000000000001E-2</v>
      </c>
      <c r="N13" s="491">
        <f>90010+71780</f>
        <v>161790</v>
      </c>
      <c r="O13" s="497">
        <f>8110+5540</f>
        <v>13650</v>
      </c>
      <c r="P13" s="498">
        <v>5.7200000000000001E-2</v>
      </c>
      <c r="Q13" s="508" t="s">
        <v>456</v>
      </c>
      <c r="R13" s="510">
        <f>(L13*12*'S DC'!$E$140)+(M13*SUM('S DC'!$C$27:$E$27))+N13+(P13*'S DC'!$E$161)</f>
        <v>179647.52687959999</v>
      </c>
    </row>
    <row r="14" spans="1:18" x14ac:dyDescent="0.35">
      <c r="B14" s="500" t="s">
        <v>417</v>
      </c>
      <c r="C14" s="489">
        <v>13.2</v>
      </c>
      <c r="D14" s="490">
        <v>9.5399999999999999E-3</v>
      </c>
      <c r="E14" s="491">
        <f>115670+84370</f>
        <v>200040</v>
      </c>
      <c r="F14" s="497">
        <f>5830+2180</f>
        <v>8010</v>
      </c>
      <c r="G14" s="498">
        <v>5.1700000000000003E-2</v>
      </c>
      <c r="H14" s="508" t="s">
        <v>459</v>
      </c>
      <c r="I14" s="510">
        <f>(C14*12*'W DC'!$E$140)+(D14*SUM('W DC'!$C$27:$E$27))+E14+(G14*'W DC'!$E$161)</f>
        <v>1734882.4819127999</v>
      </c>
      <c r="J14" s="488"/>
      <c r="K14" s="500" t="s">
        <v>420</v>
      </c>
      <c r="L14" s="489">
        <v>5.09</v>
      </c>
      <c r="M14" s="490">
        <v>2.5829999999999999E-2</v>
      </c>
      <c r="N14" s="496">
        <f>85720+64740</f>
        <v>150460</v>
      </c>
      <c r="O14" s="497">
        <f>2000+3610</f>
        <v>5610</v>
      </c>
      <c r="P14" s="498">
        <v>6.6100000000000006E-2</v>
      </c>
      <c r="Q14" s="508" t="s">
        <v>456</v>
      </c>
      <c r="R14" s="510">
        <f>(L14*12*'S DC'!$E$140)+(M14*SUM('S DC'!$C$27:$E$27))+N14+(P14*'S DC'!$E$161)</f>
        <v>171906.36635579998</v>
      </c>
    </row>
    <row r="15" spans="1:18" x14ac:dyDescent="0.35">
      <c r="B15" s="500" t="s">
        <v>412</v>
      </c>
      <c r="C15" s="489">
        <v>7.61</v>
      </c>
      <c r="D15" s="490">
        <v>6.9199999999999999E-3</v>
      </c>
      <c r="E15" s="491">
        <f>99300+83290</f>
        <v>182590</v>
      </c>
      <c r="F15" s="497">
        <f>6560+3330</f>
        <v>9890</v>
      </c>
      <c r="G15" s="498">
        <v>5.9499999999999997E-2</v>
      </c>
      <c r="H15" s="508" t="s">
        <v>445</v>
      </c>
      <c r="I15" s="510">
        <f>(C15*12*'W DC'!$E$140)+(D15*SUM('W DC'!$C$27:$E$27))+E15+(G15*'W DC'!$E$161)</f>
        <v>1205635.6411944001</v>
      </c>
      <c r="J15" s="488"/>
      <c r="K15" s="526" t="s">
        <v>426</v>
      </c>
      <c r="L15" s="527">
        <v>5.0599999999999996</v>
      </c>
      <c r="M15" s="528">
        <v>2.5260000000000001E-2</v>
      </c>
      <c r="N15" s="529">
        <f>91690+79370</f>
        <v>171060</v>
      </c>
      <c r="O15" s="530">
        <f>13000+5520</f>
        <v>18520</v>
      </c>
      <c r="P15" s="531">
        <v>5.57E-2</v>
      </c>
      <c r="Q15" s="532" t="s">
        <v>458</v>
      </c>
      <c r="R15" s="514">
        <f>(L15*12*'S DC'!$E$140)+(M15*SUM('S DC'!$C$27:$E$27))+N15+(P15*'S DC'!$E$161)</f>
        <v>191912.4615226</v>
      </c>
    </row>
    <row r="16" spans="1:18" ht="16" thickBot="1" x14ac:dyDescent="0.4">
      <c r="B16" s="533" t="s">
        <v>413</v>
      </c>
      <c r="C16" s="534">
        <v>6.7</v>
      </c>
      <c r="D16" s="535">
        <v>0.02</v>
      </c>
      <c r="E16" s="536">
        <f>88190+61110</f>
        <v>149300</v>
      </c>
      <c r="F16" s="537">
        <f>5900+4840</f>
        <v>10740</v>
      </c>
      <c r="G16" s="538">
        <v>7.8700000000000006E-2</v>
      </c>
      <c r="H16" s="539" t="s">
        <v>480</v>
      </c>
      <c r="I16" s="512">
        <f>(C16*12*'W DC'!$E$140)+(D16*SUM('W DC'!$C$27:$E$27))+E16+(G16*'W DC'!$E$161)</f>
        <v>1270776.9745</v>
      </c>
      <c r="J16" s="488"/>
      <c r="K16" s="501" t="s">
        <v>421</v>
      </c>
      <c r="L16" s="502">
        <v>6.44</v>
      </c>
      <c r="M16" s="503">
        <v>2.5260000000000001E-2</v>
      </c>
      <c r="N16" s="504">
        <f>100531+83860</f>
        <v>184391</v>
      </c>
      <c r="O16" s="505">
        <f>8140+2930</f>
        <v>11070</v>
      </c>
      <c r="P16" s="506">
        <v>5.57E-2</v>
      </c>
      <c r="Q16" s="509" t="s">
        <v>459</v>
      </c>
      <c r="R16" s="511">
        <f>(L16*12*'S DC'!$E$140)+(M16*SUM('S DC'!$C$27:$E$27))+N16+(P16*'S DC'!$E$161)</f>
        <v>209482.82152259999</v>
      </c>
    </row>
    <row r="17" spans="2:18" x14ac:dyDescent="0.35">
      <c r="B17" s="488"/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</row>
    <row r="18" spans="2:18" x14ac:dyDescent="0.35">
      <c r="B18" t="s">
        <v>403</v>
      </c>
    </row>
    <row r="19" spans="2:18" x14ac:dyDescent="0.35">
      <c r="B19" t="s">
        <v>404</v>
      </c>
      <c r="C19" t="s">
        <v>437</v>
      </c>
    </row>
    <row r="20" spans="2:18" x14ac:dyDescent="0.35">
      <c r="B20" t="s">
        <v>405</v>
      </c>
      <c r="C20" t="s">
        <v>439</v>
      </c>
    </row>
    <row r="21" spans="2:18" x14ac:dyDescent="0.35">
      <c r="B21" t="s">
        <v>406</v>
      </c>
      <c r="C21" t="s">
        <v>408</v>
      </c>
    </row>
    <row r="22" spans="2:18" x14ac:dyDescent="0.35">
      <c r="B22" t="s">
        <v>407</v>
      </c>
      <c r="C22" s="487" t="s">
        <v>438</v>
      </c>
    </row>
    <row r="23" spans="2:18" x14ac:dyDescent="0.35">
      <c r="B23" t="s">
        <v>482</v>
      </c>
      <c r="C23" t="s">
        <v>481</v>
      </c>
    </row>
    <row r="24" spans="2:18" x14ac:dyDescent="0.35">
      <c r="C24" t="s">
        <v>447</v>
      </c>
    </row>
    <row r="25" spans="2:18" x14ac:dyDescent="0.35">
      <c r="C25" t="s">
        <v>448</v>
      </c>
    </row>
    <row r="26" spans="2:18" x14ac:dyDescent="0.35">
      <c r="C26" t="s">
        <v>449</v>
      </c>
    </row>
    <row r="27" spans="2:18" x14ac:dyDescent="0.35">
      <c r="C27" s="91" t="s">
        <v>451</v>
      </c>
    </row>
    <row r="28" spans="2:18" x14ac:dyDescent="0.35">
      <c r="B28" s="91" t="s">
        <v>483</v>
      </c>
      <c r="C28" t="s">
        <v>450</v>
      </c>
    </row>
  </sheetData>
  <hyperlinks>
    <hyperlink ref="C22" r:id="rId1" display="https://www.electricitylocal.com/states/   (industrial rates by city" xr:uid="{B8141016-AAF9-B149-9B5D-755A5AC773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0F6D-AFB5-5742-B4A4-01076D608002}">
  <dimension ref="A1:V64"/>
  <sheetViews>
    <sheetView topLeftCell="J47" zoomScale="150" zoomScaleNormal="100" workbookViewId="0">
      <selection activeCell="N54" sqref="N54:O57"/>
    </sheetView>
  </sheetViews>
  <sheetFormatPr defaultColWidth="10.6640625" defaultRowHeight="15.5" x14ac:dyDescent="0.35"/>
  <cols>
    <col min="1" max="1" width="33.83203125" customWidth="1"/>
    <col min="2" max="22" width="13" customWidth="1"/>
  </cols>
  <sheetData>
    <row r="1" spans="1:7" ht="23.5" x14ac:dyDescent="0.55000000000000004">
      <c r="A1" s="35" t="s">
        <v>137</v>
      </c>
    </row>
    <row r="3" spans="1:7" x14ac:dyDescent="0.35">
      <c r="A3" s="8" t="s">
        <v>133</v>
      </c>
      <c r="B3" s="12">
        <f>F7+(((F4*24)-(F7*F5))/(24-F7))</f>
        <v>7.5449999999999999</v>
      </c>
    </row>
    <row r="4" spans="1:7" x14ac:dyDescent="0.35">
      <c r="A4" t="s">
        <v>142</v>
      </c>
      <c r="C4" t="s">
        <v>132</v>
      </c>
      <c r="F4" s="21">
        <v>4.166666666666667</v>
      </c>
    </row>
    <row r="5" spans="1:7" x14ac:dyDescent="0.35">
      <c r="C5" t="s">
        <v>131</v>
      </c>
      <c r="F5" s="21">
        <f>AVERAGE(7.25,6.5,6.75,8,7,8.25,7.25,7,7.5,7.25)</f>
        <v>7.2750000000000004</v>
      </c>
    </row>
    <row r="6" spans="1:7" x14ac:dyDescent="0.35">
      <c r="C6" t="s">
        <v>129</v>
      </c>
      <c r="F6" s="21">
        <f>F5/F4</f>
        <v>1.746</v>
      </c>
    </row>
    <row r="7" spans="1:7" x14ac:dyDescent="0.35">
      <c r="C7" t="s">
        <v>130</v>
      </c>
      <c r="F7" s="1">
        <v>4</v>
      </c>
    </row>
    <row r="10" spans="1:7" x14ac:dyDescent="0.35">
      <c r="A10" s="8" t="s">
        <v>141</v>
      </c>
      <c r="C10" s="8" t="s">
        <v>62</v>
      </c>
      <c r="D10" s="8" t="s">
        <v>56</v>
      </c>
      <c r="E10" s="8" t="s">
        <v>135</v>
      </c>
      <c r="F10" s="8" t="s">
        <v>136</v>
      </c>
    </row>
    <row r="11" spans="1:7" x14ac:dyDescent="0.35">
      <c r="C11">
        <f>stream_req</f>
        <v>24</v>
      </c>
      <c r="D11">
        <f>down_req</f>
        <v>4</v>
      </c>
      <c r="E11">
        <f>perm_req</f>
        <v>16</v>
      </c>
      <c r="F11">
        <f>SUM(C11:E11)</f>
        <v>44</v>
      </c>
    </row>
    <row r="13" spans="1:7" ht="16" thickBot="1" x14ac:dyDescent="0.4"/>
    <row r="14" spans="1:7" ht="22" customHeight="1" thickBot="1" x14ac:dyDescent="0.4">
      <c r="A14" s="8" t="s">
        <v>140</v>
      </c>
      <c r="B14" s="372" t="s">
        <v>313</v>
      </c>
      <c r="C14" s="373" t="s">
        <v>61</v>
      </c>
      <c r="D14" s="262" t="s">
        <v>62</v>
      </c>
      <c r="E14" s="262" t="s">
        <v>56</v>
      </c>
      <c r="F14" s="374" t="s">
        <v>334</v>
      </c>
      <c r="G14" s="372" t="s">
        <v>136</v>
      </c>
    </row>
    <row r="15" spans="1:7" x14ac:dyDescent="0.35">
      <c r="B15" s="368" t="s">
        <v>45</v>
      </c>
      <c r="C15" s="369">
        <f>'User Profile'!F7</f>
        <v>4000500</v>
      </c>
      <c r="D15" s="366">
        <f t="shared" ref="D15:F17" si="0">C$11*peak_hrs*$C15/(24*3600)</f>
        <v>8384.3812499999985</v>
      </c>
      <c r="E15" s="366">
        <f t="shared" si="0"/>
        <v>1397.3968749999999</v>
      </c>
      <c r="F15" s="370">
        <f t="shared" si="0"/>
        <v>5589.5874999999996</v>
      </c>
      <c r="G15" s="371">
        <f t="shared" ref="G15:G17" si="1">SUM(D15:F15)</f>
        <v>15371.365624999999</v>
      </c>
    </row>
    <row r="16" spans="1:7" x14ac:dyDescent="0.35">
      <c r="B16" s="303" t="s">
        <v>46</v>
      </c>
      <c r="C16" s="302">
        <f>'User Profile'!F9</f>
        <v>9480000</v>
      </c>
      <c r="D16" s="300">
        <f t="shared" si="0"/>
        <v>19868.499999999996</v>
      </c>
      <c r="E16" s="300">
        <f t="shared" si="0"/>
        <v>3311.4166666666665</v>
      </c>
      <c r="F16" s="310">
        <f t="shared" si="0"/>
        <v>13245.666666666666</v>
      </c>
      <c r="G16" s="312">
        <f t="shared" si="1"/>
        <v>36425.583333333328</v>
      </c>
    </row>
    <row r="17" spans="2:13" ht="16" thickBot="1" x14ac:dyDescent="0.4">
      <c r="B17" s="304" t="s">
        <v>47</v>
      </c>
      <c r="C17" s="306">
        <f>'User Profile'!F11</f>
        <v>16854000</v>
      </c>
      <c r="D17" s="307">
        <f t="shared" si="0"/>
        <v>35323.174999999996</v>
      </c>
      <c r="E17" s="307">
        <f t="shared" si="0"/>
        <v>5887.1958333333332</v>
      </c>
      <c r="F17" s="311">
        <f t="shared" si="0"/>
        <v>23548.783333333333</v>
      </c>
      <c r="G17" s="313">
        <f t="shared" si="1"/>
        <v>64759.15416666666</v>
      </c>
    </row>
    <row r="21" spans="2:13" ht="31" x14ac:dyDescent="0.35">
      <c r="J21" s="39" t="s">
        <v>313</v>
      </c>
      <c r="K21" s="39" t="s">
        <v>62</v>
      </c>
      <c r="L21" s="39" t="s">
        <v>322</v>
      </c>
      <c r="M21" s="3" t="s">
        <v>334</v>
      </c>
    </row>
    <row r="22" spans="2:13" x14ac:dyDescent="0.35">
      <c r="J22" s="263" t="s">
        <v>45</v>
      </c>
      <c r="K22" s="2">
        <f t="shared" ref="K22:M24" si="2">D15</f>
        <v>8384.3812499999985</v>
      </c>
      <c r="L22" s="2">
        <f t="shared" si="2"/>
        <v>1397.3968749999999</v>
      </c>
      <c r="M22" s="2">
        <f t="shared" si="2"/>
        <v>5589.5874999999996</v>
      </c>
    </row>
    <row r="23" spans="2:13" x14ac:dyDescent="0.35">
      <c r="J23" s="263" t="s">
        <v>46</v>
      </c>
      <c r="K23" s="2">
        <f t="shared" si="2"/>
        <v>19868.499999999996</v>
      </c>
      <c r="L23" s="2">
        <f t="shared" si="2"/>
        <v>3311.4166666666665</v>
      </c>
      <c r="M23" s="2">
        <f t="shared" si="2"/>
        <v>13245.666666666666</v>
      </c>
    </row>
    <row r="24" spans="2:13" x14ac:dyDescent="0.35">
      <c r="J24" s="263" t="s">
        <v>47</v>
      </c>
      <c r="K24" s="2">
        <f t="shared" si="2"/>
        <v>35323.174999999996</v>
      </c>
      <c r="L24" s="2">
        <f t="shared" si="2"/>
        <v>5887.1958333333332</v>
      </c>
      <c r="M24" s="2">
        <f t="shared" si="2"/>
        <v>23548.783333333333</v>
      </c>
    </row>
    <row r="47" spans="1:1" ht="23.5" x14ac:dyDescent="0.55000000000000004">
      <c r="A47" s="35" t="s">
        <v>332</v>
      </c>
    </row>
    <row r="49" spans="1:22" x14ac:dyDescent="0.35">
      <c r="A49" t="s">
        <v>333</v>
      </c>
    </row>
    <row r="50" spans="1:22" ht="16" thickBot="1" x14ac:dyDescent="0.4"/>
    <row r="51" spans="1:22" ht="16" thickBot="1" x14ac:dyDescent="0.4">
      <c r="B51" s="556" t="s">
        <v>336</v>
      </c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8"/>
    </row>
    <row r="52" spans="1:22" x14ac:dyDescent="0.35">
      <c r="B52" s="554" t="s">
        <v>331</v>
      </c>
      <c r="C52" s="338" t="s">
        <v>45</v>
      </c>
      <c r="D52" s="434"/>
      <c r="E52" s="434"/>
      <c r="F52" s="434"/>
      <c r="G52" s="435"/>
      <c r="H52" s="338" t="s">
        <v>46</v>
      </c>
      <c r="I52" s="434"/>
      <c r="J52" s="434"/>
      <c r="K52" s="434"/>
      <c r="L52" s="435"/>
      <c r="M52" s="338" t="s">
        <v>47</v>
      </c>
      <c r="N52" s="434"/>
      <c r="O52" s="434"/>
      <c r="P52" s="434"/>
      <c r="Q52" s="435"/>
    </row>
    <row r="53" spans="1:22" ht="16" thickBot="1" x14ac:dyDescent="0.4">
      <c r="B53" s="555"/>
      <c r="C53" s="348" t="s">
        <v>61</v>
      </c>
      <c r="D53" s="349" t="s">
        <v>62</v>
      </c>
      <c r="E53" s="349" t="s">
        <v>56</v>
      </c>
      <c r="F53" s="349" t="s">
        <v>334</v>
      </c>
      <c r="G53" s="350" t="s">
        <v>136</v>
      </c>
      <c r="H53" s="348" t="s">
        <v>61</v>
      </c>
      <c r="I53" s="349" t="s">
        <v>62</v>
      </c>
      <c r="J53" s="349" t="s">
        <v>56</v>
      </c>
      <c r="K53" s="349" t="s">
        <v>334</v>
      </c>
      <c r="L53" s="350" t="s">
        <v>136</v>
      </c>
      <c r="M53" s="348" t="s">
        <v>61</v>
      </c>
      <c r="N53" s="349" t="s">
        <v>62</v>
      </c>
      <c r="O53" s="349" t="s">
        <v>56</v>
      </c>
      <c r="P53" s="349" t="s">
        <v>334</v>
      </c>
      <c r="Q53" s="350" t="s">
        <v>136</v>
      </c>
    </row>
    <row r="54" spans="1:22" x14ac:dyDescent="0.35">
      <c r="B54" s="364" t="s">
        <v>327</v>
      </c>
      <c r="C54" s="365">
        <f>'User Profile'!D18</f>
        <v>716890</v>
      </c>
      <c r="D54" s="366">
        <f>$C$11*peak_hrs*$C54/(24*3600)</f>
        <v>1502.4819583333333</v>
      </c>
      <c r="E54" s="366">
        <f>$D$11*peak_hrs*$C54/(24*3600)</f>
        <v>250.41365972222221</v>
      </c>
      <c r="F54" s="366">
        <f>$E$11*peak_hrs*$C54/(24*3600)</f>
        <v>1001.6546388888888</v>
      </c>
      <c r="G54" s="367">
        <f>SUM(D54:F54)</f>
        <v>2754.5502569444443</v>
      </c>
      <c r="H54" s="365">
        <f>'User Profile'!F18</f>
        <v>1698816</v>
      </c>
      <c r="I54" s="366">
        <f>$C$11*peak_hrs*$H54/(24*3600)</f>
        <v>3560.4351999999999</v>
      </c>
      <c r="J54" s="366">
        <f>$D$11*peak_hrs*$H54/(24*3600)</f>
        <v>593.40586666666672</v>
      </c>
      <c r="K54" s="366">
        <f>$E$11*peak_hrs*$H54/(24*3600)</f>
        <v>2373.6234666666669</v>
      </c>
      <c r="L54" s="367">
        <f>SUM(I54:K54)</f>
        <v>6527.4645333333337</v>
      </c>
      <c r="M54" s="365">
        <f>'User Profile'!H18</f>
        <v>3020237</v>
      </c>
      <c r="N54" s="366">
        <f>$C$11*peak_hrs*$M54/(24*3600)</f>
        <v>6329.9133791666654</v>
      </c>
      <c r="O54" s="366">
        <f>$D$11*peak_hrs*$M54/(24*3600)</f>
        <v>1054.9855631944445</v>
      </c>
      <c r="P54" s="366">
        <f>$E$11*peak_hrs*$M54/(24*3600)</f>
        <v>4219.9422527777779</v>
      </c>
      <c r="Q54" s="367">
        <f>SUM(N54:P54)</f>
        <v>11604.841195138888</v>
      </c>
    </row>
    <row r="55" spans="1:22" x14ac:dyDescent="0.35">
      <c r="B55" s="286" t="s">
        <v>330</v>
      </c>
      <c r="C55" s="293">
        <f>'User Profile'!D19</f>
        <v>867308</v>
      </c>
      <c r="D55" s="294">
        <f>$C$11*peak_hrs*$C55/(24*3600)</f>
        <v>1817.7330166666666</v>
      </c>
      <c r="E55" s="294">
        <f>$D$11*peak_hrs*$C55/(24*3600)</f>
        <v>302.95550277777778</v>
      </c>
      <c r="F55" s="294">
        <f>$E$11*peak_hrs*$C55/(24*3600)</f>
        <v>1211.8220111111111</v>
      </c>
      <c r="G55" s="295">
        <f t="shared" ref="G55:G57" si="3">SUM(D55:F55)</f>
        <v>3332.5105305555553</v>
      </c>
      <c r="H55" s="293">
        <f>'User Profile'!F19</f>
        <v>2055264</v>
      </c>
      <c r="I55" s="294">
        <f>$C$11*peak_hrs*$H55/(24*3600)</f>
        <v>4307.4907999999996</v>
      </c>
      <c r="J55" s="294">
        <f>$D$11*peak_hrs*$H55/(24*3600)</f>
        <v>717.9151333333333</v>
      </c>
      <c r="K55" s="294">
        <f>$E$11*peak_hrs*$H55/(24*3600)</f>
        <v>2871.6605333333332</v>
      </c>
      <c r="L55" s="295">
        <f t="shared" ref="L55:L57" si="4">SUM(I55:K55)</f>
        <v>7897.0664666666653</v>
      </c>
      <c r="M55" s="293">
        <f>'User Profile'!H19</f>
        <v>3653947</v>
      </c>
      <c r="N55" s="294">
        <f>$C$11*peak_hrs*$M55/(24*3600)</f>
        <v>7658.0639208333332</v>
      </c>
      <c r="O55" s="294">
        <f>$D$11*peak_hrs*$M55/(24*3600)</f>
        <v>1276.3439868055555</v>
      </c>
      <c r="P55" s="294">
        <f>$E$11*peak_hrs*$M55/(24*3600)</f>
        <v>5105.3759472222218</v>
      </c>
      <c r="Q55" s="295">
        <f t="shared" ref="Q55:Q57" si="5">SUM(N55:P55)</f>
        <v>14039.783854861111</v>
      </c>
    </row>
    <row r="56" spans="1:22" x14ac:dyDescent="0.35">
      <c r="B56" s="289" t="s">
        <v>328</v>
      </c>
      <c r="C56" s="290">
        <f>'User Profile'!D20</f>
        <v>1484186</v>
      </c>
      <c r="D56" s="291">
        <f>$C$11*peak_hrs*$C56/(24*3600)</f>
        <v>3110.6064916666664</v>
      </c>
      <c r="E56" s="291">
        <f>$D$11*peak_hrs*$C56/(24*3600)</f>
        <v>518.4344152777777</v>
      </c>
      <c r="F56" s="291">
        <f>$E$11*peak_hrs*$C56/(24*3600)</f>
        <v>2073.7376611111108</v>
      </c>
      <c r="G56" s="292">
        <f t="shared" si="3"/>
        <v>5702.7785680555553</v>
      </c>
      <c r="H56" s="290">
        <f>'User Profile'!F20</f>
        <v>3517080</v>
      </c>
      <c r="I56" s="291">
        <f>$C$11*peak_hrs*$H56/(24*3600)</f>
        <v>7371.2134999999998</v>
      </c>
      <c r="J56" s="291">
        <f>$D$11*peak_hrs*$H56/(24*3600)</f>
        <v>1228.5355833333333</v>
      </c>
      <c r="K56" s="291">
        <f>$E$11*peak_hrs*$H56/(24*3600)</f>
        <v>4914.1423333333332</v>
      </c>
      <c r="L56" s="292">
        <f t="shared" si="4"/>
        <v>13513.891416666665</v>
      </c>
      <c r="M56" s="290">
        <f>'User Profile'!H20</f>
        <v>6252834</v>
      </c>
      <c r="N56" s="291">
        <f>$C$11*peak_hrs*$M56/(24*3600)</f>
        <v>13104.897924999997</v>
      </c>
      <c r="O56" s="291">
        <f>$D$11*peak_hrs*$M56/(24*3600)</f>
        <v>2184.1496541666666</v>
      </c>
      <c r="P56" s="291">
        <f>$E$11*peak_hrs*$M56/(24*3600)</f>
        <v>8736.5986166666662</v>
      </c>
      <c r="Q56" s="292">
        <f t="shared" si="5"/>
        <v>24025.646195833331</v>
      </c>
    </row>
    <row r="57" spans="1:22" ht="16" thickBot="1" x14ac:dyDescent="0.4">
      <c r="B57" s="288" t="s">
        <v>329</v>
      </c>
      <c r="C57" s="296">
        <f>'User Profile'!D21</f>
        <v>932117</v>
      </c>
      <c r="D57" s="297">
        <f>$C$11*peak_hrs*$C57/(24*3600)</f>
        <v>1953.5618791666666</v>
      </c>
      <c r="E57" s="297">
        <f>$D$11*peak_hrs*$C57/(24*3600)</f>
        <v>325.59364652777776</v>
      </c>
      <c r="F57" s="297">
        <f>$E$11*peak_hrs*$C57/(24*3600)</f>
        <v>1302.3745861111111</v>
      </c>
      <c r="G57" s="298">
        <f t="shared" si="3"/>
        <v>3581.5301118055554</v>
      </c>
      <c r="H57" s="296">
        <f>'User Profile'!F21</f>
        <v>2208840</v>
      </c>
      <c r="I57" s="297">
        <f>$C$11*peak_hrs*$H57/(24*3600)</f>
        <v>4629.3604999999998</v>
      </c>
      <c r="J57" s="297">
        <f>$D$11*peak_hrs*$H57/(24*3600)</f>
        <v>771.56008333333341</v>
      </c>
      <c r="K57" s="297">
        <f>$E$11*peak_hrs*$H57/(24*3600)</f>
        <v>3086.2403333333336</v>
      </c>
      <c r="L57" s="298">
        <f t="shared" si="4"/>
        <v>8487.1609166666676</v>
      </c>
      <c r="M57" s="296">
        <f>'User Profile'!H21</f>
        <v>3926982</v>
      </c>
      <c r="N57" s="297">
        <f>$C$11*peak_hrs*$M57/(24*3600)</f>
        <v>8230.2997749999995</v>
      </c>
      <c r="O57" s="297">
        <f>$D$11*peak_hrs*$M57/(24*3600)</f>
        <v>1371.7166291666667</v>
      </c>
      <c r="P57" s="297">
        <f>$E$11*peak_hrs*$M57/(24*3600)</f>
        <v>5486.8665166666669</v>
      </c>
      <c r="Q57" s="298">
        <f t="shared" si="5"/>
        <v>15088.882920833334</v>
      </c>
    </row>
    <row r="58" spans="1:22" ht="16" thickBot="1" x14ac:dyDescent="0.4"/>
    <row r="59" spans="1:22" ht="16" thickBot="1" x14ac:dyDescent="0.4">
      <c r="B59" s="554" t="s">
        <v>313</v>
      </c>
      <c r="C59" s="557" t="s">
        <v>331</v>
      </c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8"/>
    </row>
    <row r="60" spans="1:22" x14ac:dyDescent="0.35">
      <c r="B60" s="564"/>
      <c r="C60" s="563" t="s">
        <v>327</v>
      </c>
      <c r="D60" s="560"/>
      <c r="E60" s="560"/>
      <c r="F60" s="560"/>
      <c r="G60" s="561"/>
      <c r="H60" s="559" t="s">
        <v>330</v>
      </c>
      <c r="I60" s="560"/>
      <c r="J60" s="560"/>
      <c r="K60" s="560"/>
      <c r="L60" s="562"/>
      <c r="M60" s="559" t="s">
        <v>328</v>
      </c>
      <c r="N60" s="560"/>
      <c r="O60" s="560"/>
      <c r="P60" s="560"/>
      <c r="Q60" s="561"/>
      <c r="R60" s="559" t="s">
        <v>329</v>
      </c>
      <c r="S60" s="560"/>
      <c r="T60" s="560"/>
      <c r="U60" s="560"/>
      <c r="V60" s="561"/>
    </row>
    <row r="61" spans="1:22" x14ac:dyDescent="0.35">
      <c r="B61" s="564"/>
      <c r="C61" s="329" t="s">
        <v>61</v>
      </c>
      <c r="D61" s="328" t="s">
        <v>62</v>
      </c>
      <c r="E61" s="328" t="s">
        <v>56</v>
      </c>
      <c r="F61" s="328" t="s">
        <v>334</v>
      </c>
      <c r="G61" s="337" t="s">
        <v>136</v>
      </c>
      <c r="H61" s="336" t="s">
        <v>61</v>
      </c>
      <c r="I61" s="328" t="s">
        <v>62</v>
      </c>
      <c r="J61" s="328" t="s">
        <v>56</v>
      </c>
      <c r="K61" s="328" t="s">
        <v>334</v>
      </c>
      <c r="L61" s="378" t="s">
        <v>136</v>
      </c>
      <c r="M61" s="336" t="s">
        <v>61</v>
      </c>
      <c r="N61" s="328" t="s">
        <v>62</v>
      </c>
      <c r="O61" s="328" t="s">
        <v>56</v>
      </c>
      <c r="P61" s="328" t="s">
        <v>334</v>
      </c>
      <c r="Q61" s="337" t="s">
        <v>136</v>
      </c>
      <c r="R61" s="336" t="s">
        <v>61</v>
      </c>
      <c r="S61" s="328" t="s">
        <v>62</v>
      </c>
      <c r="T61" s="328" t="s">
        <v>56</v>
      </c>
      <c r="U61" s="328" t="s">
        <v>334</v>
      </c>
      <c r="V61" s="337" t="s">
        <v>136</v>
      </c>
    </row>
    <row r="62" spans="1:22" x14ac:dyDescent="0.35">
      <c r="B62" s="289" t="s">
        <v>45</v>
      </c>
      <c r="C62" s="315">
        <f>'User Profile'!D18</f>
        <v>716890</v>
      </c>
      <c r="D62" s="291">
        <f>$C$11*peak_hrs*$C62/(24*3600)</f>
        <v>1502.4819583333333</v>
      </c>
      <c r="E62" s="291">
        <f>$D$11*peak_hrs*$C62/(24*3600)</f>
        <v>250.41365972222221</v>
      </c>
      <c r="F62" s="291">
        <f>$E$11*peak_hrs*$C62/(24*3600)</f>
        <v>1001.6546388888888</v>
      </c>
      <c r="G62" s="292">
        <f>SUM(D62:F62)</f>
        <v>2754.5502569444443</v>
      </c>
      <c r="H62" s="290">
        <f>'User Profile'!D19</f>
        <v>867308</v>
      </c>
      <c r="I62" s="291">
        <f>$C$11*peak_hrs*$H62/(24*3600)</f>
        <v>1817.7330166666666</v>
      </c>
      <c r="J62" s="291">
        <f>$D$11*peak_hrs*$H62/(24*3600)</f>
        <v>302.95550277777778</v>
      </c>
      <c r="K62" s="291">
        <f>$E$11*peak_hrs*$H62/(24*3600)</f>
        <v>1211.8220111111111</v>
      </c>
      <c r="L62" s="309">
        <f>SUM(I62:K62)</f>
        <v>3332.5105305555553</v>
      </c>
      <c r="M62" s="290">
        <f>'User Profile'!D20</f>
        <v>1484186</v>
      </c>
      <c r="N62" s="291">
        <f>$C$11*peak_hrs*$M62/(24*3600)</f>
        <v>3110.6064916666664</v>
      </c>
      <c r="O62" s="291">
        <f>$D$11*peak_hrs*$M62/(24*3600)</f>
        <v>518.4344152777777</v>
      </c>
      <c r="P62" s="291">
        <f>$E$11*peak_hrs*$M62/(24*3600)</f>
        <v>2073.7376611111108</v>
      </c>
      <c r="Q62" s="292">
        <f>SUM(N62:P62)</f>
        <v>5702.7785680555553</v>
      </c>
      <c r="R62" s="290">
        <f>'User Profile'!D21</f>
        <v>932117</v>
      </c>
      <c r="S62" s="291">
        <f>$C$11*peak_hrs*$R62/(24*3600)</f>
        <v>1953.5618791666666</v>
      </c>
      <c r="T62" s="291">
        <f>$D$11*peak_hrs*$R62/(24*3600)</f>
        <v>325.59364652777776</v>
      </c>
      <c r="U62" s="291">
        <f>$E$11*peak_hrs*$R62/(24*3600)</f>
        <v>1302.3745861111111</v>
      </c>
      <c r="V62" s="292">
        <f>SUM(S62:U62)</f>
        <v>3581.5301118055554</v>
      </c>
    </row>
    <row r="63" spans="1:22" ht="16" thickBot="1" x14ac:dyDescent="0.4">
      <c r="B63" s="381" t="s">
        <v>46</v>
      </c>
      <c r="C63" s="316">
        <f>'User Profile'!F18</f>
        <v>1698816</v>
      </c>
      <c r="D63" s="300">
        <f>$C$11*peak_hrs*$C63/(24*3600)</f>
        <v>3560.4351999999999</v>
      </c>
      <c r="E63" s="300">
        <f>$D$11*peak_hrs*$C63/(24*3600)</f>
        <v>593.40586666666672</v>
      </c>
      <c r="F63" s="300">
        <f>$E$11*peak_hrs*$C63/(24*3600)</f>
        <v>2373.6234666666669</v>
      </c>
      <c r="G63" s="382">
        <f t="shared" ref="G63:G64" si="6">SUM(D63:F63)</f>
        <v>6527.4645333333337</v>
      </c>
      <c r="H63" s="383">
        <f>'User Profile'!F19</f>
        <v>2055264</v>
      </c>
      <c r="I63" s="384">
        <f>$C$11*peak_hrs*$H63/(24*3600)</f>
        <v>4307.4907999999996</v>
      </c>
      <c r="J63" s="384">
        <f>$D$11*peak_hrs*$H63/(24*3600)</f>
        <v>717.9151333333333</v>
      </c>
      <c r="K63" s="384">
        <f>$E$11*peak_hrs*$H63/(24*3600)</f>
        <v>2871.6605333333332</v>
      </c>
      <c r="L63" s="385">
        <f t="shared" ref="L63:L64" si="7">SUM(I63:K63)</f>
        <v>7897.0664666666653</v>
      </c>
      <c r="M63" s="334">
        <f>'User Profile'!F20</f>
        <v>3517080</v>
      </c>
      <c r="N63" s="300">
        <f>$C$11*peak_hrs*$M63/(24*3600)</f>
        <v>7371.2134999999998</v>
      </c>
      <c r="O63" s="300">
        <f>$D$11*peak_hrs*$M63/(24*3600)</f>
        <v>1228.5355833333333</v>
      </c>
      <c r="P63" s="300">
        <f>$E$11*peak_hrs*$M63/(24*3600)</f>
        <v>4914.1423333333332</v>
      </c>
      <c r="Q63" s="382">
        <f t="shared" ref="Q63:Q64" si="8">SUM(N63:P63)</f>
        <v>13513.891416666665</v>
      </c>
      <c r="R63" s="334">
        <f>'User Profile'!F21</f>
        <v>2208840</v>
      </c>
      <c r="S63" s="300">
        <f>$C$11*peak_hrs*$R63/(24*3600)</f>
        <v>4629.3604999999998</v>
      </c>
      <c r="T63" s="300">
        <f>$D$11*peak_hrs*$R63/(24*3600)</f>
        <v>771.56008333333341</v>
      </c>
      <c r="U63" s="300">
        <f>$E$11*peak_hrs*$R63/(24*3600)</f>
        <v>3086.2403333333336</v>
      </c>
      <c r="V63" s="382">
        <f t="shared" ref="V63:V64" si="9">SUM(S63:U63)</f>
        <v>8487.1609166666676</v>
      </c>
    </row>
    <row r="64" spans="1:22" ht="16" thickBot="1" x14ac:dyDescent="0.4">
      <c r="B64" s="379" t="s">
        <v>47</v>
      </c>
      <c r="C64" s="317">
        <f>'User Profile'!H18</f>
        <v>3020237</v>
      </c>
      <c r="D64" s="307">
        <f>$C$11*peak_hrs*$C64/(24*3600)</f>
        <v>6329.9133791666654</v>
      </c>
      <c r="E64" s="307">
        <f>$D$11*peak_hrs*$C64/(24*3600)</f>
        <v>1054.9855631944445</v>
      </c>
      <c r="F64" s="307">
        <f>$E$11*peak_hrs*$C64/(24*3600)</f>
        <v>4219.9422527777779</v>
      </c>
      <c r="G64" s="375">
        <f t="shared" si="6"/>
        <v>11604.841195138888</v>
      </c>
      <c r="H64" s="380">
        <f>'User Profile'!H19</f>
        <v>3653947</v>
      </c>
      <c r="I64" s="376">
        <f>$C$11*peak_hrs*$H64/(24*3600)</f>
        <v>7658.0639208333332</v>
      </c>
      <c r="J64" s="376">
        <f>$D$11*peak_hrs*$H64/(24*3600)</f>
        <v>1276.3439868055555</v>
      </c>
      <c r="K64" s="376">
        <f>$E$11*peak_hrs*$H64/(24*3600)</f>
        <v>5105.3759472222218</v>
      </c>
      <c r="L64" s="377">
        <f t="shared" si="7"/>
        <v>14039.783854861111</v>
      </c>
      <c r="M64" s="335">
        <f>'User Profile'!H20</f>
        <v>6252834</v>
      </c>
      <c r="N64" s="307">
        <f>$C$11*peak_hrs*$M64/(24*3600)</f>
        <v>13104.897924999997</v>
      </c>
      <c r="O64" s="307">
        <f>$D$11*peak_hrs*$M64/(24*3600)</f>
        <v>2184.1496541666666</v>
      </c>
      <c r="P64" s="307">
        <f>$E$11*peak_hrs*$M64/(24*3600)</f>
        <v>8736.5986166666662</v>
      </c>
      <c r="Q64" s="375">
        <f t="shared" si="8"/>
        <v>24025.646195833331</v>
      </c>
      <c r="R64" s="335">
        <f>'User Profile'!H21</f>
        <v>3926982</v>
      </c>
      <c r="S64" s="307">
        <f>$C$11*peak_hrs*$R64/(24*3600)</f>
        <v>8230.2997749999995</v>
      </c>
      <c r="T64" s="307">
        <f>$D$11*peak_hrs*$R64/(24*3600)</f>
        <v>1371.7166291666667</v>
      </c>
      <c r="U64" s="307">
        <f>$E$11*peak_hrs*$R64/(24*3600)</f>
        <v>5486.8665166666669</v>
      </c>
      <c r="V64" s="375">
        <f t="shared" si="9"/>
        <v>15088.882920833334</v>
      </c>
    </row>
  </sheetData>
  <mergeCells count="8">
    <mergeCell ref="B52:B53"/>
    <mergeCell ref="B51:Q51"/>
    <mergeCell ref="R60:V60"/>
    <mergeCell ref="M60:Q60"/>
    <mergeCell ref="H60:L60"/>
    <mergeCell ref="C60:G60"/>
    <mergeCell ref="B59:B61"/>
    <mergeCell ref="C59:V59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D443-6893-484C-AFDF-F02F4A4203C4}">
  <dimension ref="A1:AE99"/>
  <sheetViews>
    <sheetView topLeftCell="A36" zoomScale="80" zoomScaleNormal="80" workbookViewId="0">
      <selection activeCell="I64" activeCellId="2" sqref="L64 K64 I64"/>
    </sheetView>
  </sheetViews>
  <sheetFormatPr defaultColWidth="15.33203125" defaultRowHeight="18" customHeight="1" x14ac:dyDescent="0.35"/>
  <cols>
    <col min="1" max="1" width="37" bestFit="1" customWidth="1"/>
    <col min="5" max="5" width="20.5" customWidth="1"/>
    <col min="8" max="8" width="16.6640625" bestFit="1" customWidth="1"/>
    <col min="15" max="15" width="17.6640625" bestFit="1" customWidth="1"/>
  </cols>
  <sheetData>
    <row r="1" spans="1:31" ht="23.5" x14ac:dyDescent="0.55000000000000004">
      <c r="A1" s="35" t="s">
        <v>9</v>
      </c>
    </row>
    <row r="2" spans="1:31" ht="18" customHeight="1" thickBot="1" x14ac:dyDescent="0.4"/>
    <row r="3" spans="1:31" ht="18" customHeight="1" x14ac:dyDescent="0.35">
      <c r="A3" s="8" t="s">
        <v>5</v>
      </c>
      <c r="B3" t="s">
        <v>146</v>
      </c>
      <c r="G3" s="320"/>
      <c r="H3" s="320"/>
      <c r="I3" s="573" t="s">
        <v>144</v>
      </c>
      <c r="J3" s="574"/>
      <c r="K3" s="575"/>
      <c r="L3" s="573" t="s">
        <v>145</v>
      </c>
      <c r="M3" s="574"/>
      <c r="N3" s="575"/>
      <c r="O3" s="571" t="s">
        <v>128</v>
      </c>
    </row>
    <row r="4" spans="1:31" ht="36" customHeight="1" thickBot="1" x14ac:dyDescent="0.4">
      <c r="B4" t="s">
        <v>1</v>
      </c>
      <c r="D4" s="30">
        <f>stream_dur</f>
        <v>192</v>
      </c>
      <c r="G4" s="344" t="s">
        <v>337</v>
      </c>
      <c r="H4" s="360" t="s">
        <v>149</v>
      </c>
      <c r="I4" s="361" t="s">
        <v>2</v>
      </c>
      <c r="J4" s="362" t="s">
        <v>11</v>
      </c>
      <c r="K4" s="363" t="s">
        <v>8</v>
      </c>
      <c r="L4" s="361" t="s">
        <v>2</v>
      </c>
      <c r="M4" s="362" t="s">
        <v>11</v>
      </c>
      <c r="N4" s="363" t="s">
        <v>8</v>
      </c>
      <c r="O4" s="572"/>
      <c r="S4" s="39" t="s">
        <v>313</v>
      </c>
      <c r="T4" s="39" t="s">
        <v>62</v>
      </c>
      <c r="U4" s="39" t="s">
        <v>322</v>
      </c>
      <c r="V4" s="3" t="s">
        <v>323</v>
      </c>
    </row>
    <row r="5" spans="1:31" ht="18" customHeight="1" x14ac:dyDescent="0.35">
      <c r="B5" t="s">
        <v>6</v>
      </c>
      <c r="C5" s="7" t="s">
        <v>3</v>
      </c>
      <c r="D5" s="7" t="s">
        <v>10</v>
      </c>
      <c r="E5" s="7" t="s">
        <v>4</v>
      </c>
      <c r="G5" s="368" t="s">
        <v>45</v>
      </c>
      <c r="H5" s="351">
        <f>'CPU (Workload)'!D15</f>
        <v>8384.3812499999985</v>
      </c>
      <c r="I5" s="357">
        <f t="shared" ref="I5:I7" si="0">$H5*$E$6</f>
        <v>1676.8762499999998</v>
      </c>
      <c r="J5" s="358">
        <f t="shared" ref="J5:J6" si="1">$H5*$E$7</f>
        <v>5030.6287499999989</v>
      </c>
      <c r="K5" s="359">
        <f t="shared" ref="K5:K7" si="2">$H5*$E$8</f>
        <v>1676.8762499999998</v>
      </c>
      <c r="L5" s="357">
        <f t="shared" ref="L5:L7" si="3">I5*$D$6/1000/1000</f>
        <v>36.059546879999992</v>
      </c>
      <c r="M5" s="358">
        <f t="shared" ref="M5:M7" si="4">J5*$D$7/1000/1000</f>
        <v>185.44909823999996</v>
      </c>
      <c r="N5" s="359">
        <f t="shared" ref="N5:N7" si="5">K5*$D$8/1000/1000</f>
        <v>77.2704576</v>
      </c>
      <c r="O5" s="355">
        <f t="shared" ref="O5:O7" si="6">SUM(L5:N5)</f>
        <v>298.77910271999997</v>
      </c>
      <c r="S5" s="263" t="s">
        <v>45</v>
      </c>
      <c r="T5" s="2">
        <f>O5</f>
        <v>298.77910271999997</v>
      </c>
      <c r="U5" s="2">
        <f>O26</f>
        <v>80.490059999999986</v>
      </c>
      <c r="V5" s="2">
        <f>O47</f>
        <v>8.9433399999999992</v>
      </c>
    </row>
    <row r="6" spans="1:31" ht="18" customHeight="1" x14ac:dyDescent="0.35">
      <c r="B6" s="10" t="s">
        <v>7</v>
      </c>
      <c r="C6" s="30">
        <f>stream_lbr</f>
        <v>112</v>
      </c>
      <c r="D6" s="1">
        <f>$D$4*C6</f>
        <v>21504</v>
      </c>
      <c r="E6" s="33">
        <f>lbr_percent</f>
        <v>0.2</v>
      </c>
      <c r="G6" s="303" t="s">
        <v>46</v>
      </c>
      <c r="H6" s="321">
        <f>'CPU (Workload)'!D16</f>
        <v>19868.499999999996</v>
      </c>
      <c r="I6" s="324">
        <f t="shared" si="0"/>
        <v>3973.6999999999994</v>
      </c>
      <c r="J6" s="301">
        <f t="shared" si="1"/>
        <v>11921.099999999997</v>
      </c>
      <c r="K6" s="305">
        <f t="shared" si="2"/>
        <v>3973.6999999999994</v>
      </c>
      <c r="L6" s="324">
        <f t="shared" si="3"/>
        <v>85.450444799999985</v>
      </c>
      <c r="M6" s="301">
        <f t="shared" si="4"/>
        <v>439.45943039999986</v>
      </c>
      <c r="N6" s="305">
        <f t="shared" si="5"/>
        <v>183.10809599999996</v>
      </c>
      <c r="O6" s="326">
        <f t="shared" si="6"/>
        <v>708.01797119999981</v>
      </c>
      <c r="S6" s="263" t="s">
        <v>46</v>
      </c>
      <c r="T6" s="2">
        <f>O6</f>
        <v>708.01797119999981</v>
      </c>
      <c r="U6" s="2">
        <f>O27</f>
        <v>190.73759999999999</v>
      </c>
      <c r="V6" s="2">
        <f>O48</f>
        <v>21.193066666666667</v>
      </c>
    </row>
    <row r="7" spans="1:31" ht="18" customHeight="1" thickBot="1" x14ac:dyDescent="0.4">
      <c r="B7" s="10" t="s">
        <v>11</v>
      </c>
      <c r="C7" s="30">
        <f>stream_sbr</f>
        <v>192</v>
      </c>
      <c r="D7" s="1">
        <f t="shared" ref="D7:D8" si="7">$D$4*C7</f>
        <v>36864</v>
      </c>
      <c r="E7" s="33">
        <f>sbr_percent</f>
        <v>0.6</v>
      </c>
      <c r="G7" s="304" t="s">
        <v>47</v>
      </c>
      <c r="H7" s="322">
        <f>'CPU (Workload)'!D17</f>
        <v>35323.174999999996</v>
      </c>
      <c r="I7" s="325">
        <f t="shared" si="0"/>
        <v>7064.6349999999993</v>
      </c>
      <c r="J7" s="314">
        <f>$H7*$E$7</f>
        <v>21193.904999999995</v>
      </c>
      <c r="K7" s="308">
        <f t="shared" si="2"/>
        <v>7064.6349999999993</v>
      </c>
      <c r="L7" s="325">
        <f t="shared" si="3"/>
        <v>151.91791103999998</v>
      </c>
      <c r="M7" s="314">
        <f t="shared" si="4"/>
        <v>781.29211391999979</v>
      </c>
      <c r="N7" s="308">
        <f t="shared" si="5"/>
        <v>325.53838079999991</v>
      </c>
      <c r="O7" s="327">
        <f t="shared" si="6"/>
        <v>1258.7484057599997</v>
      </c>
      <c r="S7" s="263" t="s">
        <v>47</v>
      </c>
      <c r="T7" s="2">
        <f>O7</f>
        <v>1258.7484057599997</v>
      </c>
      <c r="U7" s="2">
        <f>O28</f>
        <v>339.10247999999996</v>
      </c>
      <c r="V7" s="2">
        <f>O49</f>
        <v>37.678053333333331</v>
      </c>
    </row>
    <row r="8" spans="1:31" ht="18" customHeight="1" thickBot="1" x14ac:dyDescent="0.4">
      <c r="B8" s="10" t="s">
        <v>8</v>
      </c>
      <c r="C8" s="30">
        <f>stream_hbr</f>
        <v>240</v>
      </c>
      <c r="D8" s="1">
        <f t="shared" si="7"/>
        <v>46080</v>
      </c>
      <c r="E8" s="33">
        <f>hbr_percent</f>
        <v>0.2</v>
      </c>
      <c r="G8" s="11"/>
      <c r="H8" s="1"/>
      <c r="I8" s="4"/>
      <c r="J8" s="4"/>
      <c r="K8" s="4"/>
      <c r="L8" s="2"/>
      <c r="M8" s="2"/>
      <c r="N8" s="2"/>
      <c r="O8" s="2"/>
      <c r="S8" s="11"/>
    </row>
    <row r="9" spans="1:31" ht="18" customHeight="1" x14ac:dyDescent="0.35">
      <c r="B9" s="10"/>
      <c r="C9" s="30"/>
      <c r="D9" s="1"/>
      <c r="E9" s="33"/>
      <c r="G9" s="567" t="s">
        <v>337</v>
      </c>
      <c r="H9" s="569" t="s">
        <v>348</v>
      </c>
      <c r="I9" s="569"/>
      <c r="J9" s="569"/>
      <c r="K9" s="569"/>
      <c r="L9" s="570"/>
      <c r="M9" s="2"/>
      <c r="N9" s="2"/>
      <c r="O9" s="2"/>
      <c r="S9" s="11"/>
    </row>
    <row r="10" spans="1:31" ht="18" customHeight="1" thickBot="1" x14ac:dyDescent="0.4">
      <c r="E10" s="11"/>
      <c r="F10" s="11"/>
      <c r="G10" s="568"/>
      <c r="H10" s="349" t="s">
        <v>327</v>
      </c>
      <c r="I10" s="349" t="s">
        <v>330</v>
      </c>
      <c r="J10" s="349" t="s">
        <v>328</v>
      </c>
      <c r="K10" s="349" t="s">
        <v>329</v>
      </c>
      <c r="L10" s="350" t="s">
        <v>136</v>
      </c>
      <c r="P10" s="12"/>
    </row>
    <row r="11" spans="1:31" ht="18" customHeight="1" x14ac:dyDescent="0.35">
      <c r="E11" s="11"/>
      <c r="F11" s="11"/>
      <c r="G11" s="398" t="s">
        <v>45</v>
      </c>
      <c r="H11" s="358">
        <f>$O5*ne_pop</f>
        <v>53.541215207423996</v>
      </c>
      <c r="I11" s="358">
        <f>$O5*mw_pop</f>
        <v>64.775309469695998</v>
      </c>
      <c r="J11" s="358">
        <f>$O5*s_pop</f>
        <v>110.84704710911998</v>
      </c>
      <c r="K11" s="358">
        <f>$O5*w_pop</f>
        <v>69.615530933759999</v>
      </c>
      <c r="L11" s="399">
        <f>SUM(H11:K11)</f>
        <v>298.77910271999997</v>
      </c>
      <c r="P11" s="12"/>
    </row>
    <row r="12" spans="1:31" ht="18" customHeight="1" x14ac:dyDescent="0.35">
      <c r="E12" s="11"/>
      <c r="F12" s="11"/>
      <c r="G12" s="394" t="s">
        <v>46</v>
      </c>
      <c r="H12" s="301">
        <f>$O6*ne_pop</f>
        <v>126.87682043903996</v>
      </c>
      <c r="I12" s="301">
        <f>$O6*mw_pop</f>
        <v>153.49829615615997</v>
      </c>
      <c r="J12" s="301">
        <f>$O6*s_pop</f>
        <v>262.67466731519994</v>
      </c>
      <c r="K12" s="301">
        <f>$O6*w_pop</f>
        <v>164.96818728959997</v>
      </c>
      <c r="L12" s="395">
        <f t="shared" ref="L12:L13" si="8">SUM(H12:K12)</f>
        <v>708.01797119999981</v>
      </c>
      <c r="P12" s="12"/>
    </row>
    <row r="13" spans="1:31" ht="18" customHeight="1" thickBot="1" x14ac:dyDescent="0.4">
      <c r="E13" s="11"/>
      <c r="F13" s="11"/>
      <c r="G13" s="396" t="s">
        <v>47</v>
      </c>
      <c r="H13" s="314">
        <f>$O7*ne_pop</f>
        <v>225.56771431219195</v>
      </c>
      <c r="I13" s="314">
        <f>$O7*mw_pop</f>
        <v>272.89665436876794</v>
      </c>
      <c r="J13" s="314">
        <f>$O7*s_pop</f>
        <v>466.99565853695992</v>
      </c>
      <c r="K13" s="314">
        <f>$O7*w_pop</f>
        <v>293.28837854207995</v>
      </c>
      <c r="L13" s="397">
        <f t="shared" si="8"/>
        <v>1258.7484057599997</v>
      </c>
      <c r="P13" s="12"/>
    </row>
    <row r="14" spans="1:31" ht="18" customHeight="1" x14ac:dyDescent="0.35">
      <c r="E14" s="11"/>
      <c r="F14" s="11"/>
      <c r="P14" s="12"/>
    </row>
    <row r="15" spans="1:31" ht="18" customHeight="1" thickBot="1" x14ac:dyDescent="0.4">
      <c r="E15" s="11"/>
      <c r="F15" s="11"/>
      <c r="H15" t="s">
        <v>45</v>
      </c>
      <c r="P15" t="s">
        <v>46</v>
      </c>
      <c r="X15" t="s">
        <v>47</v>
      </c>
    </row>
    <row r="16" spans="1:31" ht="18" customHeight="1" x14ac:dyDescent="0.35">
      <c r="E16" s="11"/>
      <c r="F16" s="11"/>
      <c r="G16" s="333"/>
      <c r="H16" s="403"/>
      <c r="I16" s="560" t="s">
        <v>144</v>
      </c>
      <c r="J16" s="560"/>
      <c r="K16" s="560"/>
      <c r="L16" s="560" t="s">
        <v>145</v>
      </c>
      <c r="M16" s="560"/>
      <c r="N16" s="560"/>
      <c r="O16" s="565" t="s">
        <v>128</v>
      </c>
      <c r="P16" s="405"/>
      <c r="Q16" s="560" t="s">
        <v>144</v>
      </c>
      <c r="R16" s="560"/>
      <c r="S16" s="560"/>
      <c r="T16" s="560" t="s">
        <v>145</v>
      </c>
      <c r="U16" s="560"/>
      <c r="V16" s="560"/>
      <c r="W16" s="565" t="s">
        <v>128</v>
      </c>
      <c r="X16" s="405"/>
      <c r="Y16" s="560" t="s">
        <v>144</v>
      </c>
      <c r="Z16" s="560"/>
      <c r="AA16" s="560"/>
      <c r="AB16" s="560" t="s">
        <v>145</v>
      </c>
      <c r="AC16" s="560"/>
      <c r="AD16" s="560"/>
      <c r="AE16" s="565" t="s">
        <v>128</v>
      </c>
    </row>
    <row r="17" spans="1:31" ht="31.5" thickBot="1" x14ac:dyDescent="0.4">
      <c r="E17" s="11"/>
      <c r="F17" s="11"/>
      <c r="G17" s="424" t="s">
        <v>331</v>
      </c>
      <c r="H17" s="404" t="s">
        <v>149</v>
      </c>
      <c r="I17" s="349" t="s">
        <v>2</v>
      </c>
      <c r="J17" s="349" t="s">
        <v>11</v>
      </c>
      <c r="K17" s="349" t="s">
        <v>8</v>
      </c>
      <c r="L17" s="349" t="s">
        <v>2</v>
      </c>
      <c r="M17" s="349" t="s">
        <v>11</v>
      </c>
      <c r="N17" s="409" t="s">
        <v>8</v>
      </c>
      <c r="O17" s="566"/>
      <c r="P17" s="406" t="s">
        <v>149</v>
      </c>
      <c r="Q17" s="349" t="s">
        <v>2</v>
      </c>
      <c r="R17" s="349" t="s">
        <v>11</v>
      </c>
      <c r="S17" s="349" t="s">
        <v>8</v>
      </c>
      <c r="T17" s="349" t="s">
        <v>2</v>
      </c>
      <c r="U17" s="349" t="s">
        <v>11</v>
      </c>
      <c r="V17" s="409" t="s">
        <v>8</v>
      </c>
      <c r="W17" s="566"/>
      <c r="X17" s="406" t="s">
        <v>149</v>
      </c>
      <c r="Y17" s="349" t="s">
        <v>2</v>
      </c>
      <c r="Z17" s="349" t="s">
        <v>11</v>
      </c>
      <c r="AA17" s="349" t="s">
        <v>8</v>
      </c>
      <c r="AB17" s="349" t="s">
        <v>2</v>
      </c>
      <c r="AC17" s="349" t="s">
        <v>11</v>
      </c>
      <c r="AD17" s="409" t="s">
        <v>8</v>
      </c>
      <c r="AE17" s="566"/>
    </row>
    <row r="18" spans="1:31" ht="18" customHeight="1" thickTop="1" x14ac:dyDescent="0.35">
      <c r="E18" s="11"/>
      <c r="F18" s="11"/>
      <c r="G18" s="289" t="s">
        <v>327</v>
      </c>
      <c r="H18" s="357">
        <f>ne_pop*$H$5</f>
        <v>1502.4811199999997</v>
      </c>
      <c r="I18" s="358">
        <f>$H18*$E$6</f>
        <v>300.49622399999993</v>
      </c>
      <c r="J18" s="358">
        <f t="shared" ref="J18:J21" si="9">$H18*$E$7</f>
        <v>901.48867199999984</v>
      </c>
      <c r="K18" s="358">
        <f t="shared" ref="K18:K21" si="10">$H18*$E$8</f>
        <v>300.49622399999993</v>
      </c>
      <c r="L18" s="358">
        <f t="shared" ref="L18:L21" si="11">I18*$D$6/1000/1000</f>
        <v>6.4618708008959986</v>
      </c>
      <c r="M18" s="407">
        <f t="shared" ref="M18:M21" si="12">J18*$D$7/1000/1000</f>
        <v>33.232478404607996</v>
      </c>
      <c r="N18" s="410">
        <f t="shared" ref="N18:N21" si="13">K18*$D$8/1000/1000</f>
        <v>13.846866001919995</v>
      </c>
      <c r="O18" s="412">
        <f>SUM(L18:N18)</f>
        <v>53.541215207423988</v>
      </c>
      <c r="P18" s="413">
        <f>ne_pop*$H$6</f>
        <v>3560.4351999999994</v>
      </c>
      <c r="Q18" s="358">
        <f>$P18*$E$6</f>
        <v>712.08703999999989</v>
      </c>
      <c r="R18" s="358">
        <f>$P18*$E$7</f>
        <v>2136.2611199999997</v>
      </c>
      <c r="S18" s="358">
        <f>$P18*$E$8</f>
        <v>712.08703999999989</v>
      </c>
      <c r="T18" s="358">
        <f t="shared" ref="T18:T21" si="14">Q18*$D$6/1000/1000</f>
        <v>15.312719708159999</v>
      </c>
      <c r="U18" s="407">
        <f t="shared" ref="U18:U21" si="15">R18*$D$7/1000/1000</f>
        <v>78.751129927679983</v>
      </c>
      <c r="V18" s="410">
        <f t="shared" ref="V18:V21" si="16">S18*$D$8/1000/1000</f>
        <v>32.812970803199995</v>
      </c>
      <c r="W18" s="412">
        <f>SUM(T18:V18)</f>
        <v>126.87682043903999</v>
      </c>
      <c r="X18" s="413">
        <f>ne_pop*$H$7</f>
        <v>6329.9129599999987</v>
      </c>
      <c r="Y18" s="358">
        <f>$X18*$E$6</f>
        <v>1265.9825919999998</v>
      </c>
      <c r="Z18" s="358">
        <f>$X18*$E$7</f>
        <v>3797.9477759999991</v>
      </c>
      <c r="AA18" s="358">
        <f>$X18*$E$8</f>
        <v>1265.9825919999998</v>
      </c>
      <c r="AB18" s="358">
        <f t="shared" ref="AB18:AB21" si="17">Y18*$D$6/1000/1000</f>
        <v>27.223689658367995</v>
      </c>
      <c r="AC18" s="407">
        <f t="shared" ref="AC18:AC21" si="18">Z18*$D$7/1000/1000</f>
        <v>140.00754681446398</v>
      </c>
      <c r="AD18" s="410">
        <f t="shared" ref="AD18:AD21" si="19">AA18*$D$8/1000/1000</f>
        <v>58.336477839359993</v>
      </c>
      <c r="AE18" s="412">
        <f>SUM(AB18:AD18)</f>
        <v>225.56771431219195</v>
      </c>
    </row>
    <row r="19" spans="1:31" ht="18" customHeight="1" x14ac:dyDescent="0.35">
      <c r="E19" s="11"/>
      <c r="F19" s="11"/>
      <c r="G19" s="381" t="s">
        <v>330</v>
      </c>
      <c r="H19" s="324">
        <f>mw_pop*$H$5</f>
        <v>1817.7338549999997</v>
      </c>
      <c r="I19" s="301">
        <f t="shared" ref="I19:I21" si="20">$H19*$E$6</f>
        <v>363.54677099999998</v>
      </c>
      <c r="J19" s="301">
        <f t="shared" si="9"/>
        <v>1090.6403129999999</v>
      </c>
      <c r="K19" s="301">
        <f t="shared" si="10"/>
        <v>363.54677099999998</v>
      </c>
      <c r="L19" s="301">
        <f t="shared" si="11"/>
        <v>7.8177097635839994</v>
      </c>
      <c r="M19" s="415">
        <f t="shared" si="12"/>
        <v>40.205364498431997</v>
      </c>
      <c r="N19" s="416">
        <f t="shared" si="13"/>
        <v>16.752235207679998</v>
      </c>
      <c r="O19" s="417">
        <f t="shared" ref="O19:O21" si="21">SUM(L19:N19)</f>
        <v>64.775309469695998</v>
      </c>
      <c r="P19" s="319">
        <f>mw_pop*$H$6</f>
        <v>4307.4907999999987</v>
      </c>
      <c r="Q19" s="301">
        <f t="shared" ref="Q19:Q21" si="22">$P19*$E$6</f>
        <v>861.49815999999976</v>
      </c>
      <c r="R19" s="301">
        <f t="shared" ref="R19:R21" si="23">$P19*$E$7</f>
        <v>2584.4944799999989</v>
      </c>
      <c r="S19" s="301">
        <f t="shared" ref="S19:S21" si="24">$P19*$E$8</f>
        <v>861.49815999999976</v>
      </c>
      <c r="T19" s="301">
        <f t="shared" si="14"/>
        <v>18.525656432639995</v>
      </c>
      <c r="U19" s="415">
        <f t="shared" si="15"/>
        <v>95.27480451071996</v>
      </c>
      <c r="V19" s="416">
        <f t="shared" si="16"/>
        <v>39.697835212799987</v>
      </c>
      <c r="W19" s="417">
        <f t="shared" ref="W19:W21" si="25">SUM(T19:V19)</f>
        <v>153.49829615615994</v>
      </c>
      <c r="X19" s="319">
        <f>mw_pop*$H$7</f>
        <v>7658.064339999999</v>
      </c>
      <c r="Y19" s="301">
        <f>$X19*$E$6</f>
        <v>1531.6128679999999</v>
      </c>
      <c r="Z19" s="301">
        <f>$X19*$E$7</f>
        <v>4594.8386039999996</v>
      </c>
      <c r="AA19" s="301">
        <f>$X19*$E$8</f>
        <v>1531.6128679999999</v>
      </c>
      <c r="AB19" s="301">
        <f t="shared" si="17"/>
        <v>32.935803113471998</v>
      </c>
      <c r="AC19" s="415">
        <f t="shared" si="18"/>
        <v>169.38413029785596</v>
      </c>
      <c r="AD19" s="416">
        <f t="shared" si="19"/>
        <v>70.576720957440003</v>
      </c>
      <c r="AE19" s="417">
        <f t="shared" ref="AE19:AE21" si="26">SUM(AB19:AD19)</f>
        <v>272.89665436876794</v>
      </c>
    </row>
    <row r="20" spans="1:31" ht="18" customHeight="1" x14ac:dyDescent="0.35">
      <c r="E20" s="11"/>
      <c r="F20" s="11"/>
      <c r="G20" s="289" t="s">
        <v>328</v>
      </c>
      <c r="H20" s="323">
        <f>s_pop*$H$5</f>
        <v>3110.6054437499993</v>
      </c>
      <c r="I20" s="299">
        <f t="shared" si="20"/>
        <v>622.1210887499999</v>
      </c>
      <c r="J20" s="299">
        <f t="shared" si="9"/>
        <v>1866.3632662499995</v>
      </c>
      <c r="K20" s="299">
        <f t="shared" si="10"/>
        <v>622.1210887499999</v>
      </c>
      <c r="L20" s="299">
        <f t="shared" si="11"/>
        <v>13.378091892479997</v>
      </c>
      <c r="M20" s="408">
        <f t="shared" si="12"/>
        <v>68.801615447039978</v>
      </c>
      <c r="N20" s="411">
        <f t="shared" si="13"/>
        <v>28.667339769599995</v>
      </c>
      <c r="O20" s="414">
        <f t="shared" si="21"/>
        <v>110.84704710911997</v>
      </c>
      <c r="P20" s="318">
        <f>s_pop*$H$6</f>
        <v>7371.2134999999989</v>
      </c>
      <c r="Q20" s="299">
        <f t="shared" si="22"/>
        <v>1474.2426999999998</v>
      </c>
      <c r="R20" s="299">
        <f t="shared" si="23"/>
        <v>4422.7280999999994</v>
      </c>
      <c r="S20" s="299">
        <f t="shared" si="24"/>
        <v>1474.2426999999998</v>
      </c>
      <c r="T20" s="299">
        <f t="shared" si="14"/>
        <v>31.702115020799997</v>
      </c>
      <c r="U20" s="408">
        <f t="shared" si="15"/>
        <v>163.03944867839999</v>
      </c>
      <c r="V20" s="411">
        <f t="shared" si="16"/>
        <v>67.933103615999997</v>
      </c>
      <c r="W20" s="414">
        <f t="shared" si="25"/>
        <v>262.6746673152</v>
      </c>
      <c r="X20" s="318">
        <f>s_pop*$H$7</f>
        <v>13104.897924999997</v>
      </c>
      <c r="Y20" s="299">
        <f>$X20*$E$6</f>
        <v>2620.9795849999996</v>
      </c>
      <c r="Z20" s="299">
        <f>$X20*$E$7</f>
        <v>7862.9387549999983</v>
      </c>
      <c r="AA20" s="299">
        <f>$X20*$E$8</f>
        <v>2620.9795849999996</v>
      </c>
      <c r="AB20" s="299">
        <f t="shared" si="17"/>
        <v>56.361544995839992</v>
      </c>
      <c r="AC20" s="408">
        <f t="shared" si="18"/>
        <v>289.85937426431997</v>
      </c>
      <c r="AD20" s="411">
        <f t="shared" si="19"/>
        <v>120.77473927679998</v>
      </c>
      <c r="AE20" s="414">
        <f t="shared" si="26"/>
        <v>466.99565853695992</v>
      </c>
    </row>
    <row r="21" spans="1:31" ht="18" customHeight="1" thickBot="1" x14ac:dyDescent="0.4">
      <c r="E21" s="11"/>
      <c r="F21" s="11"/>
      <c r="G21" s="425" t="s">
        <v>329</v>
      </c>
      <c r="H21" s="418">
        <f>w_pop*$H$5</f>
        <v>1953.5608312499999</v>
      </c>
      <c r="I21" s="419">
        <f t="shared" si="20"/>
        <v>390.71216625</v>
      </c>
      <c r="J21" s="419">
        <f t="shared" si="9"/>
        <v>1172.1364987499999</v>
      </c>
      <c r="K21" s="419">
        <f t="shared" si="10"/>
        <v>390.71216625</v>
      </c>
      <c r="L21" s="419">
        <f t="shared" si="11"/>
        <v>8.4018744230400007</v>
      </c>
      <c r="M21" s="420">
        <f t="shared" si="12"/>
        <v>43.209639889919998</v>
      </c>
      <c r="N21" s="421">
        <f t="shared" si="13"/>
        <v>18.004016620800002</v>
      </c>
      <c r="O21" s="422">
        <f t="shared" si="21"/>
        <v>69.615530933759999</v>
      </c>
      <c r="P21" s="423">
        <f>w_pop*$H$6</f>
        <v>4629.3604999999998</v>
      </c>
      <c r="Q21" s="419">
        <f t="shared" si="22"/>
        <v>925.87210000000005</v>
      </c>
      <c r="R21" s="419">
        <f t="shared" si="23"/>
        <v>2777.6162999999997</v>
      </c>
      <c r="S21" s="419">
        <f t="shared" si="24"/>
        <v>925.87210000000005</v>
      </c>
      <c r="T21" s="419">
        <f t="shared" si="14"/>
        <v>19.909953638399998</v>
      </c>
      <c r="U21" s="420">
        <f t="shared" si="15"/>
        <v>102.3940472832</v>
      </c>
      <c r="V21" s="421">
        <f t="shared" si="16"/>
        <v>42.664186368000003</v>
      </c>
      <c r="W21" s="422">
        <f t="shared" si="25"/>
        <v>164.9681872896</v>
      </c>
      <c r="X21" s="423">
        <f>w_pop*$H$7</f>
        <v>8230.2997749999995</v>
      </c>
      <c r="Y21" s="419">
        <f>$X21*$E$6</f>
        <v>1646.0599549999999</v>
      </c>
      <c r="Z21" s="419">
        <f>$X21*$E$7</f>
        <v>4938.1798649999992</v>
      </c>
      <c r="AA21" s="419">
        <f>$X21*$E$8</f>
        <v>1646.0599549999999</v>
      </c>
      <c r="AB21" s="419">
        <f t="shared" si="17"/>
        <v>35.396873272320001</v>
      </c>
      <c r="AC21" s="420">
        <f t="shared" si="18"/>
        <v>182.04106254335997</v>
      </c>
      <c r="AD21" s="421">
        <f t="shared" si="19"/>
        <v>75.85044272639999</v>
      </c>
      <c r="AE21" s="422">
        <f t="shared" si="26"/>
        <v>293.28837854207995</v>
      </c>
    </row>
    <row r="22" spans="1:31" ht="18" customHeight="1" x14ac:dyDescent="0.35">
      <c r="E22" s="11"/>
      <c r="F22" s="11"/>
      <c r="P22" s="12"/>
    </row>
    <row r="23" spans="1:31" ht="18" customHeight="1" x14ac:dyDescent="0.35">
      <c r="E23" s="11"/>
      <c r="F23" s="11"/>
      <c r="P23" s="12"/>
    </row>
    <row r="24" spans="1:31" ht="18" customHeight="1" thickBot="1" x14ac:dyDescent="0.4">
      <c r="E24" s="11"/>
      <c r="F24" s="11"/>
      <c r="P24" s="12"/>
    </row>
    <row r="25" spans="1:31" ht="16" thickBot="1" x14ac:dyDescent="0.4">
      <c r="A25" s="8" t="s">
        <v>12</v>
      </c>
      <c r="B25" t="s">
        <v>150</v>
      </c>
      <c r="M25" s="353" t="s">
        <v>337</v>
      </c>
      <c r="N25" s="353" t="s">
        <v>147</v>
      </c>
      <c r="O25" s="354" t="s">
        <v>349</v>
      </c>
    </row>
    <row r="26" spans="1:31" ht="15.5" x14ac:dyDescent="0.35">
      <c r="B26" t="s">
        <v>23</v>
      </c>
      <c r="D26" s="85">
        <f>down_song</f>
        <v>7.1999999999999998E-3</v>
      </c>
      <c r="M26" s="368" t="s">
        <v>45</v>
      </c>
      <c r="N26" s="351">
        <f>'CPU (Workload)'!E15</f>
        <v>1397.3968749999999</v>
      </c>
      <c r="O26" s="352">
        <f t="shared" ref="O26:O28" si="27">N26*$D$26*8</f>
        <v>80.490059999999986</v>
      </c>
    </row>
    <row r="27" spans="1:31" ht="18" customHeight="1" x14ac:dyDescent="0.35">
      <c r="B27" t="s">
        <v>13</v>
      </c>
      <c r="D27" s="32">
        <f>down_req</f>
        <v>4</v>
      </c>
      <c r="M27" s="303" t="s">
        <v>46</v>
      </c>
      <c r="N27" s="321">
        <f>'CPU (Workload)'!E16</f>
        <v>3311.4166666666665</v>
      </c>
      <c r="O27" s="331">
        <f t="shared" si="27"/>
        <v>190.73759999999999</v>
      </c>
    </row>
    <row r="28" spans="1:31" ht="18" customHeight="1" thickBot="1" x14ac:dyDescent="0.4">
      <c r="M28" s="304" t="s">
        <v>47</v>
      </c>
      <c r="N28" s="322">
        <f>'CPU (Workload)'!E17</f>
        <v>5887.1958333333332</v>
      </c>
      <c r="O28" s="332">
        <f t="shared" si="27"/>
        <v>339.10247999999996</v>
      </c>
    </row>
    <row r="29" spans="1:31" ht="18" customHeight="1" thickBot="1" x14ac:dyDescent="0.4"/>
    <row r="30" spans="1:31" ht="18" customHeight="1" x14ac:dyDescent="0.35">
      <c r="G30" s="567" t="s">
        <v>337</v>
      </c>
      <c r="H30" s="569" t="s">
        <v>348</v>
      </c>
      <c r="I30" s="569"/>
      <c r="J30" s="569"/>
      <c r="K30" s="569"/>
      <c r="L30" s="570"/>
    </row>
    <row r="31" spans="1:31" ht="18" customHeight="1" thickBot="1" x14ac:dyDescent="0.4">
      <c r="G31" s="568"/>
      <c r="H31" s="349" t="s">
        <v>327</v>
      </c>
      <c r="I31" s="349" t="s">
        <v>330</v>
      </c>
      <c r="J31" s="349" t="s">
        <v>328</v>
      </c>
      <c r="K31" s="349" t="s">
        <v>329</v>
      </c>
      <c r="L31" s="350" t="s">
        <v>136</v>
      </c>
    </row>
    <row r="32" spans="1:31" ht="18" customHeight="1" x14ac:dyDescent="0.35">
      <c r="G32" s="398" t="s">
        <v>45</v>
      </c>
      <c r="H32" s="358">
        <f>$O26*ne_pop</f>
        <v>14.423818751999997</v>
      </c>
      <c r="I32" s="358">
        <f>$O26*mw_pop</f>
        <v>17.450245007999996</v>
      </c>
      <c r="J32" s="358">
        <f>$O26*s_pop</f>
        <v>29.861812259999994</v>
      </c>
      <c r="K32" s="358">
        <f>$O26*w_pop</f>
        <v>18.754183979999997</v>
      </c>
      <c r="L32" s="399">
        <f>SUM(H32:K32)</f>
        <v>80.490059999999986</v>
      </c>
    </row>
    <row r="33" spans="1:16" ht="18" customHeight="1" x14ac:dyDescent="0.35">
      <c r="G33" s="394" t="s">
        <v>46</v>
      </c>
      <c r="H33" s="301">
        <f>$O27*ne_pop</f>
        <v>34.180177919999998</v>
      </c>
      <c r="I33" s="301">
        <f>$O27*mw_pop</f>
        <v>41.351911679999994</v>
      </c>
      <c r="J33" s="301">
        <f>$O27*s_pop</f>
        <v>70.763649599999994</v>
      </c>
      <c r="K33" s="301">
        <f>$O27*w_pop</f>
        <v>44.441860800000001</v>
      </c>
      <c r="L33" s="395">
        <f t="shared" ref="L33:L34" si="28">SUM(H33:K33)</f>
        <v>190.73759999999999</v>
      </c>
    </row>
    <row r="34" spans="1:16" ht="18" customHeight="1" thickBot="1" x14ac:dyDescent="0.4">
      <c r="G34" s="396" t="s">
        <v>47</v>
      </c>
      <c r="H34" s="314">
        <f>$O28*ne_pop</f>
        <v>60.767164415999993</v>
      </c>
      <c r="I34" s="314">
        <f>$O28*mw_pop</f>
        <v>73.517417663999993</v>
      </c>
      <c r="J34" s="314">
        <f>$O28*s_pop</f>
        <v>125.80702007999999</v>
      </c>
      <c r="K34" s="314">
        <f>$O28*w_pop</f>
        <v>79.010877839999992</v>
      </c>
      <c r="L34" s="397">
        <f t="shared" si="28"/>
        <v>339.10247999999996</v>
      </c>
    </row>
    <row r="37" spans="1:16" ht="18" customHeight="1" thickBot="1" x14ac:dyDescent="0.4">
      <c r="H37" t="s">
        <v>45</v>
      </c>
      <c r="J37" t="s">
        <v>46</v>
      </c>
      <c r="L37" t="s">
        <v>47</v>
      </c>
    </row>
    <row r="38" spans="1:16" ht="31" x14ac:dyDescent="0.35">
      <c r="G38" s="429" t="s">
        <v>331</v>
      </c>
      <c r="H38" s="338" t="s">
        <v>147</v>
      </c>
      <c r="I38" s="330" t="s">
        <v>349</v>
      </c>
      <c r="J38" s="338" t="s">
        <v>147</v>
      </c>
      <c r="K38" s="330" t="s">
        <v>349</v>
      </c>
      <c r="L38" s="338" t="s">
        <v>147</v>
      </c>
      <c r="M38" s="330" t="s">
        <v>349</v>
      </c>
    </row>
    <row r="39" spans="1:16" ht="18" customHeight="1" x14ac:dyDescent="0.35">
      <c r="G39" s="289" t="s">
        <v>327</v>
      </c>
      <c r="H39" s="323">
        <f>$N$26*ne_pop</f>
        <v>250.41351999999998</v>
      </c>
      <c r="I39" s="393">
        <f t="shared" ref="I39:M42" si="29">H39*$D$26*8</f>
        <v>14.423818751999999</v>
      </c>
      <c r="J39" s="323">
        <f>$N$27*ne_pop</f>
        <v>593.40586666666661</v>
      </c>
      <c r="K39" s="393">
        <f t="shared" si="29"/>
        <v>34.180177919999998</v>
      </c>
      <c r="L39" s="323">
        <f>$N$28*ne_pop</f>
        <v>1054.9854933333334</v>
      </c>
      <c r="M39" s="393">
        <f t="shared" si="29"/>
        <v>60.767164416</v>
      </c>
    </row>
    <row r="40" spans="1:16" ht="18" customHeight="1" x14ac:dyDescent="0.35">
      <c r="G40" s="381" t="s">
        <v>330</v>
      </c>
      <c r="H40" s="324">
        <f>$N$26*mw_pop</f>
        <v>302.95564249999995</v>
      </c>
      <c r="I40" s="395">
        <f t="shared" si="29"/>
        <v>17.450245007999996</v>
      </c>
      <c r="J40" s="324">
        <f>$N$27*mw_pop</f>
        <v>717.9151333333333</v>
      </c>
      <c r="K40" s="395">
        <f t="shared" si="29"/>
        <v>41.351911679999994</v>
      </c>
      <c r="L40" s="324">
        <f>$N$28*mw_pop</f>
        <v>1276.3440566666666</v>
      </c>
      <c r="M40" s="395">
        <f t="shared" si="29"/>
        <v>73.517417663999993</v>
      </c>
    </row>
    <row r="41" spans="1:16" ht="18" customHeight="1" x14ac:dyDescent="0.35">
      <c r="G41" s="289" t="s">
        <v>328</v>
      </c>
      <c r="H41" s="323">
        <f>$N$26*s_pop</f>
        <v>518.43424062499992</v>
      </c>
      <c r="I41" s="393">
        <f t="shared" si="29"/>
        <v>29.861812259999994</v>
      </c>
      <c r="J41" s="323">
        <f>$N$27*s_pop</f>
        <v>1228.5355833333333</v>
      </c>
      <c r="K41" s="393">
        <f t="shared" si="29"/>
        <v>70.763649599999994</v>
      </c>
      <c r="L41" s="323">
        <f>$N$28*s_pop</f>
        <v>2184.1496541666666</v>
      </c>
      <c r="M41" s="393">
        <f t="shared" si="29"/>
        <v>125.80702007999999</v>
      </c>
    </row>
    <row r="42" spans="1:16" ht="18" customHeight="1" thickBot="1" x14ac:dyDescent="0.4">
      <c r="G42" s="425" t="s">
        <v>329</v>
      </c>
      <c r="H42" s="418">
        <f>$N$26*w_pop</f>
        <v>325.59347187499998</v>
      </c>
      <c r="I42" s="430">
        <f t="shared" si="29"/>
        <v>18.754183979999997</v>
      </c>
      <c r="J42" s="418">
        <f>$N$27*w_pop</f>
        <v>771.5600833333333</v>
      </c>
      <c r="K42" s="430">
        <f t="shared" si="29"/>
        <v>44.441860799999994</v>
      </c>
      <c r="L42" s="418">
        <f>$N$28*w_pop</f>
        <v>1371.7166291666667</v>
      </c>
      <c r="M42" s="430">
        <f t="shared" si="29"/>
        <v>79.010877840000006</v>
      </c>
    </row>
    <row r="45" spans="1:16" ht="18" customHeight="1" thickBot="1" x14ac:dyDescent="0.4"/>
    <row r="46" spans="1:16" ht="18" customHeight="1" thickBot="1" x14ac:dyDescent="0.4">
      <c r="A46" s="8" t="s">
        <v>15</v>
      </c>
      <c r="M46" s="353" t="s">
        <v>337</v>
      </c>
      <c r="N46" s="354" t="s">
        <v>148</v>
      </c>
      <c r="O46" s="354" t="s">
        <v>128</v>
      </c>
    </row>
    <row r="47" spans="1:16" ht="15.5" x14ac:dyDescent="0.35">
      <c r="B47" t="s">
        <v>127</v>
      </c>
      <c r="D47" s="84">
        <f>req_size</f>
        <v>2.0000000000000001E-4</v>
      </c>
      <c r="M47" s="368" t="s">
        <v>45</v>
      </c>
      <c r="N47" s="351">
        <f>'CPU (Workload)'!F15</f>
        <v>5589.5874999999996</v>
      </c>
      <c r="O47" s="352">
        <f t="shared" ref="O47:O49" si="30">N47*$D$47*8</f>
        <v>8.9433399999999992</v>
      </c>
      <c r="P47">
        <f>O47/O91</f>
        <v>2.3037228160707707E-2</v>
      </c>
    </row>
    <row r="48" spans="1:16" ht="18" customHeight="1" x14ac:dyDescent="0.35">
      <c r="B48" t="s">
        <v>14</v>
      </c>
      <c r="D48" s="32">
        <f>perm_req</f>
        <v>16</v>
      </c>
      <c r="E48" s="9"/>
      <c r="M48" s="303" t="s">
        <v>46</v>
      </c>
      <c r="N48" s="321">
        <f>'CPU (Workload)'!F16</f>
        <v>13245.666666666666</v>
      </c>
      <c r="O48" s="331">
        <f t="shared" si="30"/>
        <v>21.193066666666667</v>
      </c>
      <c r="P48">
        <f>O48/O92</f>
        <v>2.3037228160707707E-2</v>
      </c>
    </row>
    <row r="49" spans="1:16" ht="18" customHeight="1" thickBot="1" x14ac:dyDescent="0.4">
      <c r="M49" s="304" t="s">
        <v>47</v>
      </c>
      <c r="N49" s="322">
        <f>'CPU (Workload)'!F17</f>
        <v>23548.783333333333</v>
      </c>
      <c r="O49" s="332">
        <f t="shared" si="30"/>
        <v>37.678053333333331</v>
      </c>
      <c r="P49">
        <f>O49/O93</f>
        <v>2.3037228160707707E-2</v>
      </c>
    </row>
    <row r="50" spans="1:16" ht="18" customHeight="1" thickBot="1" x14ac:dyDescent="0.4">
      <c r="O50" s="42"/>
    </row>
    <row r="51" spans="1:16" ht="15.5" x14ac:dyDescent="0.35">
      <c r="G51" s="567" t="s">
        <v>337</v>
      </c>
      <c r="H51" s="569" t="s">
        <v>348</v>
      </c>
      <c r="I51" s="569"/>
      <c r="J51" s="569"/>
      <c r="K51" s="569"/>
      <c r="L51" s="570"/>
      <c r="P51" s="2"/>
    </row>
    <row r="52" spans="1:16" ht="16" thickBot="1" x14ac:dyDescent="0.4">
      <c r="G52" s="568"/>
      <c r="H52" s="349" t="s">
        <v>327</v>
      </c>
      <c r="I52" s="349" t="s">
        <v>330</v>
      </c>
      <c r="J52" s="349" t="s">
        <v>328</v>
      </c>
      <c r="K52" s="349" t="s">
        <v>329</v>
      </c>
      <c r="L52" s="350" t="s">
        <v>136</v>
      </c>
      <c r="P52" s="2"/>
    </row>
    <row r="53" spans="1:16" ht="15.5" x14ac:dyDescent="0.35">
      <c r="G53" s="398" t="s">
        <v>45</v>
      </c>
      <c r="H53" s="358">
        <f>$O47*ne_pop</f>
        <v>1.6026465279999997</v>
      </c>
      <c r="I53" s="358">
        <f>$O47*mw_pop</f>
        <v>1.9389161119999998</v>
      </c>
      <c r="J53" s="358">
        <f>$O47*s_pop</f>
        <v>3.3179791399999998</v>
      </c>
      <c r="K53" s="358">
        <f>$O47*w_pop</f>
        <v>2.0837982199999998</v>
      </c>
      <c r="L53" s="399">
        <f>SUM(H53:K53)</f>
        <v>8.9433399999999992</v>
      </c>
      <c r="P53" s="2"/>
    </row>
    <row r="54" spans="1:16" ht="15.5" x14ac:dyDescent="0.35">
      <c r="G54" s="394" t="s">
        <v>46</v>
      </c>
      <c r="H54" s="301">
        <f>$O48*ne_pop</f>
        <v>3.7977975466666667</v>
      </c>
      <c r="I54" s="301">
        <f>$O48*mw_pop</f>
        <v>4.5946568533333334</v>
      </c>
      <c r="J54" s="301">
        <f>$O48*s_pop</f>
        <v>7.8626277333333334</v>
      </c>
      <c r="K54" s="301">
        <f>$O48*w_pop</f>
        <v>4.9379845333333332</v>
      </c>
      <c r="L54" s="395">
        <f t="shared" ref="L54:L55" si="31">SUM(H54:K54)</f>
        <v>21.193066666666667</v>
      </c>
      <c r="P54" s="2"/>
    </row>
    <row r="55" spans="1:16" ht="16" thickBot="1" x14ac:dyDescent="0.4">
      <c r="G55" s="396" t="s">
        <v>47</v>
      </c>
      <c r="H55" s="314">
        <f>$O49*ne_pop</f>
        <v>6.7519071573333331</v>
      </c>
      <c r="I55" s="314">
        <f>$O49*mw_pop</f>
        <v>8.1686019626666653</v>
      </c>
      <c r="J55" s="314">
        <f>$O49*s_pop</f>
        <v>13.978557786666666</v>
      </c>
      <c r="K55" s="314">
        <f>$O49*w_pop</f>
        <v>8.7789864266666662</v>
      </c>
      <c r="L55" s="397">
        <f t="shared" si="31"/>
        <v>37.678053333333331</v>
      </c>
      <c r="P55" s="2"/>
    </row>
    <row r="56" spans="1:16" ht="15.5" x14ac:dyDescent="0.35">
      <c r="P56" s="2"/>
    </row>
    <row r="57" spans="1:16" ht="15.5" x14ac:dyDescent="0.35">
      <c r="P57" s="2"/>
    </row>
    <row r="58" spans="1:16" ht="15.5" x14ac:dyDescent="0.35">
      <c r="P58" s="2"/>
    </row>
    <row r="59" spans="1:16" ht="16" thickBot="1" x14ac:dyDescent="0.4">
      <c r="P59" s="2"/>
    </row>
    <row r="60" spans="1:16" ht="15.5" x14ac:dyDescent="0.35">
      <c r="A60" s="8" t="s">
        <v>487</v>
      </c>
      <c r="G60" s="567" t="s">
        <v>337</v>
      </c>
      <c r="H60" s="569" t="s">
        <v>495</v>
      </c>
      <c r="I60" s="569"/>
      <c r="J60" s="569"/>
      <c r="K60" s="569"/>
      <c r="L60" s="570"/>
      <c r="P60" s="2"/>
    </row>
    <row r="61" spans="1:16" ht="16" thickBot="1" x14ac:dyDescent="0.4">
      <c r="G61" s="568"/>
      <c r="H61" s="349" t="s">
        <v>488</v>
      </c>
      <c r="I61" s="349" t="s">
        <v>490</v>
      </c>
      <c r="J61" s="349" t="s">
        <v>489</v>
      </c>
      <c r="K61" s="349" t="s">
        <v>491</v>
      </c>
      <c r="L61" s="349" t="s">
        <v>492</v>
      </c>
      <c r="P61" s="2"/>
    </row>
    <row r="62" spans="1:16" ht="15.5" x14ac:dyDescent="0.35">
      <c r="G62" s="398" t="s">
        <v>45</v>
      </c>
      <c r="H62" s="541">
        <f>50%*SUM('CPU (Workload)'!$I62:$J62)*api_size/10^9</f>
        <v>1.2724131116666667E-2</v>
      </c>
      <c r="I62" s="541">
        <f>20%*(SUM('CPU (Workload)'!D62:E62)+SUM('CPU (Workload)'!S62:T62))*api_size/10^9</f>
        <v>9.6769227449999985E-3</v>
      </c>
      <c r="J62" s="541">
        <f>50%*SUM('CPU (Workload)'!$N62:$O62)*api_size/10^9</f>
        <v>2.1774245441666663E-2</v>
      </c>
      <c r="K62" s="541">
        <f>50%*SUM('CPU (Workload)'!$I62:$J62)*api_size/10^9</f>
        <v>1.2724131116666667E-2</v>
      </c>
      <c r="L62" s="541">
        <f>50%*SUM('CPU (Workload)'!$N62:$O62)*api_size/10^9</f>
        <v>2.1774245441666663E-2</v>
      </c>
      <c r="P62" s="2"/>
    </row>
    <row r="63" spans="1:16" ht="15.5" x14ac:dyDescent="0.35">
      <c r="G63" s="394" t="s">
        <v>46</v>
      </c>
      <c r="H63" s="542">
        <f>50%*SUM('CPU (Workload)'!I63:J63)*api_size/10^9</f>
        <v>3.0152435599999992E-2</v>
      </c>
      <c r="I63" s="542">
        <f>20%*(SUM('CPU (Workload)'!D63:E63)+SUM('CPU (Workload)'!S63:T63))*api_size/10^9</f>
        <v>2.293142796E-2</v>
      </c>
      <c r="J63" s="542">
        <f>50%*SUM('CPU (Workload)'!N63:O63)*api_size/10^9</f>
        <v>5.1598494499999994E-2</v>
      </c>
      <c r="K63" s="542">
        <f>50%*SUM('CPU (Workload)'!$I63:$J63)*api_size/10^9</f>
        <v>3.0152435599999992E-2</v>
      </c>
      <c r="L63" s="542">
        <f>50%*SUM('CPU (Workload)'!$N63:$O63)*api_size/10^9</f>
        <v>5.1598494499999994E-2</v>
      </c>
      <c r="P63" s="2"/>
    </row>
    <row r="64" spans="1:16" ht="16" thickBot="1" x14ac:dyDescent="0.4">
      <c r="G64" s="396" t="s">
        <v>47</v>
      </c>
      <c r="H64" s="543">
        <f>50%*SUM('CPU (Workload)'!I64:J64)*api_size/10^9</f>
        <v>5.3606447445833323E-2</v>
      </c>
      <c r="I64" s="543">
        <f>20%*(SUM('CPU (Workload)'!D64:E64)+SUM('CPU (Workload)'!S64:T64))*api_size/10^9</f>
        <v>4.076859683166667E-2</v>
      </c>
      <c r="J64" s="543">
        <f>50%*SUM('CPU (Workload)'!N64:O64)*api_size/10^9</f>
        <v>9.1734285474999996E-2</v>
      </c>
      <c r="K64" s="543">
        <f>50%*SUM('CPU (Workload)'!$I64:$J64)*api_size/10^9</f>
        <v>5.3606447445833323E-2</v>
      </c>
      <c r="L64" s="543">
        <f>50%*SUM('CPU (Workload)'!$N64:$O64)*api_size/10^9</f>
        <v>9.1734285474999996E-2</v>
      </c>
      <c r="P64" s="2"/>
    </row>
    <row r="65" spans="16:16" ht="15.5" x14ac:dyDescent="0.35">
      <c r="P65" s="2"/>
    </row>
    <row r="66" spans="16:16" ht="15.5" x14ac:dyDescent="0.35">
      <c r="P66" s="2"/>
    </row>
    <row r="67" spans="16:16" ht="15.5" x14ac:dyDescent="0.35">
      <c r="P67" s="2"/>
    </row>
    <row r="68" spans="16:16" ht="15.5" x14ac:dyDescent="0.35">
      <c r="P68" s="2"/>
    </row>
    <row r="69" spans="16:16" ht="15.5" x14ac:dyDescent="0.35">
      <c r="P69" s="2"/>
    </row>
    <row r="70" spans="16:16" ht="15.5" x14ac:dyDescent="0.35">
      <c r="P70" s="2"/>
    </row>
    <row r="71" spans="16:16" ht="15.5" x14ac:dyDescent="0.35">
      <c r="P71" s="2"/>
    </row>
    <row r="72" spans="16:16" ht="15.5" x14ac:dyDescent="0.35">
      <c r="P72" s="2"/>
    </row>
    <row r="73" spans="16:16" ht="15.5" x14ac:dyDescent="0.35">
      <c r="P73" s="2"/>
    </row>
    <row r="74" spans="16:16" ht="15.5" x14ac:dyDescent="0.35">
      <c r="P74" s="2"/>
    </row>
    <row r="75" spans="16:16" ht="15.5" x14ac:dyDescent="0.35">
      <c r="P75" s="2"/>
    </row>
    <row r="76" spans="16:16" ht="15.5" x14ac:dyDescent="0.35">
      <c r="P76" s="2"/>
    </row>
    <row r="77" spans="16:16" ht="15.5" x14ac:dyDescent="0.35">
      <c r="P77" s="2"/>
    </row>
    <row r="78" spans="16:16" ht="15.5" x14ac:dyDescent="0.35">
      <c r="P78" s="2"/>
    </row>
    <row r="79" spans="16:16" ht="15.5" x14ac:dyDescent="0.35">
      <c r="P79" s="2"/>
    </row>
    <row r="80" spans="16:16" ht="15.5" x14ac:dyDescent="0.35">
      <c r="P80" s="2"/>
    </row>
    <row r="81" spans="1:16" ht="15.5" x14ac:dyDescent="0.35">
      <c r="P81" s="2"/>
    </row>
    <row r="82" spans="1:16" ht="15.5" x14ac:dyDescent="0.35">
      <c r="P82" s="2"/>
    </row>
    <row r="83" spans="1:16" ht="15.5" x14ac:dyDescent="0.35">
      <c r="P83" s="2"/>
    </row>
    <row r="84" spans="1:16" ht="15.5" x14ac:dyDescent="0.35">
      <c r="P84" s="2"/>
    </row>
    <row r="85" spans="1:16" ht="15.5" x14ac:dyDescent="0.35">
      <c r="P85" s="2"/>
    </row>
    <row r="86" spans="1:16" ht="15.5" x14ac:dyDescent="0.35">
      <c r="P86" s="2"/>
    </row>
    <row r="87" spans="1:16" ht="15.5" x14ac:dyDescent="0.35">
      <c r="P87" s="2"/>
    </row>
    <row r="88" spans="1:16" ht="15.5" x14ac:dyDescent="0.35">
      <c r="P88" s="2"/>
    </row>
    <row r="89" spans="1:16" ht="16" thickBot="1" x14ac:dyDescent="0.4">
      <c r="P89" s="2"/>
    </row>
    <row r="90" spans="1:16" ht="18" customHeight="1" thickBot="1" x14ac:dyDescent="0.4">
      <c r="A90" s="8" t="s">
        <v>185</v>
      </c>
      <c r="N90" s="353" t="s">
        <v>337</v>
      </c>
      <c r="O90" s="354" t="s">
        <v>128</v>
      </c>
      <c r="P90" s="2"/>
    </row>
    <row r="91" spans="1:16" ht="18" customHeight="1" x14ac:dyDescent="0.35">
      <c r="N91" s="386" t="s">
        <v>45</v>
      </c>
      <c r="O91" s="343">
        <f>SUM(O5,O26,O47)</f>
        <v>388.21250271999992</v>
      </c>
      <c r="P91" s="2"/>
    </row>
    <row r="92" spans="1:16" ht="18" customHeight="1" x14ac:dyDescent="0.35">
      <c r="N92" s="303" t="s">
        <v>46</v>
      </c>
      <c r="O92" s="331">
        <f>SUM(O6,O27,O48)</f>
        <v>919.94863786666656</v>
      </c>
      <c r="P92" s="2"/>
    </row>
    <row r="93" spans="1:16" ht="18" customHeight="1" thickBot="1" x14ac:dyDescent="0.4">
      <c r="N93" s="304" t="s">
        <v>47</v>
      </c>
      <c r="O93" s="332">
        <f>SUM(O7,O28,O49)</f>
        <v>1635.5289390933331</v>
      </c>
      <c r="P93" s="2"/>
    </row>
    <row r="94" spans="1:16" ht="18" customHeight="1" thickBot="1" x14ac:dyDescent="0.4"/>
    <row r="95" spans="1:16" ht="18" customHeight="1" x14ac:dyDescent="0.35">
      <c r="G95" s="480"/>
      <c r="H95" s="569" t="s">
        <v>348</v>
      </c>
      <c r="I95" s="569"/>
      <c r="J95" s="569"/>
      <c r="K95" s="569"/>
      <c r="L95" s="570"/>
    </row>
    <row r="96" spans="1:16" ht="18" customHeight="1" thickBot="1" x14ac:dyDescent="0.4">
      <c r="G96" s="437" t="s">
        <v>337</v>
      </c>
      <c r="H96" s="349" t="s">
        <v>327</v>
      </c>
      <c r="I96" s="349" t="s">
        <v>330</v>
      </c>
      <c r="J96" s="349" t="s">
        <v>328</v>
      </c>
      <c r="K96" s="349" t="s">
        <v>329</v>
      </c>
      <c r="L96" s="350" t="s">
        <v>136</v>
      </c>
    </row>
    <row r="97" spans="7:12" ht="18" customHeight="1" x14ac:dyDescent="0.35">
      <c r="G97" s="398" t="s">
        <v>45</v>
      </c>
      <c r="H97" s="358">
        <f>$O91*ne_pop</f>
        <v>69.567680487423985</v>
      </c>
      <c r="I97" s="358">
        <f>$O91*mw_pop</f>
        <v>84.164470589695981</v>
      </c>
      <c r="J97" s="358">
        <f>$O91*s_pop</f>
        <v>144.02683850911995</v>
      </c>
      <c r="K97" s="358">
        <f>$O91*w_pop</f>
        <v>90.453513133759984</v>
      </c>
      <c r="L97" s="399">
        <f>SUM(H97:K97)</f>
        <v>388.21250271999992</v>
      </c>
    </row>
    <row r="98" spans="7:12" ht="18" customHeight="1" x14ac:dyDescent="0.35">
      <c r="G98" s="394" t="s">
        <v>46</v>
      </c>
      <c r="H98" s="301">
        <f>$O92*ne_pop</f>
        <v>164.85479590570665</v>
      </c>
      <c r="I98" s="301">
        <f>$O92*mw_pop</f>
        <v>199.4448646894933</v>
      </c>
      <c r="J98" s="301">
        <f>$O92*s_pop</f>
        <v>341.30094464853329</v>
      </c>
      <c r="K98" s="301">
        <f>$O92*w_pop</f>
        <v>214.34803262293332</v>
      </c>
      <c r="L98" s="395">
        <f t="shared" ref="L98:L99" si="32">SUM(H98:K98)</f>
        <v>919.94863786666656</v>
      </c>
    </row>
    <row r="99" spans="7:12" ht="18" customHeight="1" thickBot="1" x14ac:dyDescent="0.4">
      <c r="G99" s="396" t="s">
        <v>47</v>
      </c>
      <c r="H99" s="314">
        <f>$O93*ne_pop</f>
        <v>293.08678588552527</v>
      </c>
      <c r="I99" s="314">
        <f>$O93*mw_pop</f>
        <v>354.58267399543462</v>
      </c>
      <c r="J99" s="314">
        <f>$O93*s_pop</f>
        <v>606.78123640362651</v>
      </c>
      <c r="K99" s="314">
        <f>$O93*w_pop</f>
        <v>381.07824280874661</v>
      </c>
      <c r="L99" s="397">
        <f t="shared" si="32"/>
        <v>1635.5289390933331</v>
      </c>
    </row>
  </sheetData>
  <mergeCells count="21">
    <mergeCell ref="O3:O4"/>
    <mergeCell ref="I3:K3"/>
    <mergeCell ref="L3:N3"/>
    <mergeCell ref="H9:L9"/>
    <mergeCell ref="G9:G10"/>
    <mergeCell ref="G30:G31"/>
    <mergeCell ref="H30:L30"/>
    <mergeCell ref="G51:G52"/>
    <mergeCell ref="H51:L51"/>
    <mergeCell ref="H95:L95"/>
    <mergeCell ref="G60:G61"/>
    <mergeCell ref="H60:L60"/>
    <mergeCell ref="I16:K16"/>
    <mergeCell ref="L16:N16"/>
    <mergeCell ref="O16:O17"/>
    <mergeCell ref="AE16:AE17"/>
    <mergeCell ref="Q16:S16"/>
    <mergeCell ref="T16:V16"/>
    <mergeCell ref="W16:W17"/>
    <mergeCell ref="Y16:AA16"/>
    <mergeCell ref="AB16:AD16"/>
  </mergeCells>
  <pageMargins left="0.7" right="0.7" top="0.75" bottom="0.75" header="0.3" footer="0.3"/>
  <ignoredErrors>
    <ignoredError sqref="J39 J40:J42 L39:L42 K6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4462-82A4-C747-88EA-AE2B6DDB8501}">
  <dimension ref="A1:X28"/>
  <sheetViews>
    <sheetView workbookViewId="0">
      <selection activeCell="G27" sqref="G27"/>
    </sheetView>
  </sheetViews>
  <sheetFormatPr defaultColWidth="11" defaultRowHeight="15.5" x14ac:dyDescent="0.35"/>
  <cols>
    <col min="1" max="1" width="18.5" bestFit="1" customWidth="1"/>
    <col min="3" max="3" width="10.6640625" customWidth="1"/>
    <col min="4" max="4" width="12.83203125" bestFit="1" customWidth="1"/>
    <col min="14" max="14" width="13" bestFit="1" customWidth="1"/>
  </cols>
  <sheetData>
    <row r="1" spans="1:24" ht="23.5" x14ac:dyDescent="0.55000000000000004">
      <c r="A1" s="35" t="s">
        <v>292</v>
      </c>
    </row>
    <row r="3" spans="1:24" ht="16" customHeight="1" thickBot="1" x14ac:dyDescent="0.4">
      <c r="A3" s="8" t="s">
        <v>5</v>
      </c>
      <c r="B3" t="s">
        <v>293</v>
      </c>
    </row>
    <row r="4" spans="1:24" x14ac:dyDescent="0.35">
      <c r="B4" t="s">
        <v>146</v>
      </c>
      <c r="G4" s="333"/>
      <c r="H4" s="559" t="s">
        <v>299</v>
      </c>
      <c r="I4" s="560"/>
      <c r="J4" s="560"/>
      <c r="K4" s="561"/>
      <c r="L4" s="559" t="s">
        <v>294</v>
      </c>
      <c r="M4" s="560"/>
      <c r="N4" s="561"/>
      <c r="O4" s="576" t="s">
        <v>340</v>
      </c>
    </row>
    <row r="5" spans="1:24" ht="47" thickBot="1" x14ac:dyDescent="0.4">
      <c r="B5" t="s">
        <v>1</v>
      </c>
      <c r="D5" s="30">
        <f>stream_dur</f>
        <v>192</v>
      </c>
      <c r="G5" s="344" t="s">
        <v>337</v>
      </c>
      <c r="H5" s="345" t="s">
        <v>295</v>
      </c>
      <c r="I5" s="346" t="s">
        <v>297</v>
      </c>
      <c r="J5" s="346" t="s">
        <v>298</v>
      </c>
      <c r="K5" s="347" t="s">
        <v>296</v>
      </c>
      <c r="L5" s="348" t="s">
        <v>2</v>
      </c>
      <c r="M5" s="349" t="s">
        <v>11</v>
      </c>
      <c r="N5" s="350" t="s">
        <v>8</v>
      </c>
      <c r="O5" s="577"/>
      <c r="U5" s="39" t="s">
        <v>313</v>
      </c>
      <c r="V5" s="39" t="s">
        <v>62</v>
      </c>
      <c r="W5" s="39" t="s">
        <v>322</v>
      </c>
      <c r="X5" s="3" t="s">
        <v>323</v>
      </c>
    </row>
    <row r="6" spans="1:24" ht="16" customHeight="1" x14ac:dyDescent="0.35">
      <c r="B6" t="s">
        <v>6</v>
      </c>
      <c r="C6" s="7" t="s">
        <v>3</v>
      </c>
      <c r="D6" s="7" t="s">
        <v>10</v>
      </c>
      <c r="E6" s="7" t="s">
        <v>4</v>
      </c>
      <c r="G6" s="386" t="s">
        <v>45</v>
      </c>
      <c r="H6" s="339">
        <f>'CPU (Workload)'!D15</f>
        <v>8384.3812499999985</v>
      </c>
      <c r="I6" s="340">
        <f t="shared" ref="I6:I8" si="0">$H6*$E$7</f>
        <v>1676.8762499999998</v>
      </c>
      <c r="J6" s="340">
        <f t="shared" ref="J6:J8" si="1">$H6*$E$8</f>
        <v>5030.6287499999989</v>
      </c>
      <c r="K6" s="341">
        <f t="shared" ref="K6:K8" si="2">$H6*$E$9</f>
        <v>1676.8762499999998</v>
      </c>
      <c r="L6" s="342">
        <f t="shared" ref="L6:N8" si="3">I6*$D$7/1000/1000/8</f>
        <v>4.507443359999999</v>
      </c>
      <c r="M6" s="340">
        <f t="shared" si="3"/>
        <v>13.522330079999996</v>
      </c>
      <c r="N6" s="341">
        <f t="shared" si="3"/>
        <v>4.507443359999999</v>
      </c>
      <c r="O6" s="343">
        <f t="shared" ref="O6:O8" si="4">SUM(L6:N6)</f>
        <v>22.537216799999996</v>
      </c>
      <c r="U6" s="263" t="s">
        <v>45</v>
      </c>
      <c r="V6" s="2">
        <f>O6</f>
        <v>22.537216799999996</v>
      </c>
      <c r="W6" s="2">
        <f>O13</f>
        <v>10.061257499999998</v>
      </c>
      <c r="X6" s="2">
        <f>O19</f>
        <v>1.1179174999999999</v>
      </c>
    </row>
    <row r="7" spans="1:24" x14ac:dyDescent="0.35">
      <c r="B7" s="10" t="s">
        <v>7</v>
      </c>
      <c r="C7" s="30">
        <f>stream_lbr</f>
        <v>112</v>
      </c>
      <c r="D7" s="1">
        <f>$D$5*C7</f>
        <v>21504</v>
      </c>
      <c r="E7" s="33">
        <f>lbr_percent</f>
        <v>0.2</v>
      </c>
      <c r="G7" s="303" t="s">
        <v>46</v>
      </c>
      <c r="H7" s="334">
        <f>'CPU (Workload)'!D16</f>
        <v>19868.499999999996</v>
      </c>
      <c r="I7" s="301">
        <f t="shared" si="0"/>
        <v>3973.6999999999994</v>
      </c>
      <c r="J7" s="301">
        <f t="shared" si="1"/>
        <v>11921.099999999997</v>
      </c>
      <c r="K7" s="305">
        <f t="shared" si="2"/>
        <v>3973.6999999999994</v>
      </c>
      <c r="L7" s="324">
        <f t="shared" si="3"/>
        <v>10.681305599999998</v>
      </c>
      <c r="M7" s="301">
        <f t="shared" si="3"/>
        <v>32.043916799999991</v>
      </c>
      <c r="N7" s="305">
        <f t="shared" si="3"/>
        <v>10.681305599999998</v>
      </c>
      <c r="O7" s="331">
        <f t="shared" si="4"/>
        <v>53.406527999999994</v>
      </c>
      <c r="U7" s="263" t="s">
        <v>46</v>
      </c>
      <c r="V7" s="2">
        <f>O7</f>
        <v>53.406527999999994</v>
      </c>
      <c r="W7" s="2">
        <f>O14</f>
        <v>23.842199999999998</v>
      </c>
      <c r="X7" s="2">
        <f>O20</f>
        <v>2.6491333333333333</v>
      </c>
    </row>
    <row r="8" spans="1:24" ht="16" thickBot="1" x14ac:dyDescent="0.4">
      <c r="B8" s="10" t="s">
        <v>11</v>
      </c>
      <c r="C8" s="30">
        <f>stream_sbr</f>
        <v>192</v>
      </c>
      <c r="D8" s="1">
        <f>$D$5*C8</f>
        <v>36864</v>
      </c>
      <c r="E8" s="33">
        <f>sbr_percent</f>
        <v>0.6</v>
      </c>
      <c r="G8" s="304" t="s">
        <v>47</v>
      </c>
      <c r="H8" s="335">
        <f>'CPU (Workload)'!D17</f>
        <v>35323.174999999996</v>
      </c>
      <c r="I8" s="314">
        <f t="shared" si="0"/>
        <v>7064.6349999999993</v>
      </c>
      <c r="J8" s="314">
        <f t="shared" si="1"/>
        <v>21193.904999999995</v>
      </c>
      <c r="K8" s="308">
        <f t="shared" si="2"/>
        <v>7064.6349999999993</v>
      </c>
      <c r="L8" s="325">
        <f t="shared" si="3"/>
        <v>18.989738879999997</v>
      </c>
      <c r="M8" s="314">
        <f t="shared" si="3"/>
        <v>56.969216639999985</v>
      </c>
      <c r="N8" s="308">
        <f t="shared" si="3"/>
        <v>18.989738879999997</v>
      </c>
      <c r="O8" s="332">
        <f t="shared" si="4"/>
        <v>94.948694399999994</v>
      </c>
      <c r="U8" s="263" t="s">
        <v>47</v>
      </c>
      <c r="V8" s="2">
        <f>O8</f>
        <v>94.948694399999994</v>
      </c>
      <c r="W8" s="2">
        <f>O15</f>
        <v>42.387809999999995</v>
      </c>
      <c r="X8" s="2">
        <f>O21</f>
        <v>4.7097566666666664</v>
      </c>
    </row>
    <row r="9" spans="1:24" x14ac:dyDescent="0.35">
      <c r="B9" s="10" t="s">
        <v>8</v>
      </c>
      <c r="C9" s="30">
        <f>stream_hbr</f>
        <v>240</v>
      </c>
      <c r="D9" s="1">
        <f>$D$5*C9</f>
        <v>46080</v>
      </c>
      <c r="E9" s="33">
        <f>hbr_percent</f>
        <v>0.2</v>
      </c>
    </row>
    <row r="11" spans="1:24" ht="16" thickBot="1" x14ac:dyDescent="0.4"/>
    <row r="12" spans="1:24" ht="31.5" thickBot="1" x14ac:dyDescent="0.4">
      <c r="A12" s="8" t="s">
        <v>12</v>
      </c>
      <c r="B12" t="s">
        <v>150</v>
      </c>
      <c r="M12" s="353" t="s">
        <v>337</v>
      </c>
      <c r="N12" s="354" t="s">
        <v>300</v>
      </c>
      <c r="O12" s="354" t="s">
        <v>338</v>
      </c>
    </row>
    <row r="13" spans="1:24" x14ac:dyDescent="0.35">
      <c r="B13" t="s">
        <v>23</v>
      </c>
      <c r="D13" s="85">
        <f>down_song</f>
        <v>7.1999999999999998E-3</v>
      </c>
      <c r="M13" s="368" t="s">
        <v>45</v>
      </c>
      <c r="N13" s="351">
        <f>'CPU (Workload)'!E15</f>
        <v>1397.3968749999999</v>
      </c>
      <c r="O13" s="352">
        <f t="shared" ref="O13:O15" si="5">N13*$D$13</f>
        <v>10.061257499999998</v>
      </c>
    </row>
    <row r="14" spans="1:24" x14ac:dyDescent="0.35">
      <c r="B14" t="s">
        <v>13</v>
      </c>
      <c r="D14" s="32">
        <f>down_req</f>
        <v>4</v>
      </c>
      <c r="M14" s="303" t="s">
        <v>46</v>
      </c>
      <c r="N14" s="321">
        <f>'CPU (Workload)'!E16</f>
        <v>3311.4166666666665</v>
      </c>
      <c r="O14" s="331">
        <f t="shared" si="5"/>
        <v>23.842199999999998</v>
      </c>
    </row>
    <row r="15" spans="1:24" ht="16" thickBot="1" x14ac:dyDescent="0.4">
      <c r="M15" s="304" t="s">
        <v>47</v>
      </c>
      <c r="N15" s="322">
        <f>'CPU (Workload)'!E17</f>
        <v>5887.1958333333332</v>
      </c>
      <c r="O15" s="332">
        <f t="shared" si="5"/>
        <v>42.387809999999995</v>
      </c>
    </row>
    <row r="17" spans="1:15" ht="16" thickBot="1" x14ac:dyDescent="0.4"/>
    <row r="18" spans="1:15" ht="31.5" thickBot="1" x14ac:dyDescent="0.4">
      <c r="A18" s="8" t="s">
        <v>15</v>
      </c>
      <c r="M18" s="353" t="s">
        <v>337</v>
      </c>
      <c r="N18" s="354" t="s">
        <v>339</v>
      </c>
      <c r="O18" s="354" t="s">
        <v>338</v>
      </c>
    </row>
    <row r="19" spans="1:15" x14ac:dyDescent="0.35">
      <c r="B19" t="s">
        <v>127</v>
      </c>
      <c r="D19" s="84">
        <f>req_size</f>
        <v>2.0000000000000001E-4</v>
      </c>
      <c r="M19" s="368" t="s">
        <v>45</v>
      </c>
      <c r="N19" s="351">
        <f>'CPU (Workload)'!F15</f>
        <v>5589.5874999999996</v>
      </c>
      <c r="O19" s="352">
        <f t="shared" ref="O19:O21" si="6">$D$19*N19</f>
        <v>1.1179174999999999</v>
      </c>
    </row>
    <row r="20" spans="1:15" x14ac:dyDescent="0.35">
      <c r="B20" t="s">
        <v>14</v>
      </c>
      <c r="D20" s="32">
        <f>perm_req</f>
        <v>16</v>
      </c>
      <c r="E20" s="9"/>
      <c r="M20" s="303" t="s">
        <v>46</v>
      </c>
      <c r="N20" s="321">
        <f>'CPU (Workload)'!F16</f>
        <v>13245.666666666666</v>
      </c>
      <c r="O20" s="331">
        <f t="shared" si="6"/>
        <v>2.6491333333333333</v>
      </c>
    </row>
    <row r="21" spans="1:15" ht="16" thickBot="1" x14ac:dyDescent="0.4">
      <c r="M21" s="304" t="s">
        <v>47</v>
      </c>
      <c r="N21" s="322">
        <f>'CPU (Workload)'!F17</f>
        <v>23548.783333333333</v>
      </c>
      <c r="O21" s="332">
        <f t="shared" si="6"/>
        <v>4.7097566666666664</v>
      </c>
    </row>
    <row r="22" spans="1:15" x14ac:dyDescent="0.35">
      <c r="O22" s="42"/>
    </row>
    <row r="23" spans="1:15" ht="16" thickBot="1" x14ac:dyDescent="0.4"/>
    <row r="24" spans="1:15" ht="16" thickBot="1" x14ac:dyDescent="0.4">
      <c r="A24" s="8" t="s">
        <v>341</v>
      </c>
      <c r="N24" s="353" t="s">
        <v>337</v>
      </c>
      <c r="O24" s="356" t="s">
        <v>338</v>
      </c>
    </row>
    <row r="25" spans="1:15" x14ac:dyDescent="0.35">
      <c r="N25" s="368" t="s">
        <v>45</v>
      </c>
      <c r="O25" s="355">
        <f>SUM(O6,O13,O19)</f>
        <v>33.71639179999999</v>
      </c>
    </row>
    <row r="26" spans="1:15" x14ac:dyDescent="0.35">
      <c r="N26" s="303" t="s">
        <v>46</v>
      </c>
      <c r="O26" s="326">
        <f>SUM(O7,O14,O20)</f>
        <v>79.897861333333339</v>
      </c>
    </row>
    <row r="27" spans="1:15" ht="16" thickBot="1" x14ac:dyDescent="0.4">
      <c r="N27" s="304" t="s">
        <v>47</v>
      </c>
      <c r="O27" s="327">
        <f>SUM(O8,O15,O21)</f>
        <v>142.04626106666666</v>
      </c>
    </row>
    <row r="28" spans="1:15" ht="18" customHeight="1" x14ac:dyDescent="0.35">
      <c r="A28" s="8"/>
    </row>
  </sheetData>
  <mergeCells count="3">
    <mergeCell ref="L4:N4"/>
    <mergeCell ref="H4:K4"/>
    <mergeCell ref="O4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DF17-A10B-784B-B67C-53D3273CBB9C}">
  <dimension ref="A1:P25"/>
  <sheetViews>
    <sheetView topLeftCell="A2" zoomScaleNormal="100" workbookViewId="0">
      <selection activeCell="F27" sqref="F27"/>
    </sheetView>
  </sheetViews>
  <sheetFormatPr defaultColWidth="10.6640625" defaultRowHeight="15.5" x14ac:dyDescent="0.35"/>
  <cols>
    <col min="1" max="1" width="31.5" customWidth="1"/>
    <col min="2" max="2" width="13.83203125" customWidth="1"/>
    <col min="3" max="3" width="13" bestFit="1" customWidth="1"/>
    <col min="4" max="4" width="15.33203125" customWidth="1"/>
    <col min="5" max="5" width="14.83203125" customWidth="1"/>
    <col min="6" max="6" width="17.1640625" customWidth="1"/>
    <col min="7" max="7" width="19.33203125" customWidth="1"/>
    <col min="8" max="9" width="17.33203125" customWidth="1"/>
    <col min="10" max="10" width="15.1640625" bestFit="1" customWidth="1"/>
    <col min="12" max="12" width="13.5" customWidth="1"/>
    <col min="13" max="13" width="15" bestFit="1" customWidth="1"/>
    <col min="14" max="14" width="17.6640625" bestFit="1" customWidth="1"/>
    <col min="15" max="15" width="18.1640625" customWidth="1"/>
    <col min="16" max="17" width="15" customWidth="1"/>
    <col min="18" max="18" width="15.6640625" customWidth="1"/>
  </cols>
  <sheetData>
    <row r="1" spans="1:5" ht="23.5" x14ac:dyDescent="0.55000000000000004">
      <c r="A1" s="35" t="s">
        <v>26</v>
      </c>
    </row>
    <row r="3" spans="1:5" x14ac:dyDescent="0.35">
      <c r="A3" t="s">
        <v>16</v>
      </c>
      <c r="C3" s="6"/>
      <c r="D3" s="37">
        <f>tot_songs</f>
        <v>40000000</v>
      </c>
      <c r="E3" t="s">
        <v>17</v>
      </c>
    </row>
    <row r="5" spans="1:5" x14ac:dyDescent="0.35">
      <c r="A5" t="s">
        <v>108</v>
      </c>
    </row>
    <row r="7" spans="1:5" ht="16" thickBot="1" x14ac:dyDescent="0.4">
      <c r="A7" s="8" t="s">
        <v>18</v>
      </c>
    </row>
    <row r="8" spans="1:5" ht="31.5" thickBot="1" x14ac:dyDescent="0.4">
      <c r="B8" t="s">
        <v>25</v>
      </c>
      <c r="C8" t="s">
        <v>21</v>
      </c>
      <c r="D8" t="s">
        <v>23</v>
      </c>
      <c r="E8" s="13" t="s">
        <v>107</v>
      </c>
    </row>
    <row r="9" spans="1:5" x14ac:dyDescent="0.35">
      <c r="A9" s="10" t="s">
        <v>19</v>
      </c>
      <c r="B9" s="30">
        <f>stream_lbr</f>
        <v>112</v>
      </c>
      <c r="C9" s="30">
        <f>stream_dur</f>
        <v>192</v>
      </c>
      <c r="D9" s="89">
        <f>B9*C9/8/1000000</f>
        <v>2.6879999999999999E-3</v>
      </c>
      <c r="E9" s="15">
        <f>D9*tot_songs</f>
        <v>107520</v>
      </c>
    </row>
    <row r="10" spans="1:5" x14ac:dyDescent="0.35">
      <c r="A10" s="10" t="s">
        <v>20</v>
      </c>
      <c r="B10" s="30">
        <f>stream_sbr</f>
        <v>192</v>
      </c>
      <c r="C10" s="30">
        <f>stream_dur</f>
        <v>192</v>
      </c>
      <c r="D10" s="89">
        <f t="shared" ref="D10:D11" si="0">B10*C10/8/1000000</f>
        <v>4.6080000000000001E-3</v>
      </c>
      <c r="E10" s="16">
        <f>D10*tot_songs</f>
        <v>184320</v>
      </c>
    </row>
    <row r="11" spans="1:5" ht="16" thickBot="1" x14ac:dyDescent="0.4">
      <c r="A11" s="10" t="s">
        <v>22</v>
      </c>
      <c r="B11" s="36">
        <f>stream_hbr</f>
        <v>240</v>
      </c>
      <c r="C11" s="30">
        <f>stream_dur</f>
        <v>192</v>
      </c>
      <c r="D11" s="89">
        <f t="shared" si="0"/>
        <v>5.7600000000000004E-3</v>
      </c>
      <c r="E11" s="17">
        <f>D11*tot_songs</f>
        <v>230400</v>
      </c>
    </row>
    <row r="13" spans="1:5" ht="16" thickBot="1" x14ac:dyDescent="0.4">
      <c r="A13" s="8" t="s">
        <v>24</v>
      </c>
    </row>
    <row r="14" spans="1:5" ht="31.5" thickBot="1" x14ac:dyDescent="0.4">
      <c r="D14" t="s">
        <v>23</v>
      </c>
      <c r="E14" s="13" t="s">
        <v>107</v>
      </c>
    </row>
    <row r="15" spans="1:5" ht="16" thickBot="1" x14ac:dyDescent="0.4">
      <c r="D15" s="30">
        <f>down_song</f>
        <v>7.1999999999999998E-3</v>
      </c>
      <c r="E15" s="17">
        <f>D15*tot_songs</f>
        <v>288000</v>
      </c>
    </row>
    <row r="17" spans="1:16" x14ac:dyDescent="0.35">
      <c r="A17" s="8" t="s">
        <v>57</v>
      </c>
    </row>
    <row r="19" spans="1:16" x14ac:dyDescent="0.35">
      <c r="A19" t="s">
        <v>109</v>
      </c>
      <c r="D19" s="11"/>
      <c r="E19" s="38"/>
      <c r="F19" s="4"/>
      <c r="G19" s="4"/>
      <c r="H19" s="4"/>
      <c r="I19" s="4"/>
      <c r="J19" s="2"/>
      <c r="K19" s="2"/>
      <c r="L19" s="2"/>
      <c r="M19" s="2"/>
      <c r="N19" s="12"/>
      <c r="O19" s="12"/>
      <c r="P19" s="12"/>
    </row>
    <row r="21" spans="1:16" x14ac:dyDescent="0.35">
      <c r="A21" s="10"/>
    </row>
    <row r="22" spans="1:16" x14ac:dyDescent="0.35">
      <c r="A22" s="10"/>
    </row>
    <row r="23" spans="1:16" x14ac:dyDescent="0.35">
      <c r="A23" s="10"/>
    </row>
    <row r="24" spans="1:16" x14ac:dyDescent="0.35">
      <c r="A24" s="10"/>
      <c r="O24" s="56"/>
    </row>
    <row r="25" spans="1:16" x14ac:dyDescent="0.35">
      <c r="A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189"/>
  <sheetViews>
    <sheetView topLeftCell="A27" zoomScaleNormal="100" workbookViewId="0">
      <selection activeCell="C46" sqref="C46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13" width="12.5" customWidth="1"/>
    <col min="14" max="14" width="6.33203125" customWidth="1"/>
    <col min="15" max="63" width="12.5" customWidth="1"/>
    <col min="64" max="65" width="11.6640625" customWidth="1"/>
    <col min="66" max="66" width="11.5" bestFit="1" customWidth="1"/>
    <col min="67" max="68" width="11.6640625" customWidth="1"/>
    <col min="69" max="69" width="12.5" bestFit="1" customWidth="1"/>
    <col min="70" max="76" width="11.6640625" customWidth="1"/>
    <col min="77" max="77" width="11.5" customWidth="1"/>
    <col min="78" max="80" width="11.5" bestFit="1" customWidth="1"/>
    <col min="81" max="81" width="23.6640625" bestFit="1" customWidth="1"/>
    <col min="82" max="82" width="10.5" bestFit="1" customWidth="1"/>
    <col min="83" max="84" width="11.5" bestFit="1" customWidth="1"/>
    <col min="85" max="85" width="12.5" bestFit="1" customWidth="1"/>
    <col min="86" max="86" width="11.5" bestFit="1" customWidth="1"/>
    <col min="87" max="87" width="11.6640625" customWidth="1"/>
    <col min="88" max="89" width="12.5" bestFit="1" customWidth="1"/>
  </cols>
  <sheetData>
    <row r="1" spans="1:10" ht="23.5" x14ac:dyDescent="0.55000000000000004">
      <c r="A1" s="61" t="s">
        <v>384</v>
      </c>
    </row>
    <row r="3" spans="1:10" x14ac:dyDescent="0.35">
      <c r="C3" s="6"/>
      <c r="D3" s="1"/>
    </row>
    <row r="4" spans="1:10" ht="21" x14ac:dyDescent="0.5">
      <c r="A4" s="54" t="s">
        <v>41</v>
      </c>
      <c r="C4" s="6"/>
      <c r="D4" s="1"/>
    </row>
    <row r="7" spans="1:10" x14ac:dyDescent="0.35">
      <c r="A7" t="s">
        <v>325</v>
      </c>
      <c r="C7" s="6"/>
      <c r="D7" s="1"/>
    </row>
    <row r="8" spans="1:10" x14ac:dyDescent="0.35">
      <c r="A8" t="s">
        <v>324</v>
      </c>
      <c r="C8" s="6"/>
      <c r="D8" s="1"/>
    </row>
    <row r="9" spans="1:10" x14ac:dyDescent="0.35">
      <c r="A9" t="s">
        <v>102</v>
      </c>
      <c r="C9" s="6"/>
      <c r="D9" s="1"/>
    </row>
    <row r="10" spans="1:10" x14ac:dyDescent="0.35">
      <c r="A10" t="s">
        <v>103</v>
      </c>
      <c r="C10" s="6"/>
      <c r="D10" s="1"/>
    </row>
    <row r="11" spans="1:10" x14ac:dyDescent="0.35">
      <c r="A11" t="s">
        <v>74</v>
      </c>
      <c r="C11" s="6"/>
      <c r="D11" s="1"/>
    </row>
    <row r="12" spans="1:10" x14ac:dyDescent="0.35">
      <c r="C12" s="6"/>
      <c r="D12" s="1"/>
    </row>
    <row r="13" spans="1:10" ht="21" x14ac:dyDescent="0.5">
      <c r="A13" s="190" t="s">
        <v>395</v>
      </c>
    </row>
    <row r="15" spans="1:10" x14ac:dyDescent="0.35">
      <c r="A15" s="8" t="s">
        <v>221</v>
      </c>
      <c r="B15" s="211" t="s">
        <v>274</v>
      </c>
      <c r="C15" s="39" t="s">
        <v>45</v>
      </c>
      <c r="D15" s="39" t="s">
        <v>46</v>
      </c>
      <c r="E15" s="39" t="s">
        <v>47</v>
      </c>
      <c r="G15" s="39"/>
      <c r="H15" s="39"/>
      <c r="I15" s="39"/>
      <c r="J15" s="39"/>
    </row>
    <row r="16" spans="1:10" x14ac:dyDescent="0.35">
      <c r="B16" s="202" t="s">
        <v>73</v>
      </c>
      <c r="C16" s="192">
        <f>BH88</f>
        <v>210</v>
      </c>
      <c r="D16" s="192">
        <f>SUM(BH88:BI88)</f>
        <v>497</v>
      </c>
      <c r="E16" s="193">
        <f>SUM(BH88:BJ88)</f>
        <v>881</v>
      </c>
      <c r="G16" s="31"/>
      <c r="H16" s="43"/>
    </row>
    <row r="17" spans="1:5" x14ac:dyDescent="0.35">
      <c r="B17" s="202" t="s">
        <v>311</v>
      </c>
      <c r="C17" s="193">
        <f>M128</f>
        <v>178</v>
      </c>
      <c r="D17" s="193">
        <f>N128</f>
        <v>419</v>
      </c>
      <c r="E17" s="193">
        <f>O128</f>
        <v>735</v>
      </c>
    </row>
    <row r="18" spans="1:5" x14ac:dyDescent="0.35">
      <c r="B18" s="202" t="s">
        <v>312</v>
      </c>
      <c r="C18" s="193">
        <f>P128</f>
        <v>7</v>
      </c>
      <c r="D18" s="193">
        <f>Q128</f>
        <v>16</v>
      </c>
      <c r="E18" s="193">
        <f>R128</f>
        <v>27</v>
      </c>
    </row>
    <row r="19" spans="1:5" x14ac:dyDescent="0.35">
      <c r="B19" s="202" t="s">
        <v>100</v>
      </c>
      <c r="C19" s="193">
        <f>SUM(BH89,AV127)</f>
        <v>39</v>
      </c>
      <c r="D19" s="193">
        <f>SUM(BH89:BI89,AV127:AW127)</f>
        <v>93</v>
      </c>
      <c r="E19" s="193">
        <f>SUM(BH89:BJ89,AV127:AX127)</f>
        <v>163</v>
      </c>
    </row>
    <row r="20" spans="1:5" x14ac:dyDescent="0.35">
      <c r="B20" s="202"/>
      <c r="C20" s="193"/>
      <c r="D20" s="193"/>
      <c r="E20" s="193"/>
    </row>
    <row r="21" spans="1:5" ht="21" x14ac:dyDescent="0.5">
      <c r="A21" s="190" t="s">
        <v>69</v>
      </c>
      <c r="B21" s="10"/>
      <c r="C21" s="1"/>
      <c r="D21" s="1"/>
      <c r="E21" s="1"/>
    </row>
    <row r="22" spans="1:5" x14ac:dyDescent="0.35">
      <c r="B22" s="10"/>
      <c r="C22" s="1"/>
      <c r="D22" s="1"/>
      <c r="E22" s="1"/>
    </row>
    <row r="23" spans="1:5" x14ac:dyDescent="0.35">
      <c r="A23" s="8" t="s">
        <v>277</v>
      </c>
      <c r="B23" s="10"/>
      <c r="C23" s="39" t="s">
        <v>45</v>
      </c>
      <c r="D23" s="39" t="s">
        <v>46</v>
      </c>
      <c r="E23" s="39" t="s">
        <v>47</v>
      </c>
    </row>
    <row r="24" spans="1:5" x14ac:dyDescent="0.35">
      <c r="B24" s="202" t="s">
        <v>73</v>
      </c>
      <c r="C24" s="59">
        <f>AH87</f>
        <v>484100</v>
      </c>
      <c r="D24" s="59">
        <f>AO87</f>
        <v>673557</v>
      </c>
      <c r="E24" s="59">
        <f>AV87</f>
        <v>924187.32</v>
      </c>
    </row>
    <row r="25" spans="1:5" x14ac:dyDescent="0.35">
      <c r="B25" s="202" t="s">
        <v>76</v>
      </c>
      <c r="C25" s="59">
        <f>SUM(Z124:AA124)</f>
        <v>1212000</v>
      </c>
      <c r="D25" s="59">
        <f>SUM(AG124:AH124)</f>
        <v>1631000</v>
      </c>
      <c r="E25" s="59">
        <f>SUM(AN124:AO124)</f>
        <v>2082000</v>
      </c>
    </row>
    <row r="26" spans="1:5" x14ac:dyDescent="0.35">
      <c r="B26" s="202" t="s">
        <v>100</v>
      </c>
      <c r="C26" s="59">
        <f>AI87+AB124</f>
        <v>185000</v>
      </c>
      <c r="D26" s="59">
        <f>AP87+AI124</f>
        <v>250000</v>
      </c>
      <c r="E26" s="59">
        <f>AW87+AP124</f>
        <v>330000</v>
      </c>
    </row>
    <row r="27" spans="1:5" x14ac:dyDescent="0.35">
      <c r="B27" s="18" t="s">
        <v>281</v>
      </c>
      <c r="C27" s="196">
        <f>SUM(C24:C26)</f>
        <v>1881100</v>
      </c>
      <c r="D27" s="196">
        <f t="shared" ref="D27:E27" si="0">SUM(D24:D26)</f>
        <v>2554557</v>
      </c>
      <c r="E27" s="196">
        <f t="shared" si="0"/>
        <v>3336187.32</v>
      </c>
    </row>
    <row r="28" spans="1:5" x14ac:dyDescent="0.35">
      <c r="A28" s="8" t="s">
        <v>278</v>
      </c>
      <c r="B28" s="10"/>
      <c r="C28" s="1"/>
      <c r="D28" s="1"/>
      <c r="E28" s="1"/>
    </row>
    <row r="29" spans="1:5" x14ac:dyDescent="0.35">
      <c r="A29" s="8"/>
      <c r="B29" s="202" t="s">
        <v>216</v>
      </c>
      <c r="C29" s="59">
        <f>C162</f>
        <v>64436.486399999994</v>
      </c>
      <c r="D29" s="59">
        <f>D162</f>
        <v>152476.272</v>
      </c>
      <c r="E29" s="59">
        <f>E162</f>
        <v>267194.49119999999</v>
      </c>
    </row>
    <row r="30" spans="1:5" x14ac:dyDescent="0.35">
      <c r="B30" s="202" t="s">
        <v>101</v>
      </c>
      <c r="C30" s="59">
        <f>C173</f>
        <v>486196</v>
      </c>
      <c r="D30" s="59">
        <f>D173</f>
        <v>500781.88</v>
      </c>
      <c r="E30" s="59">
        <f>E173</f>
        <v>515805.33640000003</v>
      </c>
    </row>
    <row r="31" spans="1:5" x14ac:dyDescent="0.35">
      <c r="B31" t="s">
        <v>428</v>
      </c>
      <c r="C31" s="59">
        <f>C155</f>
        <v>1595974.4842226028</v>
      </c>
      <c r="D31" s="59">
        <f>D155</f>
        <v>2384543.2204263695</v>
      </c>
      <c r="E31" s="59">
        <f>E155</f>
        <v>2785062.9307114724</v>
      </c>
    </row>
    <row r="32" spans="1:5" x14ac:dyDescent="0.35">
      <c r="B32" t="s">
        <v>310</v>
      </c>
      <c r="C32" s="59">
        <f>SUM(C163:C165)</f>
        <v>530037.62937305134</v>
      </c>
      <c r="D32" s="59">
        <f>SUM(D163:D165)</f>
        <v>1595068.690332111</v>
      </c>
      <c r="E32" s="59">
        <f>SUM(E163:E165)</f>
        <v>3032027.7875824096</v>
      </c>
    </row>
    <row r="33" spans="1:91" x14ac:dyDescent="0.35">
      <c r="B33" s="8" t="s">
        <v>280</v>
      </c>
      <c r="C33" s="196">
        <f>SUM(C29:C32)</f>
        <v>2676644.5999956541</v>
      </c>
      <c r="D33" s="196">
        <f>SUM(D29:D32)</f>
        <v>4632870.0627584802</v>
      </c>
      <c r="E33" s="196">
        <f>SUM(E29:E32)</f>
        <v>6600090.5458938815</v>
      </c>
    </row>
    <row r="34" spans="1:91" x14ac:dyDescent="0.35">
      <c r="A34" s="208" t="s">
        <v>279</v>
      </c>
      <c r="B34" s="213">
        <f>SUM(C34:E34)</f>
        <v>21681449.528648015</v>
      </c>
      <c r="C34" s="207">
        <f>SUM(C27,C33)</f>
        <v>4557744.5999956541</v>
      </c>
      <c r="D34" s="207">
        <f>SUM(D27,D33)</f>
        <v>7187427.0627584802</v>
      </c>
      <c r="E34" s="207">
        <f>SUM(E27,E33)</f>
        <v>9936277.8658938818</v>
      </c>
    </row>
    <row r="35" spans="1:91" x14ac:dyDescent="0.35">
      <c r="C35" s="1"/>
    </row>
    <row r="36" spans="1:91" x14ac:dyDescent="0.3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</row>
    <row r="37" spans="1:91" x14ac:dyDescent="0.35">
      <c r="C37" s="1"/>
    </row>
    <row r="38" spans="1:91" ht="21" x14ac:dyDescent="0.5">
      <c r="A38" s="54" t="s">
        <v>73</v>
      </c>
      <c r="C38" s="1"/>
    </row>
    <row r="39" spans="1:91" x14ac:dyDescent="0.35">
      <c r="C39" s="1"/>
    </row>
    <row r="40" spans="1:91" ht="18.5" x14ac:dyDescent="0.45">
      <c r="A40" s="34" t="s">
        <v>301</v>
      </c>
    </row>
    <row r="42" spans="1:91" ht="34" customHeight="1" thickBot="1" x14ac:dyDescent="0.5">
      <c r="A42" s="582" t="s">
        <v>308</v>
      </c>
      <c r="B42" s="582"/>
      <c r="C42" s="582"/>
      <c r="D42" s="582"/>
      <c r="E42" s="582"/>
      <c r="G42" s="34" t="s">
        <v>214</v>
      </c>
      <c r="AG42" s="34" t="s">
        <v>215</v>
      </c>
    </row>
    <row r="43" spans="1:91" ht="51" customHeight="1" thickBot="1" x14ac:dyDescent="0.4">
      <c r="A43" s="29" t="s">
        <v>62</v>
      </c>
      <c r="B43" s="71" t="s">
        <v>151</v>
      </c>
      <c r="C43" s="72" t="s">
        <v>45</v>
      </c>
      <c r="D43" s="72" t="s">
        <v>46</v>
      </c>
      <c r="E43" s="73" t="s">
        <v>47</v>
      </c>
      <c r="G43" s="402" t="s">
        <v>45</v>
      </c>
      <c r="H43" s="178"/>
      <c r="I43" s="178"/>
      <c r="J43" s="178"/>
      <c r="K43" s="178"/>
      <c r="L43" s="178"/>
      <c r="M43" s="179"/>
      <c r="N43" s="8"/>
      <c r="O43" s="402" t="s">
        <v>46</v>
      </c>
      <c r="P43" s="178"/>
      <c r="Q43" s="178"/>
      <c r="R43" s="178"/>
      <c r="S43" s="178"/>
      <c r="T43" s="178"/>
      <c r="U43" s="178"/>
      <c r="V43" s="179"/>
      <c r="W43" s="8"/>
      <c r="X43" s="66" t="s">
        <v>47</v>
      </c>
      <c r="Y43" s="67"/>
      <c r="Z43" s="67"/>
      <c r="AA43" s="67"/>
      <c r="AB43" s="67"/>
      <c r="AC43" s="67"/>
      <c r="AD43" s="67"/>
      <c r="AE43" s="68"/>
      <c r="AF43" s="8"/>
      <c r="AG43" s="66" t="s">
        <v>45</v>
      </c>
      <c r="AH43" s="67"/>
      <c r="AI43" s="67"/>
      <c r="AJ43" s="67"/>
      <c r="AK43" s="67"/>
      <c r="AL43" s="68"/>
      <c r="AN43" s="66" t="s">
        <v>46</v>
      </c>
      <c r="AO43" s="67"/>
      <c r="AP43" s="67"/>
      <c r="AQ43" s="67"/>
      <c r="AR43" s="67"/>
      <c r="AS43" s="68"/>
      <c r="AU43" s="66" t="s">
        <v>47</v>
      </c>
      <c r="AV43" s="67"/>
      <c r="AW43" s="67"/>
      <c r="AX43" s="67"/>
      <c r="AY43" s="67"/>
      <c r="AZ43" s="68"/>
      <c r="BB43" s="105" t="s">
        <v>202</v>
      </c>
      <c r="BC43" s="105" t="s">
        <v>201</v>
      </c>
      <c r="BD43" s="13" t="s">
        <v>200</v>
      </c>
      <c r="BE43" s="105" t="s">
        <v>199</v>
      </c>
      <c r="BG43" s="71" t="s">
        <v>69</v>
      </c>
      <c r="BH43" s="72"/>
      <c r="BI43" s="72"/>
      <c r="BJ43" s="72"/>
      <c r="BK43" s="73"/>
    </row>
    <row r="44" spans="1:91" ht="35" customHeight="1" thickBot="1" x14ac:dyDescent="0.4">
      <c r="A44" s="26"/>
      <c r="B44" s="216" t="s">
        <v>43</v>
      </c>
      <c r="C44" s="391">
        <f>Storage!$E$11</f>
        <v>230400</v>
      </c>
      <c r="D44" s="391">
        <f>Storage!$E$11</f>
        <v>230400</v>
      </c>
      <c r="E44" s="392">
        <f>Storage!$E$11</f>
        <v>230400</v>
      </c>
      <c r="G44" s="123" t="s">
        <v>48</v>
      </c>
      <c r="H44" s="400" t="s">
        <v>134</v>
      </c>
      <c r="I44" s="110" t="s">
        <v>42</v>
      </c>
      <c r="J44" s="110" t="s">
        <v>29</v>
      </c>
      <c r="K44" s="114" t="s">
        <v>71</v>
      </c>
      <c r="L44" s="110" t="s">
        <v>51</v>
      </c>
      <c r="M44" s="401" t="s">
        <v>222</v>
      </c>
      <c r="N44" s="198"/>
      <c r="O44" s="123" t="s">
        <v>48</v>
      </c>
      <c r="P44" s="400" t="s">
        <v>134</v>
      </c>
      <c r="Q44" s="110" t="s">
        <v>42</v>
      </c>
      <c r="R44" s="110" t="s">
        <v>29</v>
      </c>
      <c r="S44" s="114" t="s">
        <v>95</v>
      </c>
      <c r="T44" s="114" t="s">
        <v>65</v>
      </c>
      <c r="U44" s="114" t="s">
        <v>67</v>
      </c>
      <c r="V44" s="401" t="s">
        <v>222</v>
      </c>
      <c r="W44" s="198"/>
      <c r="X44" s="123" t="s">
        <v>48</v>
      </c>
      <c r="Y44" s="400" t="s">
        <v>134</v>
      </c>
      <c r="Z44" s="110" t="s">
        <v>42</v>
      </c>
      <c r="AA44" s="110" t="s">
        <v>29</v>
      </c>
      <c r="AB44" s="114" t="s">
        <v>95</v>
      </c>
      <c r="AC44" s="114" t="s">
        <v>65</v>
      </c>
      <c r="AD44" s="114" t="s">
        <v>67</v>
      </c>
      <c r="AE44" s="401" t="s">
        <v>222</v>
      </c>
      <c r="AF44" s="198"/>
      <c r="AG44" s="268" t="s">
        <v>48</v>
      </c>
      <c r="AH44" s="201" t="s">
        <v>50</v>
      </c>
      <c r="AI44" s="265" t="s">
        <v>52</v>
      </c>
      <c r="AJ44" s="267" t="s">
        <v>223</v>
      </c>
      <c r="AK44" s="267" t="s">
        <v>54</v>
      </c>
      <c r="AL44" s="266" t="s">
        <v>88</v>
      </c>
      <c r="AN44" s="268" t="s">
        <v>48</v>
      </c>
      <c r="AO44" s="267" t="s">
        <v>66</v>
      </c>
      <c r="AP44" s="267" t="s">
        <v>68</v>
      </c>
      <c r="AQ44" s="267" t="s">
        <v>223</v>
      </c>
      <c r="AR44" s="267" t="s">
        <v>54</v>
      </c>
      <c r="AS44" s="266" t="s">
        <v>88</v>
      </c>
      <c r="AU44" s="268" t="s">
        <v>48</v>
      </c>
      <c r="AV44" s="267" t="s">
        <v>66</v>
      </c>
      <c r="AW44" s="267" t="s">
        <v>68</v>
      </c>
      <c r="AX44" s="267" t="s">
        <v>223</v>
      </c>
      <c r="AY44" s="267" t="s">
        <v>54</v>
      </c>
      <c r="AZ44" s="266" t="s">
        <v>88</v>
      </c>
      <c r="BB44" s="122">
        <f>SUM(AB45)</f>
        <v>8</v>
      </c>
      <c r="BC44" s="122">
        <f>SUM(AD45,U45,L45)</f>
        <v>5</v>
      </c>
      <c r="BD44" s="122">
        <f>SUM(AE45,V45,M45)</f>
        <v>147168</v>
      </c>
      <c r="BE44" s="166">
        <f>SUM(AL45,AS45,AZ45)</f>
        <v>1726183</v>
      </c>
      <c r="BG44" s="64"/>
      <c r="BH44" s="200" t="s">
        <v>45</v>
      </c>
      <c r="BI44" s="200" t="s">
        <v>46</v>
      </c>
      <c r="BJ44" s="200" t="s">
        <v>47</v>
      </c>
      <c r="BK44" s="197" t="s">
        <v>70</v>
      </c>
    </row>
    <row r="45" spans="1:91" ht="16" thickBot="1" x14ac:dyDescent="0.4">
      <c r="A45" s="26"/>
      <c r="B45" s="426" t="s">
        <v>134</v>
      </c>
      <c r="C45" s="21">
        <v>0</v>
      </c>
      <c r="D45" s="21">
        <v>0</v>
      </c>
      <c r="E45" s="88">
        <v>0</v>
      </c>
      <c r="G45" s="173" t="s">
        <v>285</v>
      </c>
      <c r="H45" s="49">
        <v>0</v>
      </c>
      <c r="I45" s="170">
        <f>ROUNDUP($C44/nas_disk,0)</f>
        <v>2</v>
      </c>
      <c r="J45" s="170">
        <f>ROUNDUP($C46/nas_bw,0)</f>
        <v>2</v>
      </c>
      <c r="K45" s="170">
        <f>MAX(I45:J45)</f>
        <v>2</v>
      </c>
      <c r="L45" s="170">
        <f>ROUNDUP(K45/nas_spr,0)</f>
        <v>1</v>
      </c>
      <c r="M45" s="214">
        <f>ROUND(K45*nas_pwr*24*365,0)</f>
        <v>19622</v>
      </c>
      <c r="O45" s="173" t="s">
        <v>285</v>
      </c>
      <c r="P45" s="49">
        <v>0</v>
      </c>
      <c r="Q45" s="170">
        <f>ROUNDUP($D44/nas_disk,0)</f>
        <v>2</v>
      </c>
      <c r="R45" s="170">
        <f>ROUNDUP($D46/nas_bw,0)</f>
        <v>5</v>
      </c>
      <c r="S45" s="170">
        <f>MAX(Q45:R45)</f>
        <v>5</v>
      </c>
      <c r="T45" s="45">
        <f>S45-K45</f>
        <v>3</v>
      </c>
      <c r="U45" s="45">
        <f>ROUNDUP(T45/nas_spr,0)</f>
        <v>2</v>
      </c>
      <c r="V45" s="214">
        <f>ROUND(S45*nas_pwr*24*365,0)</f>
        <v>49056</v>
      </c>
      <c r="X45" s="173" t="s">
        <v>285</v>
      </c>
      <c r="Y45" s="49">
        <v>0</v>
      </c>
      <c r="Z45" s="170">
        <f>ROUNDUP($E44/nas_disk,0)</f>
        <v>2</v>
      </c>
      <c r="AA45" s="170">
        <f>ROUNDUP($E46/nas_bw,0)</f>
        <v>8</v>
      </c>
      <c r="AB45" s="170">
        <f>MAX(Z45:AA45)</f>
        <v>8</v>
      </c>
      <c r="AC45" s="45">
        <f>AB45-S45</f>
        <v>3</v>
      </c>
      <c r="AD45" s="45">
        <f>ROUNDUP(AC45/nas_spr,0)</f>
        <v>2</v>
      </c>
      <c r="AE45" s="214">
        <f>ROUND(AB45*nas_pwr*24*365,0)</f>
        <v>78490</v>
      </c>
      <c r="AG45" s="65" t="s">
        <v>285</v>
      </c>
      <c r="AH45" s="50">
        <f>K45*nas_cost</f>
        <v>360000</v>
      </c>
      <c r="AI45" s="50">
        <f>L45*rack_cost</f>
        <v>5000</v>
      </c>
      <c r="AJ45" s="50">
        <f>ROUND(M45*ne_pwr,0)</f>
        <v>1224</v>
      </c>
      <c r="AK45" s="50">
        <v>0</v>
      </c>
      <c r="AL45" s="212">
        <f>SUM(AH45,AI45,AJ45)</f>
        <v>366224</v>
      </c>
      <c r="AN45" s="65" t="s">
        <v>285</v>
      </c>
      <c r="AO45" s="50">
        <f>T45*nas_cost</f>
        <v>540000</v>
      </c>
      <c r="AP45" s="50">
        <f>U45*rack_cost</f>
        <v>10000</v>
      </c>
      <c r="AQ45" s="28">
        <f>ROUND(V45*ne_pwr,0)</f>
        <v>3061</v>
      </c>
      <c r="AR45" s="50">
        <f>AH45*hw_supt</f>
        <v>72000</v>
      </c>
      <c r="AS45" s="212">
        <f>SUM(AO45,AP45,AQ45,AR45)</f>
        <v>625061</v>
      </c>
      <c r="AU45" s="65" t="s">
        <v>285</v>
      </c>
      <c r="AV45" s="50">
        <f>AC45*nas_cost</f>
        <v>540000</v>
      </c>
      <c r="AW45" s="50">
        <f>AD45*rack_cost</f>
        <v>10000</v>
      </c>
      <c r="AX45" s="50">
        <f>ROUND(AE45*ne_pwr,0)</f>
        <v>4898</v>
      </c>
      <c r="AY45" s="50">
        <f>(AH45+AO45)*hw_supt</f>
        <v>180000</v>
      </c>
      <c r="AZ45" s="212">
        <f>SUM(AV45,AW45,AX45,AY45)</f>
        <v>734898</v>
      </c>
      <c r="BG45" s="173" t="s">
        <v>82</v>
      </c>
      <c r="BH45" s="177">
        <f>AL45</f>
        <v>366224</v>
      </c>
      <c r="BI45" s="177">
        <f>AS45</f>
        <v>625061</v>
      </c>
      <c r="BJ45" s="177">
        <f>AZ45</f>
        <v>734898</v>
      </c>
      <c r="BK45" s="180">
        <f>SUM(BH45:BJ45)</f>
        <v>1726183</v>
      </c>
    </row>
    <row r="46" spans="1:91" ht="16" thickBot="1" x14ac:dyDescent="0.4">
      <c r="A46" s="27"/>
      <c r="B46" s="169" t="s">
        <v>44</v>
      </c>
      <c r="C46" s="427">
        <f>Bandwidth!N5</f>
        <v>77.2704576</v>
      </c>
      <c r="D46" s="427">
        <f>Bandwidth!N6</f>
        <v>183.10809599999996</v>
      </c>
      <c r="E46" s="428">
        <f>Bandwidth!N7</f>
        <v>325.53838079999991</v>
      </c>
      <c r="BG46" s="64" t="s">
        <v>217</v>
      </c>
      <c r="BH46" s="181">
        <f>K45</f>
        <v>2</v>
      </c>
      <c r="BI46" s="181">
        <f>T45</f>
        <v>3</v>
      </c>
      <c r="BJ46" s="181">
        <f>AC45</f>
        <v>3</v>
      </c>
      <c r="BK46" s="145">
        <f>SUM(BH46:BJ46)</f>
        <v>8</v>
      </c>
    </row>
    <row r="47" spans="1:91" x14ac:dyDescent="0.35">
      <c r="BG47" s="160" t="s">
        <v>218</v>
      </c>
      <c r="BH47" s="4">
        <f>L45</f>
        <v>1</v>
      </c>
      <c r="BI47" s="4">
        <f>U45</f>
        <v>2</v>
      </c>
      <c r="BJ47" s="4">
        <f>AD45</f>
        <v>2</v>
      </c>
      <c r="BK47" s="121">
        <f t="shared" ref="BK47:BK48" si="1">SUM(BH47:BJ47)</f>
        <v>5</v>
      </c>
    </row>
    <row r="48" spans="1:91" ht="16" thickBot="1" x14ac:dyDescent="0.4">
      <c r="BG48" s="65" t="s">
        <v>216</v>
      </c>
      <c r="BH48" s="45">
        <f>M45</f>
        <v>19622</v>
      </c>
      <c r="BI48" s="45">
        <f>V45</f>
        <v>49056</v>
      </c>
      <c r="BJ48" s="45">
        <f>AE45</f>
        <v>78490</v>
      </c>
      <c r="BK48" s="122">
        <f t="shared" si="1"/>
        <v>147168</v>
      </c>
    </row>
    <row r="49" spans="1:63" x14ac:dyDescent="0.35">
      <c r="BH49" s="19"/>
    </row>
    <row r="50" spans="1:63" ht="18.5" x14ac:dyDescent="0.45">
      <c r="A50" s="34" t="s">
        <v>283</v>
      </c>
    </row>
    <row r="52" spans="1:63" ht="34" customHeight="1" thickBot="1" x14ac:dyDescent="0.4">
      <c r="A52" s="580" t="s">
        <v>302</v>
      </c>
      <c r="B52" s="580"/>
      <c r="C52" s="580"/>
      <c r="D52" s="580"/>
      <c r="E52" s="580"/>
    </row>
    <row r="53" spans="1:63" ht="51" customHeight="1" thickBot="1" x14ac:dyDescent="0.4">
      <c r="A53" s="29" t="s">
        <v>56</v>
      </c>
      <c r="B53" s="71" t="s">
        <v>151</v>
      </c>
      <c r="C53" s="72" t="s">
        <v>45</v>
      </c>
      <c r="D53" s="72" t="s">
        <v>46</v>
      </c>
      <c r="E53" s="73" t="s">
        <v>47</v>
      </c>
      <c r="G53" s="402" t="s">
        <v>45</v>
      </c>
      <c r="H53" s="178"/>
      <c r="I53" s="178"/>
      <c r="J53" s="178"/>
      <c r="K53" s="178"/>
      <c r="L53" s="178"/>
      <c r="M53" s="179"/>
      <c r="N53" s="8"/>
      <c r="O53" s="402" t="s">
        <v>46</v>
      </c>
      <c r="P53" s="178"/>
      <c r="Q53" s="178"/>
      <c r="R53" s="178"/>
      <c r="S53" s="178"/>
      <c r="T53" s="178"/>
      <c r="U53" s="178"/>
      <c r="V53" s="179"/>
      <c r="W53" s="8"/>
      <c r="X53" s="66" t="s">
        <v>47</v>
      </c>
      <c r="Y53" s="67"/>
      <c r="Z53" s="67"/>
      <c r="AA53" s="67"/>
      <c r="AB53" s="67"/>
      <c r="AC53" s="67"/>
      <c r="AD53" s="67"/>
      <c r="AE53" s="68"/>
      <c r="AF53" s="8"/>
      <c r="AG53" s="66" t="s">
        <v>45</v>
      </c>
      <c r="AH53" s="67"/>
      <c r="AI53" s="67"/>
      <c r="AJ53" s="67"/>
      <c r="AK53" s="67"/>
      <c r="AL53" s="68"/>
      <c r="AN53" s="66" t="s">
        <v>46</v>
      </c>
      <c r="AO53" s="67"/>
      <c r="AP53" s="67"/>
      <c r="AQ53" s="67"/>
      <c r="AR53" s="67"/>
      <c r="AS53" s="68"/>
      <c r="AU53" s="66" t="s">
        <v>47</v>
      </c>
      <c r="AV53" s="67"/>
      <c r="AW53" s="67"/>
      <c r="AX53" s="67"/>
      <c r="AY53" s="67"/>
      <c r="AZ53" s="68"/>
      <c r="BB53" s="105" t="s">
        <v>202</v>
      </c>
      <c r="BC53" s="105" t="s">
        <v>201</v>
      </c>
      <c r="BD53" s="13" t="s">
        <v>200</v>
      </c>
      <c r="BE53" s="105" t="s">
        <v>199</v>
      </c>
      <c r="BG53" s="71" t="s">
        <v>69</v>
      </c>
      <c r="BH53" s="72"/>
      <c r="BI53" s="72"/>
      <c r="BJ53" s="72"/>
      <c r="BK53" s="73"/>
    </row>
    <row r="54" spans="1:63" ht="35" customHeight="1" thickBot="1" x14ac:dyDescent="0.4">
      <c r="A54" s="26"/>
      <c r="B54" s="426" t="s">
        <v>43</v>
      </c>
      <c r="C54" s="391">
        <f>Storage!$E$15</f>
        <v>288000</v>
      </c>
      <c r="D54" s="391">
        <f>Storage!$E$15</f>
        <v>288000</v>
      </c>
      <c r="E54" s="392">
        <f>Storage!$E$15</f>
        <v>288000</v>
      </c>
      <c r="G54" s="123" t="s">
        <v>48</v>
      </c>
      <c r="H54" s="400" t="s">
        <v>134</v>
      </c>
      <c r="I54" s="110" t="s">
        <v>42</v>
      </c>
      <c r="J54" s="110" t="s">
        <v>29</v>
      </c>
      <c r="K54" s="114" t="s">
        <v>71</v>
      </c>
      <c r="L54" s="110" t="s">
        <v>51</v>
      </c>
      <c r="M54" s="401" t="s">
        <v>222</v>
      </c>
      <c r="N54" s="198"/>
      <c r="O54" s="123" t="s">
        <v>48</v>
      </c>
      <c r="P54" s="400" t="s">
        <v>134</v>
      </c>
      <c r="Q54" s="110" t="s">
        <v>42</v>
      </c>
      <c r="R54" s="110" t="s">
        <v>29</v>
      </c>
      <c r="S54" s="114" t="s">
        <v>95</v>
      </c>
      <c r="T54" s="114" t="s">
        <v>65</v>
      </c>
      <c r="U54" s="114" t="s">
        <v>67</v>
      </c>
      <c r="V54" s="401" t="s">
        <v>222</v>
      </c>
      <c r="W54" s="198"/>
      <c r="X54" s="123" t="s">
        <v>48</v>
      </c>
      <c r="Y54" s="400" t="s">
        <v>134</v>
      </c>
      <c r="Z54" s="110" t="s">
        <v>42</v>
      </c>
      <c r="AA54" s="110" t="s">
        <v>29</v>
      </c>
      <c r="AB54" s="114" t="s">
        <v>95</v>
      </c>
      <c r="AC54" s="114" t="s">
        <v>65</v>
      </c>
      <c r="AD54" s="114" t="s">
        <v>67</v>
      </c>
      <c r="AE54" s="401" t="s">
        <v>222</v>
      </c>
      <c r="AF54" s="198"/>
      <c r="AG54" s="268" t="s">
        <v>48</v>
      </c>
      <c r="AH54" s="201" t="s">
        <v>50</v>
      </c>
      <c r="AI54" s="265" t="s">
        <v>52</v>
      </c>
      <c r="AJ54" s="267" t="s">
        <v>223</v>
      </c>
      <c r="AK54" s="267" t="s">
        <v>54</v>
      </c>
      <c r="AL54" s="266" t="s">
        <v>88</v>
      </c>
      <c r="AN54" s="268" t="s">
        <v>48</v>
      </c>
      <c r="AO54" s="267" t="s">
        <v>66</v>
      </c>
      <c r="AP54" s="267" t="s">
        <v>68</v>
      </c>
      <c r="AQ54" s="267" t="s">
        <v>223</v>
      </c>
      <c r="AR54" s="267" t="s">
        <v>54</v>
      </c>
      <c r="AS54" s="266" t="s">
        <v>88</v>
      </c>
      <c r="AU54" s="268" t="s">
        <v>48</v>
      </c>
      <c r="AV54" s="267" t="s">
        <v>66</v>
      </c>
      <c r="AW54" s="267" t="s">
        <v>68</v>
      </c>
      <c r="AX54" s="267" t="s">
        <v>223</v>
      </c>
      <c r="AY54" s="267" t="s">
        <v>54</v>
      </c>
      <c r="AZ54" s="266" t="s">
        <v>88</v>
      </c>
      <c r="BB54" s="122">
        <f>SUM(AB55)</f>
        <v>8</v>
      </c>
      <c r="BC54" s="122">
        <f>SUM(AD55,U55,L55)</f>
        <v>5</v>
      </c>
      <c r="BD54" s="122">
        <f>SUM(AE55,V55,M55)</f>
        <v>147168</v>
      </c>
      <c r="BE54" s="166">
        <f>SUM(AL55,AS55,AZ55)</f>
        <v>1726183</v>
      </c>
      <c r="BG54" s="64"/>
      <c r="BH54" s="200" t="s">
        <v>45</v>
      </c>
      <c r="BI54" s="200" t="s">
        <v>46</v>
      </c>
      <c r="BJ54" s="200" t="s">
        <v>47</v>
      </c>
      <c r="BK54" s="197" t="s">
        <v>70</v>
      </c>
    </row>
    <row r="55" spans="1:63" ht="16" thickBot="1" x14ac:dyDescent="0.4">
      <c r="A55" s="26"/>
      <c r="B55" s="426" t="s">
        <v>134</v>
      </c>
      <c r="C55" s="432" t="s">
        <v>182</v>
      </c>
      <c r="D55" s="432" t="s">
        <v>182</v>
      </c>
      <c r="E55" s="433" t="s">
        <v>182</v>
      </c>
      <c r="G55" s="173" t="s">
        <v>285</v>
      </c>
      <c r="H55" s="49">
        <v>0</v>
      </c>
      <c r="I55" s="170">
        <f>ROUNDUP($C54/nas_disk,0)</f>
        <v>2</v>
      </c>
      <c r="J55" s="170">
        <f>ROUNDUP($C56/nas_bw,0)</f>
        <v>2</v>
      </c>
      <c r="K55" s="170">
        <f>MAX(I55:J55)</f>
        <v>2</v>
      </c>
      <c r="L55" s="170">
        <f>ROUNDUP(K55/nas_spr,0)</f>
        <v>1</v>
      </c>
      <c r="M55" s="214">
        <f>ROUND(K55*nas_pwr*24*365,0)</f>
        <v>19622</v>
      </c>
      <c r="O55" s="173" t="s">
        <v>285</v>
      </c>
      <c r="P55" s="49">
        <v>0</v>
      </c>
      <c r="Q55" s="170">
        <f>ROUNDUP($D54/nas_disk,0)</f>
        <v>2</v>
      </c>
      <c r="R55" s="170">
        <f>ROUNDUP($D56/nas_bw,0)</f>
        <v>5</v>
      </c>
      <c r="S55" s="170">
        <f>MAX(Q55:R55)</f>
        <v>5</v>
      </c>
      <c r="T55" s="45">
        <f>S55-K55</f>
        <v>3</v>
      </c>
      <c r="U55" s="45">
        <f>ROUNDUP(T55/nas_spr,0)</f>
        <v>2</v>
      </c>
      <c r="V55" s="214">
        <f>ROUND(S55*nas_pwr*24*365,0)</f>
        <v>49056</v>
      </c>
      <c r="X55" s="173" t="s">
        <v>285</v>
      </c>
      <c r="Y55" s="49">
        <v>0</v>
      </c>
      <c r="Z55" s="170">
        <f>ROUNDUP($E54/nas_disk,0)</f>
        <v>2</v>
      </c>
      <c r="AA55" s="170">
        <f>ROUNDUP($E56/nas_bw,0)</f>
        <v>8</v>
      </c>
      <c r="AB55" s="170">
        <f>MAX(Z55:AA55)</f>
        <v>8</v>
      </c>
      <c r="AC55" s="45">
        <f>AB55-S55</f>
        <v>3</v>
      </c>
      <c r="AD55" s="45">
        <f>ROUNDUP(AC55/nas_spr,0)</f>
        <v>2</v>
      </c>
      <c r="AE55" s="214">
        <f>ROUND(AB55*nas_pwr*24*365,0)</f>
        <v>78490</v>
      </c>
      <c r="AG55" s="65" t="s">
        <v>285</v>
      </c>
      <c r="AH55" s="50">
        <f>K55*nas_cost</f>
        <v>360000</v>
      </c>
      <c r="AI55" s="50">
        <f>L55*rack_cost</f>
        <v>5000</v>
      </c>
      <c r="AJ55" s="50">
        <f>ROUND(M55*ne_pwr,0)</f>
        <v>1224</v>
      </c>
      <c r="AK55" s="50">
        <v>0</v>
      </c>
      <c r="AL55" s="212">
        <f>SUM(AH55,AI55,AJ55)</f>
        <v>366224</v>
      </c>
      <c r="AN55" s="65" t="s">
        <v>285</v>
      </c>
      <c r="AO55" s="28">
        <f>T55*nas_cost</f>
        <v>540000</v>
      </c>
      <c r="AP55" s="28">
        <f>U55*rack_cost</f>
        <v>10000</v>
      </c>
      <c r="AQ55" s="28">
        <f>ROUND(V55*ne_pwr,0)</f>
        <v>3061</v>
      </c>
      <c r="AR55" s="28">
        <f>AH55*hw_supt</f>
        <v>72000</v>
      </c>
      <c r="AS55" s="212">
        <f>SUM(AO55,AP55,AQ55,AR55)</f>
        <v>625061</v>
      </c>
      <c r="AU55" s="65" t="s">
        <v>285</v>
      </c>
      <c r="AV55" s="28">
        <f>AC55*nas_cost</f>
        <v>540000</v>
      </c>
      <c r="AW55" s="28">
        <f>AD55*rack_cost</f>
        <v>10000</v>
      </c>
      <c r="AX55" s="50">
        <f>ROUND(AE55*ne_pwr,0)</f>
        <v>4898</v>
      </c>
      <c r="AY55" s="28">
        <f>(AH55+AO55)*hw_supt</f>
        <v>180000</v>
      </c>
      <c r="AZ55" s="212">
        <f>SUM(AV55,AW55,AX55,AY55)</f>
        <v>734898</v>
      </c>
      <c r="BG55" s="173" t="s">
        <v>82</v>
      </c>
      <c r="BH55" s="177">
        <f>AL55</f>
        <v>366224</v>
      </c>
      <c r="BI55" s="177">
        <f>AS55</f>
        <v>625061</v>
      </c>
      <c r="BJ55" s="177">
        <f>AZ55</f>
        <v>734898</v>
      </c>
      <c r="BK55" s="180">
        <f>SUM(BH55:BJ55)</f>
        <v>1726183</v>
      </c>
    </row>
    <row r="56" spans="1:63" ht="17" customHeight="1" thickBot="1" x14ac:dyDescent="0.4">
      <c r="A56" s="27"/>
      <c r="B56" s="169" t="s">
        <v>44</v>
      </c>
      <c r="C56" s="427">
        <f>Bandwidth!O26</f>
        <v>80.490059999999986</v>
      </c>
      <c r="D56" s="427">
        <f>Bandwidth!O27</f>
        <v>190.73759999999999</v>
      </c>
      <c r="E56" s="428">
        <f>Bandwidth!O28</f>
        <v>339.10247999999996</v>
      </c>
      <c r="BG56" s="64" t="s">
        <v>217</v>
      </c>
      <c r="BH56" s="181">
        <f>K55</f>
        <v>2</v>
      </c>
      <c r="BI56" s="181">
        <f>T55</f>
        <v>3</v>
      </c>
      <c r="BJ56" s="181">
        <f>AC55</f>
        <v>3</v>
      </c>
      <c r="BK56" s="145">
        <f>SUM(BH56:BJ56)</f>
        <v>8</v>
      </c>
    </row>
    <row r="57" spans="1:63" x14ac:dyDescent="0.35">
      <c r="BG57" s="160" t="s">
        <v>218</v>
      </c>
      <c r="BH57" s="4">
        <f>L55</f>
        <v>1</v>
      </c>
      <c r="BI57" s="4">
        <f>U55</f>
        <v>2</v>
      </c>
      <c r="BJ57" s="4">
        <f>AD55</f>
        <v>2</v>
      </c>
      <c r="BK57" s="121">
        <f t="shared" ref="BK57:BK58" si="2">SUM(BH57:BJ57)</f>
        <v>5</v>
      </c>
    </row>
    <row r="58" spans="1:63" ht="16" thickBot="1" x14ac:dyDescent="0.4">
      <c r="BG58" s="65" t="s">
        <v>216</v>
      </c>
      <c r="BH58" s="45">
        <f>M55</f>
        <v>19622</v>
      </c>
      <c r="BI58" s="45">
        <f>V55</f>
        <v>49056</v>
      </c>
      <c r="BJ58" s="45">
        <f>AE55</f>
        <v>78490</v>
      </c>
      <c r="BK58" s="122">
        <f t="shared" si="2"/>
        <v>147168</v>
      </c>
    </row>
    <row r="60" spans="1:63" ht="18.5" x14ac:dyDescent="0.45">
      <c r="A60" s="34" t="s">
        <v>309</v>
      </c>
    </row>
    <row r="62" spans="1:63" ht="50" customHeight="1" thickBot="1" x14ac:dyDescent="0.4">
      <c r="A62" s="580" t="s">
        <v>350</v>
      </c>
      <c r="B62" s="580"/>
      <c r="C62" s="580"/>
      <c r="D62" s="580"/>
      <c r="E62" s="580"/>
    </row>
    <row r="63" spans="1:63" ht="51" customHeight="1" thickBot="1" x14ac:dyDescent="0.4">
      <c r="A63" s="29" t="s">
        <v>56</v>
      </c>
      <c r="B63" s="71" t="s">
        <v>151</v>
      </c>
      <c r="C63" s="72" t="s">
        <v>45</v>
      </c>
      <c r="D63" s="72" t="s">
        <v>46</v>
      </c>
      <c r="E63" s="73" t="s">
        <v>47</v>
      </c>
      <c r="G63" s="402" t="s">
        <v>45</v>
      </c>
      <c r="H63" s="178"/>
      <c r="I63" s="178"/>
      <c r="J63" s="178"/>
      <c r="K63" s="178"/>
      <c r="L63" s="178"/>
      <c r="M63" s="179"/>
      <c r="N63" s="8"/>
      <c r="O63" s="402" t="s">
        <v>46</v>
      </c>
      <c r="P63" s="178"/>
      <c r="Q63" s="178"/>
      <c r="R63" s="178"/>
      <c r="S63" s="178"/>
      <c r="T63" s="178"/>
      <c r="U63" s="178"/>
      <c r="V63" s="179"/>
      <c r="W63" s="8"/>
      <c r="X63" s="66" t="s">
        <v>47</v>
      </c>
      <c r="Y63" s="67"/>
      <c r="Z63" s="67"/>
      <c r="AA63" s="67"/>
      <c r="AB63" s="67"/>
      <c r="AC63" s="67"/>
      <c r="AD63" s="67"/>
      <c r="AE63" s="68"/>
      <c r="AF63" s="8"/>
      <c r="AG63" s="66" t="s">
        <v>45</v>
      </c>
      <c r="AH63" s="67"/>
      <c r="AI63" s="67"/>
      <c r="AJ63" s="67"/>
      <c r="AK63" s="67"/>
      <c r="AL63" s="68"/>
      <c r="AN63" s="66" t="s">
        <v>46</v>
      </c>
      <c r="AO63" s="67"/>
      <c r="AP63" s="67"/>
      <c r="AQ63" s="67"/>
      <c r="AR63" s="67"/>
      <c r="AS63" s="68"/>
      <c r="AU63" s="66" t="s">
        <v>47</v>
      </c>
      <c r="AV63" s="67"/>
      <c r="AW63" s="67"/>
      <c r="AX63" s="67"/>
      <c r="AY63" s="67"/>
      <c r="AZ63" s="68"/>
      <c r="BB63" s="105" t="s">
        <v>202</v>
      </c>
      <c r="BC63" s="105" t="s">
        <v>201</v>
      </c>
      <c r="BD63" s="13" t="s">
        <v>200</v>
      </c>
      <c r="BE63" s="105" t="s">
        <v>199</v>
      </c>
      <c r="BG63" s="71" t="s">
        <v>69</v>
      </c>
      <c r="BH63" s="72"/>
      <c r="BI63" s="72"/>
      <c r="BJ63" s="72"/>
      <c r="BK63" s="73"/>
    </row>
    <row r="64" spans="1:63" ht="35" customHeight="1" thickBot="1" x14ac:dyDescent="0.4">
      <c r="A64" s="26"/>
      <c r="B64" s="75" t="s">
        <v>43</v>
      </c>
      <c r="C64" s="391">
        <v>0</v>
      </c>
      <c r="D64" s="391">
        <v>0</v>
      </c>
      <c r="E64" s="392">
        <v>0</v>
      </c>
      <c r="G64" s="123" t="s">
        <v>48</v>
      </c>
      <c r="H64" s="400" t="s">
        <v>134</v>
      </c>
      <c r="I64" s="110" t="s">
        <v>42</v>
      </c>
      <c r="J64" s="110" t="s">
        <v>29</v>
      </c>
      <c r="K64" s="114" t="s">
        <v>71</v>
      </c>
      <c r="L64" s="110" t="s">
        <v>51</v>
      </c>
      <c r="M64" s="401" t="s">
        <v>222</v>
      </c>
      <c r="N64" s="198"/>
      <c r="O64" s="123" t="s">
        <v>48</v>
      </c>
      <c r="P64" s="400" t="s">
        <v>134</v>
      </c>
      <c r="Q64" s="110" t="s">
        <v>42</v>
      </c>
      <c r="R64" s="110" t="s">
        <v>29</v>
      </c>
      <c r="S64" s="114" t="s">
        <v>95</v>
      </c>
      <c r="T64" s="114" t="s">
        <v>65</v>
      </c>
      <c r="U64" s="114" t="s">
        <v>67</v>
      </c>
      <c r="V64" s="401" t="s">
        <v>222</v>
      </c>
      <c r="W64" s="198"/>
      <c r="X64" s="123" t="s">
        <v>48</v>
      </c>
      <c r="Y64" s="400" t="s">
        <v>134</v>
      </c>
      <c r="Z64" s="110" t="s">
        <v>42</v>
      </c>
      <c r="AA64" s="110" t="s">
        <v>29</v>
      </c>
      <c r="AB64" s="114" t="s">
        <v>95</v>
      </c>
      <c r="AC64" s="114" t="s">
        <v>65</v>
      </c>
      <c r="AD64" s="114" t="s">
        <v>67</v>
      </c>
      <c r="AE64" s="401" t="s">
        <v>222</v>
      </c>
      <c r="AF64" s="198"/>
      <c r="AG64" s="268" t="s">
        <v>48</v>
      </c>
      <c r="AH64" s="201" t="s">
        <v>50</v>
      </c>
      <c r="AI64" s="265" t="s">
        <v>52</v>
      </c>
      <c r="AJ64" s="267" t="s">
        <v>223</v>
      </c>
      <c r="AK64" s="267" t="s">
        <v>54</v>
      </c>
      <c r="AL64" s="266" t="s">
        <v>88</v>
      </c>
      <c r="AN64" s="268" t="s">
        <v>48</v>
      </c>
      <c r="AO64" s="267" t="s">
        <v>66</v>
      </c>
      <c r="AP64" s="267" t="s">
        <v>68</v>
      </c>
      <c r="AQ64" s="267" t="s">
        <v>223</v>
      </c>
      <c r="AR64" s="267" t="s">
        <v>54</v>
      </c>
      <c r="AS64" s="266" t="s">
        <v>88</v>
      </c>
      <c r="AU64" s="268" t="s">
        <v>48</v>
      </c>
      <c r="AV64" s="267" t="s">
        <v>66</v>
      </c>
      <c r="AW64" s="267" t="s">
        <v>68</v>
      </c>
      <c r="AX64" s="267" t="s">
        <v>223</v>
      </c>
      <c r="AY64" s="267" t="s">
        <v>54</v>
      </c>
      <c r="AZ64" s="266" t="s">
        <v>88</v>
      </c>
      <c r="BB64" s="122">
        <f>SUM(AB65)</f>
        <v>855</v>
      </c>
      <c r="BC64" s="122">
        <f>SUM(AD65,U65,L65)</f>
        <v>123</v>
      </c>
      <c r="BD64" s="122">
        <f>SUM(AE65,V65,M65)</f>
        <v>3505227</v>
      </c>
      <c r="BE64" s="166">
        <f>SUM(AL65,AS65,AZ65)</f>
        <v>3215643.76</v>
      </c>
      <c r="BG64" s="64"/>
      <c r="BH64" s="200" t="s">
        <v>45</v>
      </c>
      <c r="BI64" s="200" t="s">
        <v>46</v>
      </c>
      <c r="BJ64" s="200" t="s">
        <v>47</v>
      </c>
      <c r="BK64" s="197" t="s">
        <v>70</v>
      </c>
    </row>
    <row r="65" spans="1:68" ht="16" thickBot="1" x14ac:dyDescent="0.4">
      <c r="A65" s="26"/>
      <c r="B65" s="75" t="s">
        <v>134</v>
      </c>
      <c r="C65" s="391">
        <v>0</v>
      </c>
      <c r="D65" s="391">
        <v>0</v>
      </c>
      <c r="E65" s="392">
        <v>0</v>
      </c>
      <c r="G65" s="65" t="s">
        <v>39</v>
      </c>
      <c r="H65" s="49">
        <v>0</v>
      </c>
      <c r="I65" s="45">
        <f>ROUNDUP($C64/gen_xl_disk,0)</f>
        <v>0</v>
      </c>
      <c r="J65" s="45">
        <f>ROUNDUP($C66/gen_xl_bw,0)</f>
        <v>203</v>
      </c>
      <c r="K65" s="45">
        <f>MAX(H65:J65)</f>
        <v>203</v>
      </c>
      <c r="L65" s="45">
        <f>ROUNDUP(K65/gen_xl_spr80,0)</f>
        <v>29</v>
      </c>
      <c r="M65" s="52">
        <f>ROUND(K65*gen_l_pow80*24*365,0)</f>
        <v>462353</v>
      </c>
      <c r="N65" s="43"/>
      <c r="O65" s="65" t="s">
        <v>39</v>
      </c>
      <c r="P65" s="49">
        <v>0</v>
      </c>
      <c r="Q65" s="45">
        <f>ROUNDUP($D64/gen_xl_disk,0)</f>
        <v>0</v>
      </c>
      <c r="R65" s="45">
        <f>ROUNDUP($D66/gen_xl_bw,0)</f>
        <v>481</v>
      </c>
      <c r="S65" s="45">
        <f>MAX(P65:R65)</f>
        <v>481</v>
      </c>
      <c r="T65" s="45">
        <f>S65-K65</f>
        <v>278</v>
      </c>
      <c r="U65" s="45">
        <f>ROUNDUP(T65/gen_xl_spr80,0)</f>
        <v>40</v>
      </c>
      <c r="V65" s="52">
        <f>ROUND((S65)*gen_l_pow80*24*365,0)</f>
        <v>1095526</v>
      </c>
      <c r="W65" s="43"/>
      <c r="X65" s="65" t="s">
        <v>39</v>
      </c>
      <c r="Y65" s="49">
        <f>ROUNDUP($E65/(gen_xl_tps80),0)</f>
        <v>0</v>
      </c>
      <c r="Z65" s="45">
        <f>ROUNDUP($E64/gen_xl_disk,0)</f>
        <v>0</v>
      </c>
      <c r="AA65" s="45">
        <f>ROUNDUP($E66/gen_xl_bw,0)</f>
        <v>855</v>
      </c>
      <c r="AB65" s="45">
        <f>MAX(Y65:AA65)</f>
        <v>855</v>
      </c>
      <c r="AC65" s="45">
        <f>AB65-S65</f>
        <v>374</v>
      </c>
      <c r="AD65" s="45">
        <f>ROUNDUP(AC65/gen_xl_spr80,0)</f>
        <v>54</v>
      </c>
      <c r="AE65" s="52">
        <f>ROUND((AB65)*gen_l_pow80*24*365,0)</f>
        <v>1947348</v>
      </c>
      <c r="AF65" s="43"/>
      <c r="AG65" s="65" t="s">
        <v>39</v>
      </c>
      <c r="AH65" s="50">
        <f>K65*gen_xl_cost</f>
        <v>477050</v>
      </c>
      <c r="AI65" s="50">
        <f>L65*rack_cost</f>
        <v>145000</v>
      </c>
      <c r="AJ65" s="50">
        <f>ROUND(M65*ne_pwr,0)</f>
        <v>28851</v>
      </c>
      <c r="AK65" s="50">
        <v>0</v>
      </c>
      <c r="AL65" s="212">
        <f>SUM(AH65,AI65,AJ65)</f>
        <v>650901</v>
      </c>
      <c r="AN65" s="65" t="s">
        <v>39</v>
      </c>
      <c r="AO65" s="28">
        <f>T65*gen_xl_cost*1.02</f>
        <v>666366</v>
      </c>
      <c r="AP65" s="28">
        <f>U65*rack_cost</f>
        <v>200000</v>
      </c>
      <c r="AQ65" s="28">
        <f>ROUND(V65*ne_pwr,0)</f>
        <v>68361</v>
      </c>
      <c r="AR65" s="28">
        <f>AH65*hw_supt</f>
        <v>95410</v>
      </c>
      <c r="AS65" s="212">
        <f>SUM(AO65,AP65,AQ65,AR65)</f>
        <v>1030137</v>
      </c>
      <c r="AU65" s="65" t="s">
        <v>39</v>
      </c>
      <c r="AV65" s="28">
        <f>AC65*gen_xl_cost*1.0404</f>
        <v>914407.55999999994</v>
      </c>
      <c r="AW65" s="28">
        <f>AD65*rack_cost</f>
        <v>270000</v>
      </c>
      <c r="AX65" s="50">
        <f>ROUND(AE65*ne_pwr,0)</f>
        <v>121515</v>
      </c>
      <c r="AY65" s="28">
        <f>(AH65+AO65)*hw_supt</f>
        <v>228683.2</v>
      </c>
      <c r="AZ65" s="212">
        <f>SUM(AV65,AW65,AX65,AY65)</f>
        <v>1534605.76</v>
      </c>
      <c r="BG65" s="173" t="s">
        <v>82</v>
      </c>
      <c r="BH65" s="177">
        <f>AL65</f>
        <v>650901</v>
      </c>
      <c r="BI65" s="177">
        <f>AS65</f>
        <v>1030137</v>
      </c>
      <c r="BJ65" s="177">
        <f>AZ65</f>
        <v>1534605.76</v>
      </c>
      <c r="BK65" s="180">
        <f>SUM(BH65:BJ65)</f>
        <v>3215643.76</v>
      </c>
    </row>
    <row r="66" spans="1:68" ht="17" customHeight="1" thickBot="1" x14ac:dyDescent="0.4">
      <c r="A66" s="27"/>
      <c r="B66" s="76" t="s">
        <v>44</v>
      </c>
      <c r="C66" s="427">
        <f>Bandwidth!N5+Bandwidth!O5+Bandwidth!O26</f>
        <v>456.53962031999993</v>
      </c>
      <c r="D66" s="427">
        <f>Bandwidth!N6+Bandwidth!O6+Bandwidth!O27</f>
        <v>1081.8636671999998</v>
      </c>
      <c r="E66" s="428">
        <f>Bandwidth!N7+Bandwidth!O7+Bandwidth!O28</f>
        <v>1923.3892665599997</v>
      </c>
      <c r="BG66" s="64" t="s">
        <v>217</v>
      </c>
      <c r="BH66" s="181">
        <f>K65</f>
        <v>203</v>
      </c>
      <c r="BI66" s="181">
        <f>T65</f>
        <v>278</v>
      </c>
      <c r="BJ66" s="181">
        <f>AC65</f>
        <v>374</v>
      </c>
      <c r="BK66" s="145">
        <f>SUM(BH66:BJ66)</f>
        <v>855</v>
      </c>
    </row>
    <row r="67" spans="1:68" x14ac:dyDescent="0.35">
      <c r="BG67" s="160" t="s">
        <v>218</v>
      </c>
      <c r="BH67" s="4">
        <f>L65</f>
        <v>29</v>
      </c>
      <c r="BI67" s="4">
        <f>U65</f>
        <v>40</v>
      </c>
      <c r="BJ67" s="4">
        <f>AD65</f>
        <v>54</v>
      </c>
      <c r="BK67" s="121">
        <f t="shared" ref="BK67:BK68" si="3">SUM(BH67:BJ67)</f>
        <v>123</v>
      </c>
    </row>
    <row r="68" spans="1:68" ht="16" thickBot="1" x14ac:dyDescent="0.4">
      <c r="BG68" s="65" t="s">
        <v>216</v>
      </c>
      <c r="BH68" s="45">
        <f>M65</f>
        <v>462353</v>
      </c>
      <c r="BI68" s="45">
        <f>V65</f>
        <v>1095526</v>
      </c>
      <c r="BJ68" s="45">
        <f>AE65</f>
        <v>1947348</v>
      </c>
      <c r="BK68" s="122">
        <f t="shared" si="3"/>
        <v>3505227</v>
      </c>
    </row>
    <row r="70" spans="1:68" ht="18.5" x14ac:dyDescent="0.45">
      <c r="A70" s="34" t="s">
        <v>282</v>
      </c>
    </row>
    <row r="72" spans="1:68" ht="95" customHeight="1" thickBot="1" x14ac:dyDescent="0.4">
      <c r="A72" s="581" t="s">
        <v>351</v>
      </c>
      <c r="B72" s="582"/>
      <c r="C72" s="582"/>
      <c r="D72" s="582"/>
      <c r="E72" s="582"/>
    </row>
    <row r="73" spans="1:68" ht="51" customHeight="1" thickBot="1" x14ac:dyDescent="0.4">
      <c r="A73" s="29"/>
      <c r="B73" s="71" t="s">
        <v>151</v>
      </c>
      <c r="C73" s="72" t="s">
        <v>45</v>
      </c>
      <c r="D73" s="72" t="s">
        <v>46</v>
      </c>
      <c r="E73" s="73" t="s">
        <v>47</v>
      </c>
      <c r="G73" s="402" t="s">
        <v>45</v>
      </c>
      <c r="H73" s="178"/>
      <c r="I73" s="178"/>
      <c r="J73" s="178"/>
      <c r="K73" s="178"/>
      <c r="L73" s="178"/>
      <c r="M73" s="179"/>
      <c r="N73" s="8"/>
      <c r="O73" s="402" t="s">
        <v>46</v>
      </c>
      <c r="P73" s="178"/>
      <c r="Q73" s="178"/>
      <c r="R73" s="178"/>
      <c r="S73" s="178"/>
      <c r="T73" s="178"/>
      <c r="U73" s="178"/>
      <c r="V73" s="179"/>
      <c r="W73" s="8"/>
      <c r="X73" s="66" t="s">
        <v>47</v>
      </c>
      <c r="Y73" s="67"/>
      <c r="Z73" s="67"/>
      <c r="AA73" s="67"/>
      <c r="AB73" s="67"/>
      <c r="AC73" s="67"/>
      <c r="AD73" s="67"/>
      <c r="AE73" s="68"/>
      <c r="AF73" s="8"/>
      <c r="AG73" s="66" t="s">
        <v>45</v>
      </c>
      <c r="AH73" s="67"/>
      <c r="AI73" s="67"/>
      <c r="AJ73" s="67"/>
      <c r="AK73" s="67"/>
      <c r="AL73" s="68"/>
      <c r="AN73" s="66" t="s">
        <v>46</v>
      </c>
      <c r="AO73" s="67"/>
      <c r="AP73" s="67"/>
      <c r="AQ73" s="67"/>
      <c r="AR73" s="67"/>
      <c r="AS73" s="68"/>
      <c r="AU73" s="66" t="s">
        <v>47</v>
      </c>
      <c r="AV73" s="67"/>
      <c r="AW73" s="67"/>
      <c r="AX73" s="67"/>
      <c r="AY73" s="67"/>
      <c r="AZ73" s="68"/>
      <c r="BB73" s="105" t="s">
        <v>202</v>
      </c>
      <c r="BC73" s="105" t="s">
        <v>201</v>
      </c>
      <c r="BD73" s="13" t="s">
        <v>200</v>
      </c>
      <c r="BE73" s="105" t="s">
        <v>199</v>
      </c>
      <c r="BG73" s="71" t="s">
        <v>69</v>
      </c>
      <c r="BH73" s="72"/>
      <c r="BI73" s="72"/>
      <c r="BJ73" s="72"/>
      <c r="BK73" s="73"/>
    </row>
    <row r="74" spans="1:68" ht="35" customHeight="1" thickBot="1" x14ac:dyDescent="0.4">
      <c r="A74" s="26"/>
      <c r="B74" s="75" t="s">
        <v>43</v>
      </c>
      <c r="C74" s="391">
        <v>0</v>
      </c>
      <c r="D74" s="391">
        <v>0</v>
      </c>
      <c r="E74" s="392">
        <v>0</v>
      </c>
      <c r="G74" s="123" t="s">
        <v>48</v>
      </c>
      <c r="H74" s="400" t="s">
        <v>134</v>
      </c>
      <c r="I74" s="110" t="s">
        <v>42</v>
      </c>
      <c r="J74" s="110" t="s">
        <v>29</v>
      </c>
      <c r="K74" s="114" t="s">
        <v>71</v>
      </c>
      <c r="L74" s="110" t="s">
        <v>51</v>
      </c>
      <c r="M74" s="401" t="s">
        <v>222</v>
      </c>
      <c r="N74" s="198"/>
      <c r="O74" s="123" t="s">
        <v>48</v>
      </c>
      <c r="P74" s="400" t="s">
        <v>134</v>
      </c>
      <c r="Q74" s="110" t="s">
        <v>42</v>
      </c>
      <c r="R74" s="110" t="s">
        <v>29</v>
      </c>
      <c r="S74" s="114" t="s">
        <v>95</v>
      </c>
      <c r="T74" s="114" t="s">
        <v>65</v>
      </c>
      <c r="U74" s="114" t="s">
        <v>67</v>
      </c>
      <c r="V74" s="401" t="s">
        <v>222</v>
      </c>
      <c r="W74" s="198"/>
      <c r="X74" s="123" t="s">
        <v>48</v>
      </c>
      <c r="Y74" s="400" t="s">
        <v>134</v>
      </c>
      <c r="Z74" s="110" t="s">
        <v>42</v>
      </c>
      <c r="AA74" s="110" t="s">
        <v>29</v>
      </c>
      <c r="AB74" s="114" t="s">
        <v>95</v>
      </c>
      <c r="AC74" s="114" t="s">
        <v>65</v>
      </c>
      <c r="AD74" s="114" t="s">
        <v>67</v>
      </c>
      <c r="AE74" s="401" t="s">
        <v>222</v>
      </c>
      <c r="AF74" s="198"/>
      <c r="AG74" s="268" t="s">
        <v>48</v>
      </c>
      <c r="AH74" s="201" t="s">
        <v>50</v>
      </c>
      <c r="AI74" s="265" t="s">
        <v>52</v>
      </c>
      <c r="AJ74" s="267" t="s">
        <v>223</v>
      </c>
      <c r="AK74" s="267" t="s">
        <v>54</v>
      </c>
      <c r="AL74" s="266" t="s">
        <v>88</v>
      </c>
      <c r="AN74" s="268" t="s">
        <v>48</v>
      </c>
      <c r="AO74" s="267" t="s">
        <v>66</v>
      </c>
      <c r="AP74" s="267" t="s">
        <v>68</v>
      </c>
      <c r="AQ74" s="267" t="s">
        <v>223</v>
      </c>
      <c r="AR74" s="267" t="s">
        <v>54</v>
      </c>
      <c r="AS74" s="266" t="s">
        <v>88</v>
      </c>
      <c r="AU74" s="268" t="s">
        <v>48</v>
      </c>
      <c r="AV74" s="267" t="s">
        <v>66</v>
      </c>
      <c r="AW74" s="267" t="s">
        <v>68</v>
      </c>
      <c r="AX74" s="267" t="s">
        <v>223</v>
      </c>
      <c r="AY74" s="267" t="s">
        <v>54</v>
      </c>
      <c r="AZ74" s="266" t="s">
        <v>88</v>
      </c>
      <c r="BB74" s="122">
        <f>SUM(AB75)</f>
        <v>10</v>
      </c>
      <c r="BC74" s="122">
        <f>SUM(AD75,U75,L75)</f>
        <v>3</v>
      </c>
      <c r="BD74" s="122">
        <f>SUM(AE75,V75,M75)</f>
        <v>43275</v>
      </c>
      <c r="BE74" s="166">
        <f>SUM(AL75,AS75,AZ75)</f>
        <v>45978.96</v>
      </c>
      <c r="BG74" s="64"/>
      <c r="BH74" s="200" t="s">
        <v>45</v>
      </c>
      <c r="BI74" s="200" t="s">
        <v>46</v>
      </c>
      <c r="BJ74" s="200" t="s">
        <v>47</v>
      </c>
      <c r="BK74" s="197" t="s">
        <v>70</v>
      </c>
    </row>
    <row r="75" spans="1:68" ht="16" thickBot="1" x14ac:dyDescent="0.4">
      <c r="A75" s="26"/>
      <c r="B75" s="75" t="s">
        <v>134</v>
      </c>
      <c r="C75" s="391">
        <f>55%*'CPU (Workload)'!G15</f>
        <v>8454.2510937499992</v>
      </c>
      <c r="D75" s="391">
        <f>55%*'CPU (Workload)'!G16</f>
        <v>20034.070833333331</v>
      </c>
      <c r="E75" s="392">
        <f>55%*'CPU (Workload)'!G17</f>
        <v>35617.534791666665</v>
      </c>
      <c r="G75" s="65" t="s">
        <v>39</v>
      </c>
      <c r="H75" s="49">
        <f>ROUNDUP($C75/(gen_xl_tps80),0)</f>
        <v>3</v>
      </c>
      <c r="I75" s="45">
        <f>ROUNDUP($C74/gen_xl_disk,0)</f>
        <v>0</v>
      </c>
      <c r="J75" s="45">
        <f>ROUNDUP($C76/gen_xl_bw,0)</f>
        <v>3</v>
      </c>
      <c r="K75" s="45">
        <f>MAX(H75:J75,2)</f>
        <v>3</v>
      </c>
      <c r="L75" s="45">
        <f>ROUNDUP(K75/gen_xl_spr80,0)</f>
        <v>1</v>
      </c>
      <c r="M75" s="52">
        <f>ROUND(K75*gen_l_pow80*24*365,0)</f>
        <v>6833</v>
      </c>
      <c r="N75" s="43"/>
      <c r="O75" s="65" t="s">
        <v>39</v>
      </c>
      <c r="P75" s="49">
        <f>ROUNDUP($D75/(gen_xl_tps80),0)</f>
        <v>6</v>
      </c>
      <c r="Q75" s="45">
        <f>ROUNDUP($D74/gen_xl_disk,0)</f>
        <v>0</v>
      </c>
      <c r="R75" s="45">
        <f>ROUNDUP($D76/gen_xl_bw,0)</f>
        <v>6</v>
      </c>
      <c r="S75" s="45">
        <f>MAX(P75:R75)</f>
        <v>6</v>
      </c>
      <c r="T75" s="45">
        <f>S75-K75</f>
        <v>3</v>
      </c>
      <c r="U75" s="45">
        <f>ROUNDUP(T75/gen_xl_spr80,0)</f>
        <v>1</v>
      </c>
      <c r="V75" s="52">
        <f>ROUND((S75)*gen_l_pow80*24*365,0)</f>
        <v>13666</v>
      </c>
      <c r="W75" s="43"/>
      <c r="X75" s="65" t="s">
        <v>39</v>
      </c>
      <c r="Y75" s="49">
        <f>ROUNDUP($E75/(gen_xl_tps80),0)</f>
        <v>10</v>
      </c>
      <c r="Z75" s="45">
        <f>ROUNDUP($E74/gen_xl_disk,0)</f>
        <v>0</v>
      </c>
      <c r="AA75" s="45">
        <f>ROUNDUP($E76/gen_xl_bw,0)</f>
        <v>10</v>
      </c>
      <c r="AB75" s="45">
        <f>MAX(Y75:AA75)</f>
        <v>10</v>
      </c>
      <c r="AC75" s="45">
        <f>AB75-S75</f>
        <v>4</v>
      </c>
      <c r="AD75" s="45">
        <f>ROUNDUP(AC75/gen_xl_spr80,0)</f>
        <v>1</v>
      </c>
      <c r="AE75" s="52">
        <f>ROUND((AB75)*gen_l_pow80*24*365,0)</f>
        <v>22776</v>
      </c>
      <c r="AF75" s="43"/>
      <c r="AG75" s="65" t="s">
        <v>39</v>
      </c>
      <c r="AH75" s="50">
        <f>K75*gen_xl_cost</f>
        <v>7050</v>
      </c>
      <c r="AI75" s="50">
        <f>L75*rack_cost</f>
        <v>5000</v>
      </c>
      <c r="AJ75" s="50">
        <f>ROUND(M75*ne_pwr,0)</f>
        <v>426</v>
      </c>
      <c r="AK75" s="50">
        <v>0</v>
      </c>
      <c r="AL75" s="212">
        <f>SUM(AH75,AI75,AJ75)</f>
        <v>12476</v>
      </c>
      <c r="AN75" s="65" t="s">
        <v>39</v>
      </c>
      <c r="AO75" s="28">
        <f>T75*gen_xl_cost*1.02</f>
        <v>7191</v>
      </c>
      <c r="AP75" s="28">
        <f>U75*rack_cost</f>
        <v>5000</v>
      </c>
      <c r="AQ75" s="28">
        <f>ROUND(V75*ne_pwr,0)</f>
        <v>853</v>
      </c>
      <c r="AR75" s="28">
        <f>AH75*hw_supt</f>
        <v>1410</v>
      </c>
      <c r="AS75" s="212">
        <f>SUM(AO75,AP75,AQ75,AR75)</f>
        <v>14454</v>
      </c>
      <c r="AU75" s="65" t="s">
        <v>39</v>
      </c>
      <c r="AV75" s="28">
        <f>AC75*gen_xl_cost*1.0404</f>
        <v>9779.76</v>
      </c>
      <c r="AW75" s="28">
        <f>AD75*rack_cost</f>
        <v>5000</v>
      </c>
      <c r="AX75" s="50">
        <f>ROUND(AE75*ne_pwr,0)</f>
        <v>1421</v>
      </c>
      <c r="AY75" s="28">
        <f>(AH75+AO75)*hw_supt</f>
        <v>2848.2000000000003</v>
      </c>
      <c r="AZ75" s="212">
        <f>SUM(AV75,AW75,AX75,AY75)</f>
        <v>19048.96</v>
      </c>
      <c r="BG75" s="173" t="s">
        <v>82</v>
      </c>
      <c r="BH75" s="177">
        <f>AL75</f>
        <v>12476</v>
      </c>
      <c r="BI75" s="177">
        <f>AS75</f>
        <v>14454</v>
      </c>
      <c r="BJ75" s="177">
        <f>AZ75</f>
        <v>19048.96</v>
      </c>
      <c r="BK75" s="180">
        <f>SUM(BH75:BJ75)</f>
        <v>45978.96</v>
      </c>
    </row>
    <row r="76" spans="1:68" ht="17" customHeight="1" thickBot="1" x14ac:dyDescent="0.4">
      <c r="A76" s="27"/>
      <c r="B76" s="76" t="s">
        <v>44</v>
      </c>
      <c r="C76" s="427">
        <f>55%*Bandwidth!O47</f>
        <v>4.9188369999999999</v>
      </c>
      <c r="D76" s="427">
        <f>55%*Bandwidth!O48</f>
        <v>11.656186666666668</v>
      </c>
      <c r="E76" s="428">
        <f>55%*Bandwidth!O49</f>
        <v>20.722929333333333</v>
      </c>
      <c r="BG76" s="64" t="s">
        <v>217</v>
      </c>
      <c r="BH76" s="181">
        <f>K75</f>
        <v>3</v>
      </c>
      <c r="BI76" s="181">
        <f>T75</f>
        <v>3</v>
      </c>
      <c r="BJ76" s="181">
        <f>AC75</f>
        <v>4</v>
      </c>
      <c r="BK76" s="145">
        <f>SUM(BH76:BJ76)</f>
        <v>10</v>
      </c>
    </row>
    <row r="77" spans="1:68" x14ac:dyDescent="0.35">
      <c r="BG77" s="160" t="s">
        <v>218</v>
      </c>
      <c r="BH77" s="4">
        <f>L75</f>
        <v>1</v>
      </c>
      <c r="BI77" s="4">
        <f>U75</f>
        <v>1</v>
      </c>
      <c r="BJ77" s="4">
        <f>AD75</f>
        <v>1</v>
      </c>
      <c r="BK77" s="121">
        <f t="shared" ref="BK77:BK78" si="4">SUM(BH77:BJ77)</f>
        <v>3</v>
      </c>
    </row>
    <row r="78" spans="1:68" ht="16" thickBot="1" x14ac:dyDescent="0.4">
      <c r="BG78" s="65" t="s">
        <v>216</v>
      </c>
      <c r="BH78" s="45">
        <f>M75</f>
        <v>6833</v>
      </c>
      <c r="BI78" s="45">
        <f>V75</f>
        <v>13666</v>
      </c>
      <c r="BJ78" s="45">
        <f>AE75</f>
        <v>22776</v>
      </c>
      <c r="BK78" s="122">
        <f t="shared" si="4"/>
        <v>43275</v>
      </c>
    </row>
    <row r="79" spans="1:68" x14ac:dyDescent="0.35">
      <c r="BH79" s="4"/>
      <c r="BI79" s="4"/>
      <c r="BJ79" s="4"/>
      <c r="BK79" s="4"/>
    </row>
    <row r="80" spans="1:68" ht="16" thickBot="1" x14ac:dyDescent="0.4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91" ht="16" thickTop="1" x14ac:dyDescent="0.35"/>
    <row r="82" spans="1:91" ht="21" customHeight="1" x14ac:dyDescent="0.5">
      <c r="A82" s="54" t="s">
        <v>75</v>
      </c>
    </row>
    <row r="83" spans="1:91" x14ac:dyDescent="0.35">
      <c r="A83" t="s">
        <v>97</v>
      </c>
    </row>
    <row r="84" spans="1:91" ht="34" customHeight="1" thickBot="1" x14ac:dyDescent="0.4"/>
    <row r="85" spans="1:91" ht="51" customHeight="1" thickBot="1" x14ac:dyDescent="0.4">
      <c r="A85" s="29" t="s">
        <v>72</v>
      </c>
      <c r="B85" s="71" t="s">
        <v>151</v>
      </c>
      <c r="C85" s="72" t="s">
        <v>45</v>
      </c>
      <c r="D85" s="72" t="s">
        <v>46</v>
      </c>
      <c r="E85" s="73" t="s">
        <v>47</v>
      </c>
      <c r="G85" s="402" t="s">
        <v>45</v>
      </c>
      <c r="H85" s="178"/>
      <c r="I85" s="178"/>
      <c r="J85" s="178"/>
      <c r="K85" s="178"/>
      <c r="L85" s="178"/>
      <c r="M85" s="179"/>
      <c r="N85" s="8"/>
      <c r="O85" s="402" t="s">
        <v>46</v>
      </c>
      <c r="P85" s="178"/>
      <c r="Q85" s="178"/>
      <c r="R85" s="178"/>
      <c r="S85" s="178"/>
      <c r="T85" s="178"/>
      <c r="U85" s="178"/>
      <c r="V85" s="179"/>
      <c r="W85" s="8"/>
      <c r="X85" s="66" t="s">
        <v>47</v>
      </c>
      <c r="Y85" s="67"/>
      <c r="Z85" s="67"/>
      <c r="AA85" s="67"/>
      <c r="AB85" s="67"/>
      <c r="AC85" s="67"/>
      <c r="AD85" s="67"/>
      <c r="AE85" s="68"/>
      <c r="AF85" s="8"/>
      <c r="AG85" s="66" t="s">
        <v>45</v>
      </c>
      <c r="AH85" s="67"/>
      <c r="AI85" s="67"/>
      <c r="AJ85" s="67"/>
      <c r="AK85" s="67"/>
      <c r="AL85" s="68"/>
      <c r="AN85" s="66" t="s">
        <v>46</v>
      </c>
      <c r="AO85" s="67"/>
      <c r="AP85" s="67"/>
      <c r="AQ85" s="67"/>
      <c r="AR85" s="67"/>
      <c r="AS85" s="68"/>
      <c r="AU85" s="66" t="s">
        <v>47</v>
      </c>
      <c r="AV85" s="67"/>
      <c r="AW85" s="67"/>
      <c r="AX85" s="67"/>
      <c r="AY85" s="67"/>
      <c r="AZ85" s="68"/>
      <c r="BB85" s="8"/>
      <c r="BC85" s="8"/>
      <c r="BD85" s="182"/>
      <c r="BE85" s="39"/>
      <c r="BG85" s="71" t="s">
        <v>69</v>
      </c>
      <c r="BH85" s="72"/>
      <c r="BI85" s="72"/>
      <c r="BJ85" s="72"/>
      <c r="BK85" s="73"/>
      <c r="BM85" s="7"/>
      <c r="BN85" s="7"/>
      <c r="BO85" s="7"/>
      <c r="BP85" s="198"/>
    </row>
    <row r="86" spans="1:91" ht="47" thickBot="1" x14ac:dyDescent="0.4">
      <c r="A86" s="26"/>
      <c r="B86" s="75" t="s">
        <v>43</v>
      </c>
      <c r="C86" s="391">
        <f t="shared" ref="C86:E88" si="5">SUM(C44,C54,C64,C74)</f>
        <v>518400</v>
      </c>
      <c r="D86" s="391">
        <f t="shared" si="5"/>
        <v>518400</v>
      </c>
      <c r="E86" s="392">
        <f t="shared" si="5"/>
        <v>518400</v>
      </c>
      <c r="G86" s="123" t="s">
        <v>48</v>
      </c>
      <c r="H86" s="400" t="s">
        <v>134</v>
      </c>
      <c r="I86" s="110" t="s">
        <v>42</v>
      </c>
      <c r="J86" s="110" t="s">
        <v>29</v>
      </c>
      <c r="K86" s="114" t="s">
        <v>71</v>
      </c>
      <c r="L86" s="110" t="s">
        <v>51</v>
      </c>
      <c r="M86" s="401" t="s">
        <v>222</v>
      </c>
      <c r="N86" s="198"/>
      <c r="O86" s="123" t="s">
        <v>48</v>
      </c>
      <c r="P86" s="400" t="s">
        <v>134</v>
      </c>
      <c r="Q86" s="110" t="s">
        <v>42</v>
      </c>
      <c r="R86" s="110" t="s">
        <v>29</v>
      </c>
      <c r="S86" s="114" t="s">
        <v>95</v>
      </c>
      <c r="T86" s="114" t="s">
        <v>65</v>
      </c>
      <c r="U86" s="114" t="s">
        <v>67</v>
      </c>
      <c r="V86" s="401" t="s">
        <v>222</v>
      </c>
      <c r="W86" s="198"/>
      <c r="X86" s="123" t="s">
        <v>48</v>
      </c>
      <c r="Y86" s="400" t="s">
        <v>134</v>
      </c>
      <c r="Z86" s="110" t="s">
        <v>42</v>
      </c>
      <c r="AA86" s="110" t="s">
        <v>29</v>
      </c>
      <c r="AB86" s="114" t="s">
        <v>95</v>
      </c>
      <c r="AC86" s="114" t="s">
        <v>65</v>
      </c>
      <c r="AD86" s="114" t="s">
        <v>67</v>
      </c>
      <c r="AE86" s="401" t="s">
        <v>222</v>
      </c>
      <c r="AF86" s="198"/>
      <c r="AG86" s="268" t="s">
        <v>48</v>
      </c>
      <c r="AH86" s="201" t="s">
        <v>50</v>
      </c>
      <c r="AI86" s="265" t="s">
        <v>52</v>
      </c>
      <c r="AJ86" s="267" t="s">
        <v>223</v>
      </c>
      <c r="AK86" s="267" t="s">
        <v>54</v>
      </c>
      <c r="AL86" s="266" t="s">
        <v>88</v>
      </c>
      <c r="AN86" s="268" t="s">
        <v>48</v>
      </c>
      <c r="AO86" s="267" t="s">
        <v>66</v>
      </c>
      <c r="AP86" s="267" t="s">
        <v>68</v>
      </c>
      <c r="AQ86" s="267" t="s">
        <v>223</v>
      </c>
      <c r="AR86" s="267" t="s">
        <v>54</v>
      </c>
      <c r="AS86" s="266" t="s">
        <v>88</v>
      </c>
      <c r="AU86" s="268" t="s">
        <v>48</v>
      </c>
      <c r="AV86" s="267" t="s">
        <v>66</v>
      </c>
      <c r="AW86" s="267" t="s">
        <v>68</v>
      </c>
      <c r="AX86" s="267" t="s">
        <v>223</v>
      </c>
      <c r="AY86" s="267" t="s">
        <v>54</v>
      </c>
      <c r="AZ86" s="266" t="s">
        <v>88</v>
      </c>
      <c r="BG86" s="64"/>
      <c r="BH86" s="200" t="s">
        <v>45</v>
      </c>
      <c r="BI86" s="200" t="s">
        <v>46</v>
      </c>
      <c r="BJ86" s="200" t="s">
        <v>47</v>
      </c>
      <c r="BK86" s="197" t="s">
        <v>70</v>
      </c>
      <c r="BM86" s="43"/>
      <c r="BN86" s="43"/>
      <c r="BO86" s="43"/>
      <c r="BP86" s="43"/>
    </row>
    <row r="87" spans="1:91" ht="16" thickBot="1" x14ac:dyDescent="0.4">
      <c r="A87" s="26"/>
      <c r="B87" s="75" t="s">
        <v>134</v>
      </c>
      <c r="C87" s="391">
        <f t="shared" si="5"/>
        <v>8454.2510937499992</v>
      </c>
      <c r="D87" s="391">
        <f t="shared" si="5"/>
        <v>20034.070833333331</v>
      </c>
      <c r="E87" s="392">
        <f t="shared" si="5"/>
        <v>35617.534791666665</v>
      </c>
      <c r="G87" s="65" t="s">
        <v>39</v>
      </c>
      <c r="H87" s="69"/>
      <c r="I87" s="70"/>
      <c r="J87" s="70"/>
      <c r="K87" s="45">
        <f>SUM(K65,K75)</f>
        <v>206</v>
      </c>
      <c r="L87" s="45">
        <f>SUM(L65,L75)</f>
        <v>30</v>
      </c>
      <c r="M87" s="52">
        <f>SUM(M65,M75)</f>
        <v>469186</v>
      </c>
      <c r="N87" s="43"/>
      <c r="O87" s="65" t="s">
        <v>39</v>
      </c>
      <c r="P87" s="69"/>
      <c r="Q87" s="70"/>
      <c r="R87" s="70"/>
      <c r="S87" s="45">
        <f t="shared" ref="S87:U87" si="6">SUM(S65,S75)</f>
        <v>487</v>
      </c>
      <c r="T87" s="45">
        <f t="shared" si="6"/>
        <v>281</v>
      </c>
      <c r="U87" s="45">
        <f t="shared" si="6"/>
        <v>41</v>
      </c>
      <c r="V87" s="52">
        <f>SUM(V65,V75)</f>
        <v>1109192</v>
      </c>
      <c r="W87" s="43"/>
      <c r="X87" s="65" t="s">
        <v>39</v>
      </c>
      <c r="Y87" s="69"/>
      <c r="Z87" s="70"/>
      <c r="AA87" s="70"/>
      <c r="AB87" s="45">
        <f t="shared" ref="AB87:AD87" si="7">SUM(AB65,AB75)</f>
        <v>865</v>
      </c>
      <c r="AC87" s="45">
        <f t="shared" si="7"/>
        <v>378</v>
      </c>
      <c r="AD87" s="45">
        <f t="shared" si="7"/>
        <v>55</v>
      </c>
      <c r="AE87" s="52">
        <f>SUM(AE65,AE75)</f>
        <v>1970124</v>
      </c>
      <c r="AF87" s="43"/>
      <c r="AG87" s="65" t="s">
        <v>39</v>
      </c>
      <c r="AH87" s="50">
        <f>SUM(AH65,AH75)</f>
        <v>484100</v>
      </c>
      <c r="AI87" s="50">
        <f>SUM(AI65,AI75)</f>
        <v>150000</v>
      </c>
      <c r="AJ87" s="50">
        <f>SUM(AJ65,AJ75)</f>
        <v>29277</v>
      </c>
      <c r="AK87" s="50">
        <f>SUM(AK65,AK75)</f>
        <v>0</v>
      </c>
      <c r="AL87" s="212">
        <f>SUM(AL65,AL75)</f>
        <v>663377</v>
      </c>
      <c r="AN87" s="65" t="s">
        <v>39</v>
      </c>
      <c r="AO87" s="28">
        <f>SUM(AO65,AO75)</f>
        <v>673557</v>
      </c>
      <c r="AP87" s="28">
        <f>SUM(AP65,AP75)</f>
        <v>205000</v>
      </c>
      <c r="AQ87" s="28">
        <f>SUM(AQ65,AQ75)</f>
        <v>69214</v>
      </c>
      <c r="AR87" s="28">
        <f>SUM(AR65,AR75)</f>
        <v>96820</v>
      </c>
      <c r="AS87" s="212">
        <f>SUM(AS65,AS75)</f>
        <v>1044591</v>
      </c>
      <c r="AU87" s="65" t="s">
        <v>39</v>
      </c>
      <c r="AV87" s="28">
        <f>SUM(AV65,AV75)</f>
        <v>924187.32</v>
      </c>
      <c r="AW87" s="28">
        <f>SUM(AW65,AW75)</f>
        <v>275000</v>
      </c>
      <c r="AX87" s="28">
        <f>SUM(AX65,AX75)</f>
        <v>122936</v>
      </c>
      <c r="AY87" s="28">
        <f>SUM(AY65,AY75)</f>
        <v>231531.40000000002</v>
      </c>
      <c r="AZ87" s="212">
        <f>SUM(AZ65,AZ75)</f>
        <v>1553654.72</v>
      </c>
      <c r="BB87" s="4"/>
      <c r="BC87" s="4"/>
      <c r="BD87" s="4"/>
      <c r="BE87" s="59"/>
      <c r="BG87" s="173" t="s">
        <v>82</v>
      </c>
      <c r="BH87" s="177">
        <f t="shared" ref="BH87:BJ90" si="8">SUM(BH45,BH55,BH65,BH75)</f>
        <v>1395825</v>
      </c>
      <c r="BI87" s="177">
        <f t="shared" si="8"/>
        <v>2294713</v>
      </c>
      <c r="BJ87" s="177">
        <f t="shared" si="8"/>
        <v>3023450.7199999997</v>
      </c>
      <c r="BK87" s="180">
        <f>SUM(BH87:BJ87)</f>
        <v>6713988.7199999997</v>
      </c>
    </row>
    <row r="88" spans="1:91" ht="16" thickBot="1" x14ac:dyDescent="0.4">
      <c r="A88" s="27"/>
      <c r="B88" s="76" t="s">
        <v>44</v>
      </c>
      <c r="C88" s="427">
        <f t="shared" si="5"/>
        <v>619.21897491999994</v>
      </c>
      <c r="D88" s="427">
        <f t="shared" si="5"/>
        <v>1467.3655498666662</v>
      </c>
      <c r="E88" s="428">
        <f t="shared" si="5"/>
        <v>2608.7530566933333</v>
      </c>
      <c r="G88" s="65" t="s">
        <v>285</v>
      </c>
      <c r="H88" s="69"/>
      <c r="I88" s="70"/>
      <c r="J88" s="70"/>
      <c r="K88" s="45">
        <f>SUM(K45,K55)</f>
        <v>4</v>
      </c>
      <c r="L88" s="45">
        <f>SUM(L45,L55)</f>
        <v>2</v>
      </c>
      <c r="M88" s="52">
        <f>SUM(M45,M55,M66,M76)</f>
        <v>39244</v>
      </c>
      <c r="O88" s="65" t="s">
        <v>285</v>
      </c>
      <c r="P88" s="69"/>
      <c r="Q88" s="70"/>
      <c r="R88" s="70"/>
      <c r="S88" s="45">
        <f t="shared" ref="S88:U88" si="9">SUM(S45,S55)</f>
        <v>10</v>
      </c>
      <c r="T88" s="45">
        <f t="shared" si="9"/>
        <v>6</v>
      </c>
      <c r="U88" s="45">
        <f t="shared" si="9"/>
        <v>4</v>
      </c>
      <c r="V88" s="52">
        <f>SUM(V45,V55,V66,V76)</f>
        <v>98112</v>
      </c>
      <c r="X88" s="65" t="s">
        <v>285</v>
      </c>
      <c r="Y88" s="69"/>
      <c r="Z88" s="70"/>
      <c r="AA88" s="70"/>
      <c r="AB88" s="45">
        <f t="shared" ref="AB88:AD88" si="10">SUM(AB45,AB55)</f>
        <v>16</v>
      </c>
      <c r="AC88" s="45">
        <f t="shared" si="10"/>
        <v>6</v>
      </c>
      <c r="AD88" s="45">
        <f t="shared" si="10"/>
        <v>4</v>
      </c>
      <c r="AE88" s="52">
        <f>SUM(AE45,AE55,AE66,AE76)</f>
        <v>156980</v>
      </c>
      <c r="AG88" s="65" t="s">
        <v>285</v>
      </c>
      <c r="AH88" s="50">
        <f>SUM(AH45,AH55,AH66,AH76)</f>
        <v>720000</v>
      </c>
      <c r="AI88" s="50">
        <f>SUM(AI45,AI55,AI66,AI76)</f>
        <v>10000</v>
      </c>
      <c r="AJ88" s="50">
        <f>SUM(AJ45,AJ55,AJ66,AJ76)</f>
        <v>2448</v>
      </c>
      <c r="AK88" s="50">
        <f>SUM(AK45,AK55,AK66,AK76)</f>
        <v>0</v>
      </c>
      <c r="AL88" s="212">
        <f>SUM(AL45,AL55,AL66,AL76)</f>
        <v>732448</v>
      </c>
      <c r="AN88" s="65" t="s">
        <v>285</v>
      </c>
      <c r="AO88" s="28">
        <f>SUM(AO45,AO55,AO66,AO76)</f>
        <v>1080000</v>
      </c>
      <c r="AP88" s="28">
        <f>SUM(AP45,AP55,AP66,AP76)</f>
        <v>20000</v>
      </c>
      <c r="AQ88" s="28">
        <f>SUM(AQ45,AQ55,AQ66,AQ76)</f>
        <v>6122</v>
      </c>
      <c r="AR88" s="28">
        <f>SUM(AR45,AR55,AR66,AR76)</f>
        <v>144000</v>
      </c>
      <c r="AS88" s="212">
        <f>SUM(AS45,AS55,AS66,AS76)</f>
        <v>1250122</v>
      </c>
      <c r="AU88" s="65" t="s">
        <v>285</v>
      </c>
      <c r="AV88" s="28">
        <f>SUM(AV45,AV55,AV66,AV76)</f>
        <v>1080000</v>
      </c>
      <c r="AW88" s="28">
        <f>SUM(AW45,AW55,AW66,AW76)</f>
        <v>20000</v>
      </c>
      <c r="AX88" s="28">
        <f>SUM(AX45,AX55,AX66,AX76)</f>
        <v>9796</v>
      </c>
      <c r="AY88" s="28">
        <f>SUM(AY45,AY55,AY66,AY76)</f>
        <v>360000</v>
      </c>
      <c r="AZ88" s="212">
        <f>SUM(AZ45,AZ55,AZ66,AZ76)</f>
        <v>1469796</v>
      </c>
      <c r="BB88" s="4"/>
      <c r="BC88" s="4"/>
      <c r="BD88" s="4"/>
      <c r="BE88" s="59"/>
      <c r="BG88" s="64" t="s">
        <v>217</v>
      </c>
      <c r="BH88" s="181">
        <f t="shared" si="8"/>
        <v>210</v>
      </c>
      <c r="BI88" s="181">
        <f t="shared" si="8"/>
        <v>287</v>
      </c>
      <c r="BJ88" s="181">
        <f>SUM(BJ46,BJ56,BJ66,BJ76)</f>
        <v>384</v>
      </c>
      <c r="BK88" s="145">
        <f>SUM(BH88:BJ88)</f>
        <v>881</v>
      </c>
    </row>
    <row r="89" spans="1:91" x14ac:dyDescent="0.35">
      <c r="BG89" s="160" t="s">
        <v>218</v>
      </c>
      <c r="BH89" s="4">
        <f t="shared" si="8"/>
        <v>32</v>
      </c>
      <c r="BI89" s="4">
        <f t="shared" si="8"/>
        <v>45</v>
      </c>
      <c r="BJ89" s="4">
        <f t="shared" si="8"/>
        <v>59</v>
      </c>
      <c r="BK89" s="121">
        <f t="shared" ref="BK89:BK90" si="11">SUM(BH89:BJ89)</f>
        <v>136</v>
      </c>
    </row>
    <row r="90" spans="1:91" ht="16" thickBot="1" x14ac:dyDescent="0.4">
      <c r="BG90" s="65" t="s">
        <v>216</v>
      </c>
      <c r="BH90" s="45">
        <f t="shared" si="8"/>
        <v>508430</v>
      </c>
      <c r="BI90" s="45">
        <f t="shared" si="8"/>
        <v>1207304</v>
      </c>
      <c r="BJ90" s="45">
        <f t="shared" si="8"/>
        <v>2127104</v>
      </c>
      <c r="BK90" s="122">
        <f t="shared" si="11"/>
        <v>3842838</v>
      </c>
    </row>
    <row r="92" spans="1:91" x14ac:dyDescent="0.3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</row>
    <row r="94" spans="1:91" ht="21" x14ac:dyDescent="0.5">
      <c r="A94" s="54" t="s">
        <v>76</v>
      </c>
    </row>
    <row r="95" spans="1:91" x14ac:dyDescent="0.35">
      <c r="A95" t="s">
        <v>153</v>
      </c>
    </row>
    <row r="96" spans="1:91" x14ac:dyDescent="0.35">
      <c r="A96" t="s">
        <v>154</v>
      </c>
    </row>
    <row r="97" spans="1:11" x14ac:dyDescent="0.35">
      <c r="A97" t="s">
        <v>155</v>
      </c>
    </row>
    <row r="98" spans="1:11" x14ac:dyDescent="0.35">
      <c r="A98" t="s">
        <v>194</v>
      </c>
    </row>
    <row r="99" spans="1:11" x14ac:dyDescent="0.35">
      <c r="A99" t="s">
        <v>303</v>
      </c>
    </row>
    <row r="100" spans="1:11" x14ac:dyDescent="0.35">
      <c r="A100" t="s">
        <v>379</v>
      </c>
    </row>
    <row r="102" spans="1:11" x14ac:dyDescent="0.35">
      <c r="A102" s="8" t="s">
        <v>205</v>
      </c>
    </row>
    <row r="103" spans="1:11" ht="16" thickBot="1" x14ac:dyDescent="0.4"/>
    <row r="104" spans="1:11" ht="16" thickBot="1" x14ac:dyDescent="0.4">
      <c r="A104" s="29" t="s">
        <v>198</v>
      </c>
      <c r="B104" s="64"/>
      <c r="C104" s="200" t="s">
        <v>45</v>
      </c>
      <c r="D104" s="200" t="s">
        <v>46</v>
      </c>
      <c r="E104" s="53" t="s">
        <v>47</v>
      </c>
      <c r="G104" s="578" t="s">
        <v>85</v>
      </c>
      <c r="H104" s="167" t="s">
        <v>195</v>
      </c>
      <c r="I104" s="163"/>
      <c r="J104" s="164"/>
      <c r="K104" t="s">
        <v>381</v>
      </c>
    </row>
    <row r="105" spans="1:11" ht="34" customHeight="1" thickBot="1" x14ac:dyDescent="0.4">
      <c r="A105" s="27"/>
      <c r="B105" s="169" t="s">
        <v>44</v>
      </c>
      <c r="C105" s="158">
        <f>Bandwidth!O5+Bandwidth!O26+42%*Bandwidth!O47</f>
        <v>383.02536551999992</v>
      </c>
      <c r="D105" s="158">
        <f>Bandwidth!O6+Bandwidth!O27+42%*Bandwidth!O48</f>
        <v>907.65665919999981</v>
      </c>
      <c r="E105" s="159">
        <f>Bandwidth!O7+Bandwidth!O28+42%*Bandwidth!O49</f>
        <v>1613.6756681599998</v>
      </c>
      <c r="G105" s="579"/>
      <c r="H105" s="123" t="s">
        <v>45</v>
      </c>
      <c r="I105" s="161" t="s">
        <v>46</v>
      </c>
      <c r="J105" s="162" t="s">
        <v>47</v>
      </c>
    </row>
    <row r="106" spans="1:11" x14ac:dyDescent="0.35">
      <c r="G106" s="160" t="s">
        <v>81</v>
      </c>
      <c r="H106" s="121">
        <f>ROUNDUP(C105/gig_bw,0)*1.5</f>
        <v>766.5</v>
      </c>
      <c r="I106" s="121">
        <f>ROUNDUP(D105/gig_bw,0)*1.5</f>
        <v>1816.5</v>
      </c>
      <c r="J106" s="121">
        <f>ROUNDUP(E105/gig_bw,0)*1.5</f>
        <v>3228</v>
      </c>
    </row>
    <row r="107" spans="1:11" x14ac:dyDescent="0.35">
      <c r="G107" s="160" t="s">
        <v>83</v>
      </c>
      <c r="H107" s="121">
        <f>ROUNDUP(C105/oc48_bw,0)*1.5</f>
        <v>307.5</v>
      </c>
      <c r="I107" s="121">
        <f>ROUNDUP(D105/oc48_bw,0)*1.5</f>
        <v>727.5</v>
      </c>
      <c r="J107" s="121">
        <f>ROUNDUP(E105/oc48_bw,0)*1.5</f>
        <v>1291.5</v>
      </c>
    </row>
    <row r="108" spans="1:11" ht="16" thickBot="1" x14ac:dyDescent="0.4">
      <c r="G108" s="65" t="s">
        <v>84</v>
      </c>
      <c r="H108" s="122">
        <f>ROUNDUP(C105/oc192_bw,0)*1.5</f>
        <v>78</v>
      </c>
      <c r="I108" s="122">
        <f>ROUNDUP(D105/oc192_bw,0)*1.5</f>
        <v>183</v>
      </c>
      <c r="J108" s="122">
        <f>ROUNDUP(E105/oc192_bw,0)*1.5</f>
        <v>324</v>
      </c>
    </row>
    <row r="111" spans="1:11" x14ac:dyDescent="0.35">
      <c r="A111" s="8" t="s">
        <v>206</v>
      </c>
    </row>
    <row r="112" spans="1:11" x14ac:dyDescent="0.35">
      <c r="A112" t="s">
        <v>203</v>
      </c>
    </row>
    <row r="113" spans="1:51" x14ac:dyDescent="0.35">
      <c r="A113" t="s">
        <v>196</v>
      </c>
      <c r="F113" s="46"/>
      <c r="N113" s="46"/>
    </row>
    <row r="114" spans="1:51" x14ac:dyDescent="0.35">
      <c r="A114" t="s">
        <v>197</v>
      </c>
      <c r="C114" s="4"/>
      <c r="E114" s="2"/>
      <c r="F114" s="60"/>
      <c r="G114" s="46"/>
      <c r="H114" s="7"/>
      <c r="I114" s="59"/>
    </row>
    <row r="115" spans="1:51" ht="16" thickBot="1" x14ac:dyDescent="0.4">
      <c r="G115" s="4"/>
      <c r="H115" s="4"/>
    </row>
    <row r="116" spans="1:51" ht="17" customHeight="1" thickBot="1" x14ac:dyDescent="0.4">
      <c r="A116" s="168" t="s">
        <v>198</v>
      </c>
      <c r="B116" s="64"/>
      <c r="C116" s="200" t="s">
        <v>45</v>
      </c>
      <c r="D116" s="200" t="s">
        <v>46</v>
      </c>
      <c r="E116" s="53" t="s">
        <v>47</v>
      </c>
      <c r="G116" s="578"/>
      <c r="H116" s="167" t="s">
        <v>195</v>
      </c>
      <c r="I116" s="163"/>
      <c r="J116" s="164"/>
    </row>
    <row r="117" spans="1:51" ht="16" thickBot="1" x14ac:dyDescent="0.4">
      <c r="A117" s="48"/>
      <c r="B117" s="169" t="s">
        <v>288</v>
      </c>
      <c r="C117" s="119">
        <f>K75+K65</f>
        <v>206</v>
      </c>
      <c r="D117" s="119">
        <f>S75+S65</f>
        <v>487</v>
      </c>
      <c r="E117" s="116">
        <f>AB75+AB65</f>
        <v>865</v>
      </c>
      <c r="G117" s="579"/>
      <c r="H117" s="123" t="s">
        <v>45</v>
      </c>
      <c r="I117" s="161" t="s">
        <v>46</v>
      </c>
      <c r="J117" s="162" t="s">
        <v>47</v>
      </c>
    </row>
    <row r="118" spans="1:51" ht="16" thickBot="1" x14ac:dyDescent="0.4">
      <c r="A118" s="173"/>
      <c r="B118" s="215" t="s">
        <v>289</v>
      </c>
      <c r="C118" s="218">
        <f>K88</f>
        <v>4</v>
      </c>
      <c r="D118" s="218">
        <f>S88</f>
        <v>10</v>
      </c>
      <c r="E118" s="217">
        <f>AB88</f>
        <v>16</v>
      </c>
      <c r="G118" s="65" t="s">
        <v>81</v>
      </c>
      <c r="H118" s="122">
        <f>C117*gen_xl_ports</f>
        <v>824</v>
      </c>
      <c r="I118" s="122">
        <f>D117*gen_xl_ports</f>
        <v>1948</v>
      </c>
      <c r="J118" s="122">
        <f>E117*gen_xl_ports</f>
        <v>3460</v>
      </c>
      <c r="K118" t="s">
        <v>204</v>
      </c>
    </row>
    <row r="119" spans="1:51" ht="16" thickBot="1" x14ac:dyDescent="0.4">
      <c r="G119" s="65" t="s">
        <v>84</v>
      </c>
      <c r="H119" s="122">
        <f>C118*nas_ports</f>
        <v>32</v>
      </c>
      <c r="I119" s="122">
        <f>D118*nas_ports</f>
        <v>80</v>
      </c>
      <c r="J119" s="122">
        <f>E118*nas_ports</f>
        <v>128</v>
      </c>
      <c r="K119" t="s">
        <v>380</v>
      </c>
    </row>
    <row r="121" spans="1:51" ht="19" thickBot="1" x14ac:dyDescent="0.5">
      <c r="A121" s="34" t="s">
        <v>210</v>
      </c>
    </row>
    <row r="122" spans="1:51" ht="16" thickBot="1" x14ac:dyDescent="0.4">
      <c r="A122" t="s">
        <v>211</v>
      </c>
      <c r="G122" s="578"/>
      <c r="H122" s="73" t="s">
        <v>213</v>
      </c>
      <c r="I122" s="163"/>
      <c r="J122" s="164"/>
      <c r="L122" s="578"/>
      <c r="M122" s="71" t="s">
        <v>98</v>
      </c>
      <c r="N122" s="72"/>
      <c r="O122" s="73"/>
      <c r="P122" s="71" t="s">
        <v>89</v>
      </c>
      <c r="Q122" s="72"/>
      <c r="R122" s="73"/>
      <c r="S122" s="71" t="s">
        <v>212</v>
      </c>
      <c r="T122" s="72"/>
      <c r="U122" s="72"/>
      <c r="V122" s="71" t="s">
        <v>224</v>
      </c>
      <c r="W122" s="72"/>
      <c r="X122" s="73"/>
      <c r="Z122" s="71" t="s">
        <v>45</v>
      </c>
      <c r="AA122" s="72"/>
      <c r="AB122" s="72"/>
      <c r="AC122" s="72"/>
      <c r="AD122" s="72"/>
      <c r="AE122" s="73"/>
      <c r="AG122" s="71" t="s">
        <v>46</v>
      </c>
      <c r="AH122" s="72"/>
      <c r="AI122" s="72"/>
      <c r="AJ122" s="72"/>
      <c r="AK122" s="72"/>
      <c r="AL122" s="73"/>
      <c r="AN122" s="71" t="s">
        <v>47</v>
      </c>
      <c r="AO122" s="72"/>
      <c r="AP122" s="72"/>
      <c r="AQ122" s="72"/>
      <c r="AR122" s="72"/>
      <c r="AS122" s="73"/>
      <c r="AU122" s="71" t="s">
        <v>69</v>
      </c>
      <c r="AV122" s="72"/>
      <c r="AW122" s="72"/>
      <c r="AX122" s="72"/>
      <c r="AY122" s="73"/>
    </row>
    <row r="123" spans="1:51" ht="31.5" thickBot="1" x14ac:dyDescent="0.4">
      <c r="A123" t="s">
        <v>207</v>
      </c>
      <c r="G123" s="583"/>
      <c r="H123" s="123" t="s">
        <v>45</v>
      </c>
      <c r="I123" s="161" t="s">
        <v>46</v>
      </c>
      <c r="J123" s="162" t="s">
        <v>47</v>
      </c>
      <c r="L123" s="579"/>
      <c r="M123" s="201" t="s">
        <v>45</v>
      </c>
      <c r="N123" s="139" t="s">
        <v>46</v>
      </c>
      <c r="O123" s="140" t="s">
        <v>47</v>
      </c>
      <c r="P123" s="109" t="s">
        <v>45</v>
      </c>
      <c r="Q123" s="72" t="s">
        <v>46</v>
      </c>
      <c r="R123" s="73" t="s">
        <v>47</v>
      </c>
      <c r="S123" s="109" t="s">
        <v>45</v>
      </c>
      <c r="T123" s="72" t="s">
        <v>46</v>
      </c>
      <c r="U123" s="72" t="s">
        <v>47</v>
      </c>
      <c r="V123" s="109" t="s">
        <v>45</v>
      </c>
      <c r="W123" s="72" t="s">
        <v>46</v>
      </c>
      <c r="X123" s="73" t="s">
        <v>47</v>
      </c>
      <c r="Z123" s="109" t="s">
        <v>156</v>
      </c>
      <c r="AA123" s="110" t="s">
        <v>78</v>
      </c>
      <c r="AB123" s="110" t="s">
        <v>52</v>
      </c>
      <c r="AC123" s="114" t="s">
        <v>223</v>
      </c>
      <c r="AD123" s="114" t="s">
        <v>54</v>
      </c>
      <c r="AE123" s="123" t="s">
        <v>88</v>
      </c>
      <c r="AG123" s="109" t="s">
        <v>156</v>
      </c>
      <c r="AH123" s="110" t="s">
        <v>78</v>
      </c>
      <c r="AI123" s="110" t="s">
        <v>52</v>
      </c>
      <c r="AJ123" s="114" t="s">
        <v>223</v>
      </c>
      <c r="AK123" s="114" t="s">
        <v>54</v>
      </c>
      <c r="AL123" s="123" t="s">
        <v>88</v>
      </c>
      <c r="AN123" s="109" t="s">
        <v>156</v>
      </c>
      <c r="AO123" s="110" t="s">
        <v>78</v>
      </c>
      <c r="AP123" s="110" t="s">
        <v>52</v>
      </c>
      <c r="AQ123" s="114" t="s">
        <v>223</v>
      </c>
      <c r="AR123" s="114" t="s">
        <v>54</v>
      </c>
      <c r="AS123" s="123" t="s">
        <v>88</v>
      </c>
      <c r="AU123" s="64"/>
      <c r="AV123" s="199" t="s">
        <v>45</v>
      </c>
      <c r="AW123" s="200" t="s">
        <v>46</v>
      </c>
      <c r="AX123" s="53" t="s">
        <v>47</v>
      </c>
      <c r="AY123" s="197" t="s">
        <v>70</v>
      </c>
    </row>
    <row r="124" spans="1:51" ht="17" customHeight="1" thickBot="1" x14ac:dyDescent="0.4">
      <c r="A124" s="580" t="s">
        <v>208</v>
      </c>
      <c r="B124" s="580"/>
      <c r="C124" s="580"/>
      <c r="D124" s="580"/>
      <c r="E124" s="580"/>
      <c r="G124" s="47" t="s">
        <v>81</v>
      </c>
      <c r="H124" s="121">
        <f>H118</f>
        <v>824</v>
      </c>
      <c r="I124" s="121">
        <f t="shared" ref="I124:J124" si="12">I118</f>
        <v>1948</v>
      </c>
      <c r="J124" s="121">
        <f t="shared" si="12"/>
        <v>3460</v>
      </c>
      <c r="L124" s="160" t="s">
        <v>81</v>
      </c>
      <c r="M124" s="174">
        <f>ROUNDUP(H124/gig_ports,0)</f>
        <v>103</v>
      </c>
      <c r="N124" s="4">
        <f>ROUNDUP(I124/gig_ports,0)</f>
        <v>244</v>
      </c>
      <c r="O124" s="51">
        <f>ROUNDUP(J124/gig_ports,0)</f>
        <v>433</v>
      </c>
      <c r="P124" s="174">
        <f>ROUNDUP(M124/22,0)</f>
        <v>5</v>
      </c>
      <c r="Q124" s="4">
        <f>ROUNDUP(N124/22,0)</f>
        <v>12</v>
      </c>
      <c r="R124" s="51">
        <f>ROUNDUP(O124/22,0)</f>
        <v>20</v>
      </c>
      <c r="S124" s="176"/>
      <c r="T124" s="176"/>
      <c r="U124" s="176"/>
      <c r="V124" s="174">
        <f>ROUNDUP(M124*gig_pwr*24*365,0)</f>
        <v>48724</v>
      </c>
      <c r="W124" s="4">
        <f>ROUNDUP(N124*gig_pwr*24*365,0)</f>
        <v>115422</v>
      </c>
      <c r="X124" s="51">
        <f>ROUNDUP(O124*gig_pwr*24*365,0)</f>
        <v>204827</v>
      </c>
      <c r="Z124" s="44">
        <f>M124*gig_cost+M125*oc48_cost+(M126+M127)*oc192_cost</f>
        <v>1142000</v>
      </c>
      <c r="AA124" s="50">
        <f>P128*shelf_cost</f>
        <v>70000</v>
      </c>
      <c r="AB124" s="50">
        <f>S128*rack_cost</f>
        <v>35000</v>
      </c>
      <c r="AC124" s="50">
        <f>ROUNDUP(V128*ne_pwr,0)</f>
        <v>11232</v>
      </c>
      <c r="AD124" s="50">
        <v>0</v>
      </c>
      <c r="AE124" s="165">
        <f>SUM(Z124:AD124)</f>
        <v>1258232</v>
      </c>
      <c r="AG124" s="44">
        <f>N124*gig_cost+N125*oc48_cost+(N126+N127)*oc192_cost-Z124</f>
        <v>1541000</v>
      </c>
      <c r="AH124" s="50">
        <f>Q128*shelf_cost-AA124</f>
        <v>90000</v>
      </c>
      <c r="AI124" s="50">
        <f>T128*rack_cost-AB124</f>
        <v>45000</v>
      </c>
      <c r="AJ124" s="50">
        <f>ROUNDUP(W128*ne_pwr,0)</f>
        <v>26316</v>
      </c>
      <c r="AK124" s="50">
        <f>ROUND(hw_supt*SUM(Z124,AA124),0)</f>
        <v>242400</v>
      </c>
      <c r="AL124" s="165">
        <f>SUM(AG124:AK124)</f>
        <v>1944716</v>
      </c>
      <c r="AN124" s="44">
        <f>O124*gig_cost+O125*oc48_cost+(O126+O127)*oc192_cost-AG124-Z124</f>
        <v>1972000</v>
      </c>
      <c r="AO124" s="50">
        <f>R128*shelf_cost-AH124-AA124</f>
        <v>110000</v>
      </c>
      <c r="AP124" s="50">
        <f>U128*rack_cost-AI124-AB124</f>
        <v>55000</v>
      </c>
      <c r="AQ124" s="50">
        <f>ROUNDUP(X128*ne_pwr,0)</f>
        <v>45399</v>
      </c>
      <c r="AR124" s="50">
        <f>ROUND(hw_supt*SUM(Z124,AG124,AA124,AH124),0)</f>
        <v>568600</v>
      </c>
      <c r="AS124" s="165">
        <f>SUM(AN124:AR124)</f>
        <v>2750999</v>
      </c>
      <c r="AU124" s="173" t="s">
        <v>82</v>
      </c>
      <c r="AV124" s="186">
        <f>AE124</f>
        <v>1258232</v>
      </c>
      <c r="AW124" s="187">
        <f>AL124</f>
        <v>1944716</v>
      </c>
      <c r="AX124" s="188">
        <f>AS124</f>
        <v>2750999</v>
      </c>
      <c r="AY124" s="189">
        <f>SUM(AV124:AX124)</f>
        <v>5953947</v>
      </c>
    </row>
    <row r="125" spans="1:51" x14ac:dyDescent="0.35">
      <c r="A125" s="580"/>
      <c r="B125" s="580"/>
      <c r="C125" s="580"/>
      <c r="D125" s="580"/>
      <c r="E125" s="580"/>
      <c r="G125" s="47" t="s">
        <v>83</v>
      </c>
      <c r="H125" s="121">
        <f>H107</f>
        <v>307.5</v>
      </c>
      <c r="I125" s="121">
        <f t="shared" ref="I125:J125" si="13">I107</f>
        <v>727.5</v>
      </c>
      <c r="J125" s="121">
        <f t="shared" si="13"/>
        <v>1291.5</v>
      </c>
      <c r="L125" s="160" t="s">
        <v>83</v>
      </c>
      <c r="M125" s="174">
        <f>ROUNDUP(H125/oc48_ports,0)</f>
        <v>39</v>
      </c>
      <c r="N125" s="4">
        <f>ROUNDUP(I125/oc48_ports,0)</f>
        <v>91</v>
      </c>
      <c r="O125" s="51">
        <f>ROUNDUP(J125/oc48_ports,0)</f>
        <v>162</v>
      </c>
      <c r="P125" s="174">
        <f>ROUNDUP(M125/6,0)</f>
        <v>7</v>
      </c>
      <c r="Q125" s="4">
        <f>ROUNDUP(N125/6,0)</f>
        <v>16</v>
      </c>
      <c r="R125" s="51">
        <f>ROUNDUP(O125/6,0)</f>
        <v>27</v>
      </c>
      <c r="S125" s="176"/>
      <c r="T125" s="176"/>
      <c r="U125" s="176"/>
      <c r="V125" s="174">
        <f>ROUNDUP(M125*oc48_pwr*24*365,0)</f>
        <v>46122</v>
      </c>
      <c r="W125" s="4">
        <f>ROUNDUP(N125*oc48_pwr*24*365,0)</f>
        <v>107617</v>
      </c>
      <c r="X125" s="51">
        <f>ROUNDUP(O125*oc48_pwr*24*365,0)</f>
        <v>191582</v>
      </c>
      <c r="AU125" s="160" t="s">
        <v>219</v>
      </c>
      <c r="AV125" s="174">
        <f>M128</f>
        <v>178</v>
      </c>
      <c r="AW125" s="4">
        <f>N128-M128</f>
        <v>241</v>
      </c>
      <c r="AX125" s="51">
        <f>O128-N128</f>
        <v>316</v>
      </c>
      <c r="AY125" s="121">
        <f>SUM(AV125:AX125)</f>
        <v>735</v>
      </c>
    </row>
    <row r="126" spans="1:51" ht="16" thickBot="1" x14ac:dyDescent="0.4">
      <c r="A126" s="580"/>
      <c r="B126" s="580"/>
      <c r="C126" s="580"/>
      <c r="D126" s="580"/>
      <c r="E126" s="580"/>
      <c r="G126" s="47" t="s">
        <v>84</v>
      </c>
      <c r="H126" s="121">
        <f>H119</f>
        <v>32</v>
      </c>
      <c r="I126" s="121">
        <f t="shared" ref="I126:J126" si="14">I119</f>
        <v>80</v>
      </c>
      <c r="J126" s="121">
        <f t="shared" si="14"/>
        <v>128</v>
      </c>
      <c r="L126" s="160" t="s">
        <v>290</v>
      </c>
      <c r="M126" s="174">
        <f>ROUNDUP(H126/oc192_ports,0)</f>
        <v>8</v>
      </c>
      <c r="N126" s="4">
        <f>ROUNDUP(I126/oc192_ports,0)</f>
        <v>20</v>
      </c>
      <c r="O126" s="51">
        <f>ROUNDUP(J126/oc192_ports,0)</f>
        <v>32</v>
      </c>
      <c r="P126" s="174">
        <f>ROUNDUP(M126/2,0)</f>
        <v>4</v>
      </c>
      <c r="Q126" s="4">
        <f t="shared" ref="Q126:R126" si="15">ROUNDUP(N126/4,0)</f>
        <v>5</v>
      </c>
      <c r="R126" s="51">
        <f t="shared" si="15"/>
        <v>8</v>
      </c>
      <c r="S126" s="176"/>
      <c r="T126" s="176"/>
      <c r="U126" s="176"/>
      <c r="V126" s="174">
        <f t="shared" ref="V126:X127" si="16">ROUNDUP(M126*oc192_pwr*24*365,0)</f>
        <v>18922</v>
      </c>
      <c r="W126" s="4">
        <f t="shared" si="16"/>
        <v>47304</v>
      </c>
      <c r="X126" s="51">
        <f t="shared" si="16"/>
        <v>75687</v>
      </c>
      <c r="AU126" s="160" t="s">
        <v>220</v>
      </c>
      <c r="AV126" s="174">
        <f>P128</f>
        <v>7</v>
      </c>
      <c r="AW126" s="4">
        <f>Q128-P128</f>
        <v>9</v>
      </c>
      <c r="AX126" s="51">
        <f>R128-Q128</f>
        <v>11</v>
      </c>
      <c r="AY126" s="121">
        <f t="shared" ref="AY126:AY128" si="17">SUM(AV126:AX126)</f>
        <v>27</v>
      </c>
    </row>
    <row r="127" spans="1:51" ht="16" thickBot="1" x14ac:dyDescent="0.4">
      <c r="G127" s="71" t="s">
        <v>75</v>
      </c>
      <c r="H127" s="172">
        <f>SUM(H124:H125)</f>
        <v>1131.5</v>
      </c>
      <c r="I127" s="172">
        <f t="shared" ref="I127:J127" si="18">SUM(I124:I125)</f>
        <v>2675.5</v>
      </c>
      <c r="J127" s="172">
        <f t="shared" si="18"/>
        <v>4751.5</v>
      </c>
      <c r="L127" s="160" t="s">
        <v>291</v>
      </c>
      <c r="M127" s="174">
        <f>P128*4</f>
        <v>28</v>
      </c>
      <c r="N127" s="4">
        <f>Q128*4</f>
        <v>64</v>
      </c>
      <c r="O127" s="51">
        <f>R128*4</f>
        <v>108</v>
      </c>
      <c r="P127" s="183" t="s">
        <v>182</v>
      </c>
      <c r="Q127" s="184" t="s">
        <v>182</v>
      </c>
      <c r="R127" s="185" t="s">
        <v>182</v>
      </c>
      <c r="S127" s="176"/>
      <c r="T127" s="176"/>
      <c r="U127" s="176"/>
      <c r="V127" s="174">
        <f t="shared" si="16"/>
        <v>66226</v>
      </c>
      <c r="W127" s="4">
        <f t="shared" si="16"/>
        <v>151373</v>
      </c>
      <c r="X127" s="51">
        <f t="shared" si="16"/>
        <v>255442</v>
      </c>
      <c r="AU127" s="160" t="s">
        <v>218</v>
      </c>
      <c r="AV127" s="174">
        <f>S128</f>
        <v>7</v>
      </c>
      <c r="AW127" s="4">
        <f>T128-S128</f>
        <v>9</v>
      </c>
      <c r="AX127" s="51">
        <f>U128-T128</f>
        <v>11</v>
      </c>
      <c r="AY127" s="121">
        <f t="shared" si="17"/>
        <v>27</v>
      </c>
    </row>
    <row r="128" spans="1:51" ht="16" thickBot="1" x14ac:dyDescent="0.4">
      <c r="L128" s="173" t="s">
        <v>75</v>
      </c>
      <c r="M128" s="175">
        <f>SUM(M124:M127)</f>
        <v>178</v>
      </c>
      <c r="N128" s="170">
        <f>SUM(N124:N127)</f>
        <v>419</v>
      </c>
      <c r="O128" s="171">
        <f>SUM(O124:O127)</f>
        <v>735</v>
      </c>
      <c r="P128" s="175">
        <f>MAX(P124:P127)</f>
        <v>7</v>
      </c>
      <c r="Q128" s="170">
        <f>MAX(Q124:Q127)</f>
        <v>16</v>
      </c>
      <c r="R128" s="171">
        <f>MAX(R124:R127)</f>
        <v>27</v>
      </c>
      <c r="S128" s="175">
        <f>P128</f>
        <v>7</v>
      </c>
      <c r="T128" s="170">
        <f t="shared" ref="T128:U128" si="19">Q128</f>
        <v>16</v>
      </c>
      <c r="U128" s="170">
        <f t="shared" si="19"/>
        <v>27</v>
      </c>
      <c r="V128" s="175">
        <f>SUM(V124:V127)</f>
        <v>179994</v>
      </c>
      <c r="W128" s="170">
        <f>SUM(W124:W127)</f>
        <v>421716</v>
      </c>
      <c r="X128" s="171">
        <f>SUM(X124:X127)</f>
        <v>727538</v>
      </c>
      <c r="AU128" s="65" t="s">
        <v>216</v>
      </c>
      <c r="AV128" s="74">
        <f>V128</f>
        <v>179994</v>
      </c>
      <c r="AW128" s="45">
        <f>W128</f>
        <v>421716</v>
      </c>
      <c r="AX128" s="52">
        <f>X128</f>
        <v>727538</v>
      </c>
      <c r="AY128" s="122">
        <f t="shared" si="17"/>
        <v>1329248</v>
      </c>
    </row>
    <row r="130" spans="1:91" x14ac:dyDescent="0.3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</row>
    <row r="132" spans="1:91" ht="18.5" x14ac:dyDescent="0.45">
      <c r="A132" s="55" t="s">
        <v>92</v>
      </c>
    </row>
    <row r="133" spans="1:91" x14ac:dyDescent="0.35">
      <c r="A133" t="s">
        <v>273</v>
      </c>
    </row>
    <row r="134" spans="1:91" x14ac:dyDescent="0.35">
      <c r="A134" t="s">
        <v>382</v>
      </c>
    </row>
    <row r="135" spans="1:91" x14ac:dyDescent="0.35">
      <c r="A135" t="s">
        <v>266</v>
      </c>
    </row>
    <row r="137" spans="1:91" x14ac:dyDescent="0.35">
      <c r="C137" s="8" t="s">
        <v>45</v>
      </c>
      <c r="D137" s="8" t="s">
        <v>46</v>
      </c>
      <c r="E137" s="8" t="s">
        <v>47</v>
      </c>
    </row>
    <row r="138" spans="1:91" x14ac:dyDescent="0.35">
      <c r="A138" s="8" t="s">
        <v>428</v>
      </c>
      <c r="B138" s="195"/>
      <c r="C138" s="196"/>
      <c r="D138" s="196"/>
      <c r="E138" s="196"/>
    </row>
    <row r="139" spans="1:91" x14ac:dyDescent="0.35">
      <c r="A139" s="8"/>
      <c r="B139" s="202" t="s">
        <v>260</v>
      </c>
      <c r="C139" s="196"/>
      <c r="D139" s="196"/>
      <c r="E139" s="196"/>
    </row>
    <row r="140" spans="1:91" x14ac:dyDescent="0.35">
      <c r="B140" s="10" t="s">
        <v>433</v>
      </c>
      <c r="C140" s="1">
        <f>C19*rack_sf*1.5</f>
        <v>1872</v>
      </c>
      <c r="D140" s="1">
        <f>D19*rack_sf*1.5</f>
        <v>4464</v>
      </c>
      <c r="E140" s="1">
        <f>E19*rack_sf*1.5</f>
        <v>7824</v>
      </c>
    </row>
    <row r="141" spans="1:91" x14ac:dyDescent="0.35">
      <c r="B141" s="10" t="s">
        <v>429</v>
      </c>
      <c r="C141" s="205">
        <f>D140*ne_space*12</f>
        <v>608532.47999999998</v>
      </c>
      <c r="D141" s="205">
        <f>E140*ne_space*12</f>
        <v>1066567.6799999999</v>
      </c>
      <c r="E141" s="205">
        <f>E140*ne_space*12</f>
        <v>1066567.6799999999</v>
      </c>
      <c r="H141" s="4"/>
      <c r="I141" s="4"/>
      <c r="J141" s="4"/>
    </row>
    <row r="142" spans="1:91" x14ac:dyDescent="0.35">
      <c r="B142" s="10" t="s">
        <v>252</v>
      </c>
      <c r="C142" s="205">
        <f>C158*23801/2*50%</f>
        <v>701420.36061643832</v>
      </c>
      <c r="D142" s="205">
        <f>(D158-C158)*23801/2*50%</f>
        <v>958352.97071917809</v>
      </c>
      <c r="E142" s="205">
        <f>(E158-D158)*23801/2*50%</f>
        <v>1248759.8125856165</v>
      </c>
    </row>
    <row r="143" spans="1:91" x14ac:dyDescent="0.35">
      <c r="B143" s="10" t="s">
        <v>253</v>
      </c>
      <c r="C143" s="205">
        <f>C140/2*262*50%</f>
        <v>122616</v>
      </c>
      <c r="D143" s="205">
        <f>(D140-C140)/2*262*50%</f>
        <v>169776</v>
      </c>
      <c r="E143" s="205">
        <f>(E140-D140)/2*262*50%</f>
        <v>220080</v>
      </c>
    </row>
    <row r="144" spans="1:91" x14ac:dyDescent="0.35">
      <c r="B144" s="10" t="s">
        <v>262</v>
      </c>
      <c r="C144" s="481"/>
      <c r="D144" s="482"/>
      <c r="E144" s="482"/>
    </row>
    <row r="145" spans="1:5" x14ac:dyDescent="0.35">
      <c r="B145" s="10" t="s">
        <v>263</v>
      </c>
      <c r="C145" s="205">
        <f>1%*SUM(C142:C143)</f>
        <v>8240.3636061643829</v>
      </c>
      <c r="D145" s="205">
        <f>1%*SUM(D142:D143)</f>
        <v>11281.289707191781</v>
      </c>
      <c r="E145" s="205">
        <f>1%*SUM(E142:E143)</f>
        <v>14688.398125856165</v>
      </c>
    </row>
    <row r="146" spans="1:5" x14ac:dyDescent="0.35">
      <c r="B146" s="10" t="s">
        <v>264</v>
      </c>
      <c r="C146" s="2"/>
    </row>
    <row r="147" spans="1:5" x14ac:dyDescent="0.35">
      <c r="B147" s="31" t="s">
        <v>231</v>
      </c>
      <c r="C147" s="4">
        <f>H107</f>
        <v>307.5</v>
      </c>
      <c r="D147" s="4">
        <f>I107-H107</f>
        <v>420</v>
      </c>
      <c r="E147" s="4">
        <f>J107-I107</f>
        <v>564</v>
      </c>
    </row>
    <row r="148" spans="1:5" x14ac:dyDescent="0.35">
      <c r="B148" s="31" t="s">
        <v>226</v>
      </c>
      <c r="C148" s="4">
        <f>ROUNDUP(C147/144,0)</f>
        <v>3</v>
      </c>
      <c r="D148" s="4">
        <f t="shared" ref="D148:E148" si="20">ROUNDUP(D147/144,0)</f>
        <v>3</v>
      </c>
      <c r="E148" s="4">
        <f t="shared" si="20"/>
        <v>4</v>
      </c>
    </row>
    <row r="149" spans="1:5" x14ac:dyDescent="0.35">
      <c r="B149" s="31" t="s">
        <v>228</v>
      </c>
      <c r="C149" s="1">
        <f>C148*fiber_run*110%</f>
        <v>17424</v>
      </c>
      <c r="D149" s="1">
        <f>D148*fiber_run*110%</f>
        <v>17424</v>
      </c>
      <c r="E149" s="1">
        <f>E148*fiber_run*110%</f>
        <v>23232.000000000004</v>
      </c>
    </row>
    <row r="150" spans="1:5" x14ac:dyDescent="0.35">
      <c r="B150" s="31" t="s">
        <v>229</v>
      </c>
      <c r="C150" s="59">
        <f>C149*fiber_cost</f>
        <v>34325.279999999999</v>
      </c>
      <c r="D150" s="59">
        <f>D149*fiber_cost</f>
        <v>34325.279999999999</v>
      </c>
      <c r="E150" s="59">
        <f>E149*fiber_cost</f>
        <v>45767.040000000008</v>
      </c>
    </row>
    <row r="151" spans="1:5" x14ac:dyDescent="0.35">
      <c r="B151" s="31" t="s">
        <v>232</v>
      </c>
      <c r="C151" s="59">
        <f>20000*C148</f>
        <v>60000</v>
      </c>
      <c r="D151" s="59">
        <f t="shared" ref="D151:E151" si="21">20000*D148</f>
        <v>60000</v>
      </c>
      <c r="E151" s="59">
        <f t="shared" si="21"/>
        <v>80000</v>
      </c>
    </row>
    <row r="152" spans="1:5" x14ac:dyDescent="0.35">
      <c r="B152" s="31" t="s">
        <v>233</v>
      </c>
      <c r="C152" s="43">
        <f>SUM(C150:C151)</f>
        <v>94325.28</v>
      </c>
      <c r="D152" s="43">
        <f t="shared" ref="D152:E152" si="22">SUM(D150:D151)</f>
        <v>94325.28</v>
      </c>
      <c r="E152" s="43">
        <f t="shared" si="22"/>
        <v>125767.04000000001</v>
      </c>
    </row>
    <row r="153" spans="1:5" x14ac:dyDescent="0.35">
      <c r="B153" s="209" t="s">
        <v>271</v>
      </c>
      <c r="C153" s="210">
        <f>C140/2*65</f>
        <v>60840</v>
      </c>
      <c r="D153" s="210">
        <f>(D140-C140)/2*65</f>
        <v>84240</v>
      </c>
      <c r="E153" s="210">
        <f>(E140-D140)/2*65</f>
        <v>109200</v>
      </c>
    </row>
    <row r="154" spans="1:5" x14ac:dyDescent="0.35">
      <c r="B154" s="10" t="s">
        <v>265</v>
      </c>
      <c r="C154" s="43">
        <v>0</v>
      </c>
      <c r="D154" s="19">
        <v>0</v>
      </c>
      <c r="E154" s="19">
        <v>0</v>
      </c>
    </row>
    <row r="155" spans="1:5" x14ac:dyDescent="0.35">
      <c r="B155" s="18" t="s">
        <v>269</v>
      </c>
      <c r="C155" s="196">
        <f>SUM(C141:C145,C152,C153,C154)</f>
        <v>1595974.4842226028</v>
      </c>
      <c r="D155" s="196">
        <f t="shared" ref="D155:E155" si="23">SUM(D141:D145,D152,D153,D154)</f>
        <v>2384543.2204263695</v>
      </c>
      <c r="E155" s="196">
        <f t="shared" si="23"/>
        <v>2785062.9307114724</v>
      </c>
    </row>
    <row r="156" spans="1:5" x14ac:dyDescent="0.35">
      <c r="A156" s="8" t="s">
        <v>432</v>
      </c>
      <c r="B156" s="20"/>
      <c r="C156" s="196"/>
      <c r="D156" s="204"/>
      <c r="E156" s="204"/>
    </row>
    <row r="157" spans="1:5" x14ac:dyDescent="0.35">
      <c r="B157" t="s">
        <v>254</v>
      </c>
      <c r="C157" s="19"/>
      <c r="D157" s="19"/>
      <c r="E157" s="19"/>
    </row>
    <row r="158" spans="1:5" x14ac:dyDescent="0.35">
      <c r="A158" s="8"/>
      <c r="B158" s="191" t="s">
        <v>261</v>
      </c>
      <c r="C158" s="21">
        <f>C161/24/365</f>
        <v>117.88082191780822</v>
      </c>
      <c r="D158" s="21">
        <f t="shared" ref="D158:E158" si="24">D161/24/365</f>
        <v>278.9417808219178</v>
      </c>
      <c r="E158" s="21">
        <f t="shared" si="24"/>
        <v>488.80856164383562</v>
      </c>
    </row>
    <row r="159" spans="1:5" x14ac:dyDescent="0.35">
      <c r="B159" s="191" t="s">
        <v>257</v>
      </c>
      <c r="C159" s="1">
        <f>(BH90+AV128)</f>
        <v>688424</v>
      </c>
      <c r="D159" s="1">
        <f>(BI90+AW128)</f>
        <v>1629020</v>
      </c>
      <c r="E159" s="1">
        <f>(BJ90+AX128)</f>
        <v>2854642</v>
      </c>
    </row>
    <row r="160" spans="1:5" x14ac:dyDescent="0.35">
      <c r="B160" s="191" t="s">
        <v>258</v>
      </c>
      <c r="C160" s="1">
        <f>C159*50%</f>
        <v>344212</v>
      </c>
      <c r="D160" s="1">
        <f t="shared" ref="D160:E160" si="25">D159*50%</f>
        <v>814510</v>
      </c>
      <c r="E160" s="1">
        <f t="shared" si="25"/>
        <v>1427321</v>
      </c>
    </row>
    <row r="161" spans="1:5" x14ac:dyDescent="0.35">
      <c r="B161" s="191" t="s">
        <v>256</v>
      </c>
      <c r="C161" s="1">
        <f>SUM(C159:C160)</f>
        <v>1032636</v>
      </c>
      <c r="D161" s="1">
        <f t="shared" ref="D161:E161" si="26">SUM(D159:D160)</f>
        <v>2443530</v>
      </c>
      <c r="E161" s="1">
        <f t="shared" si="26"/>
        <v>4281963</v>
      </c>
    </row>
    <row r="162" spans="1:5" x14ac:dyDescent="0.35">
      <c r="B162" s="191" t="s">
        <v>267</v>
      </c>
      <c r="C162" s="205">
        <f>C161*ne_pwr</f>
        <v>64436.486399999994</v>
      </c>
      <c r="D162" s="205">
        <f>D161*ne_pwr</f>
        <v>152476.272</v>
      </c>
      <c r="E162" s="205">
        <f>E161*ne_pwr</f>
        <v>267194.49119999999</v>
      </c>
    </row>
    <row r="163" spans="1:5" x14ac:dyDescent="0.35">
      <c r="B163" s="202" t="s">
        <v>268</v>
      </c>
      <c r="C163" s="205">
        <f>C105/2*1000*ne_it*12*50%</f>
        <v>517084.24345199997</v>
      </c>
      <c r="D163" s="205">
        <f>D105/2*1000*ne_it*12*50%</f>
        <v>1225336.4899199996</v>
      </c>
      <c r="E163" s="205">
        <f>E105/2*1000*ne_it*12*50%</f>
        <v>2178462.1520159994</v>
      </c>
    </row>
    <row r="164" spans="1:5" x14ac:dyDescent="0.35">
      <c r="B164" s="202" t="s">
        <v>275</v>
      </c>
      <c r="C164" s="205">
        <v>0</v>
      </c>
      <c r="D164" s="205">
        <f>AR87+AK124</f>
        <v>339220</v>
      </c>
      <c r="E164" s="205">
        <f>SUM(AY87,AR124)</f>
        <v>800131.4</v>
      </c>
    </row>
    <row r="165" spans="1:5" x14ac:dyDescent="0.35">
      <c r="B165" s="202" t="s">
        <v>247</v>
      </c>
      <c r="C165" s="59">
        <f>ne_tax*SUM(C142,C150,C27)</f>
        <v>12953.385921051371</v>
      </c>
      <c r="D165" s="59">
        <f>ne_tax*SUM(C150:D150,C142:D142,C27:D27)</f>
        <v>30512.200412111302</v>
      </c>
      <c r="E165" s="59">
        <f>ne_tax*SUM(C150:E150,C142:E142,C27:E27)</f>
        <v>53434.235566410112</v>
      </c>
    </row>
    <row r="166" spans="1:5" x14ac:dyDescent="0.35">
      <c r="B166" s="18" t="s">
        <v>270</v>
      </c>
      <c r="C166" s="206">
        <f>SUM(C162,C163,C164,C165)</f>
        <v>594474.1157730514</v>
      </c>
      <c r="D166" s="206">
        <f t="shared" ref="D166:E166" si="27">SUM(D162,D163,D164,D165)</f>
        <v>1747544.9623321109</v>
      </c>
      <c r="E166" s="206">
        <f t="shared" si="27"/>
        <v>3299222.2787824096</v>
      </c>
    </row>
    <row r="167" spans="1:5" x14ac:dyDescent="0.35">
      <c r="A167" s="18" t="s">
        <v>248</v>
      </c>
    </row>
    <row r="168" spans="1:5" x14ac:dyDescent="0.35">
      <c r="B168" s="202" t="s">
        <v>467</v>
      </c>
      <c r="C168" s="59">
        <f>D188*1000</f>
        <v>122376</v>
      </c>
      <c r="D168" s="43">
        <f>C168*1.03</f>
        <v>126047.28</v>
      </c>
      <c r="E168" s="43">
        <f>D168*1.03</f>
        <v>129828.69840000001</v>
      </c>
    </row>
    <row r="169" spans="1:5" x14ac:dyDescent="0.35">
      <c r="B169" s="202" t="s">
        <v>468</v>
      </c>
      <c r="C169" s="59">
        <f>E188*1000</f>
        <v>203960</v>
      </c>
      <c r="D169" s="43">
        <f t="shared" ref="D169:E173" si="28">C169*1.03</f>
        <v>210078.80000000002</v>
      </c>
      <c r="E169" s="43">
        <f t="shared" si="28"/>
        <v>216381.16400000002</v>
      </c>
    </row>
    <row r="170" spans="1:5" x14ac:dyDescent="0.35">
      <c r="B170" s="202" t="s">
        <v>469</v>
      </c>
      <c r="C170" s="59">
        <f>F188*1000</f>
        <v>159860</v>
      </c>
      <c r="D170" s="43">
        <f t="shared" si="28"/>
        <v>164655.80000000002</v>
      </c>
      <c r="E170" s="43">
        <f>D170*1.03*1.333</f>
        <v>226070.76684200001</v>
      </c>
    </row>
    <row r="171" spans="1:5" x14ac:dyDescent="0.35">
      <c r="B171" s="202" t="s">
        <v>250</v>
      </c>
      <c r="C171" s="59">
        <f>G188*1000</f>
        <v>0</v>
      </c>
      <c r="D171" s="43">
        <f t="shared" si="28"/>
        <v>0</v>
      </c>
      <c r="E171" s="43">
        <f t="shared" si="28"/>
        <v>0</v>
      </c>
    </row>
    <row r="172" spans="1:5" x14ac:dyDescent="0.35">
      <c r="B172" s="202" t="s">
        <v>249</v>
      </c>
      <c r="C172" s="59">
        <f>E189*C140</f>
        <v>0</v>
      </c>
      <c r="D172" s="43">
        <f>C172*1.03</f>
        <v>0</v>
      </c>
      <c r="E172" s="43">
        <f>D172*1.03</f>
        <v>0</v>
      </c>
    </row>
    <row r="173" spans="1:5" x14ac:dyDescent="0.35">
      <c r="B173" s="18" t="s">
        <v>251</v>
      </c>
      <c r="C173" s="206">
        <f>SUM(C168:C171)</f>
        <v>486196</v>
      </c>
      <c r="D173" s="206">
        <f t="shared" si="28"/>
        <v>500781.88</v>
      </c>
      <c r="E173" s="206">
        <f t="shared" si="28"/>
        <v>515805.33640000003</v>
      </c>
    </row>
    <row r="174" spans="1:5" x14ac:dyDescent="0.35">
      <c r="A174" s="8" t="s">
        <v>272</v>
      </c>
      <c r="B174" s="519">
        <f>SUM(C174:E174)</f>
        <v>13909605.208648017</v>
      </c>
      <c r="C174" s="206">
        <f>SUM(C155,C166,C173)</f>
        <v>2676644.5999956541</v>
      </c>
      <c r="D174" s="206">
        <f>SUM(D155,D166,D173)</f>
        <v>4632870.0627584802</v>
      </c>
      <c r="E174" s="206">
        <f>SUM(E155,E166,E173)</f>
        <v>6600090.5458938824</v>
      </c>
    </row>
    <row r="175" spans="1:5" x14ac:dyDescent="0.35">
      <c r="B175" s="195"/>
      <c r="C175" s="203"/>
      <c r="D175" s="203"/>
      <c r="E175" s="203"/>
    </row>
    <row r="176" spans="1:5" x14ac:dyDescent="0.35">
      <c r="B176" s="195"/>
      <c r="C176" s="203"/>
      <c r="D176" s="203"/>
      <c r="E176" s="203"/>
    </row>
    <row r="181" spans="2:6" x14ac:dyDescent="0.35">
      <c r="B181" t="s">
        <v>255</v>
      </c>
    </row>
    <row r="183" spans="2:6" ht="31" x14ac:dyDescent="0.35">
      <c r="D183" s="522" t="s">
        <v>465</v>
      </c>
      <c r="E183" s="523" t="s">
        <v>466</v>
      </c>
      <c r="F183" s="523" t="s">
        <v>442</v>
      </c>
    </row>
    <row r="184" spans="2:6" x14ac:dyDescent="0.35">
      <c r="B184" t="s">
        <v>235</v>
      </c>
      <c r="C184" t="s">
        <v>236</v>
      </c>
      <c r="D184" s="520">
        <f>E184*120%</f>
        <v>122.376</v>
      </c>
      <c r="E184" s="520">
        <f>ne_admin/1000</f>
        <v>101.98</v>
      </c>
      <c r="F184" s="520">
        <f>ne_tech/1000</f>
        <v>79.930000000000007</v>
      </c>
    </row>
    <row r="185" spans="2:6" x14ac:dyDescent="0.35">
      <c r="B185" t="s">
        <v>237</v>
      </c>
      <c r="C185" t="s">
        <v>238</v>
      </c>
      <c r="D185" s="520">
        <v>1</v>
      </c>
      <c r="E185" s="520">
        <v>2</v>
      </c>
      <c r="F185" s="520">
        <v>2</v>
      </c>
    </row>
    <row r="186" spans="2:6" x14ac:dyDescent="0.35">
      <c r="B186" t="s">
        <v>239</v>
      </c>
      <c r="C186" t="s">
        <v>238</v>
      </c>
      <c r="D186" s="520">
        <v>1</v>
      </c>
      <c r="E186" s="520">
        <v>1</v>
      </c>
      <c r="F186" s="520">
        <v>1</v>
      </c>
    </row>
    <row r="187" spans="2:6" x14ac:dyDescent="0.35">
      <c r="B187" t="s">
        <v>240</v>
      </c>
      <c r="C187" t="s">
        <v>241</v>
      </c>
      <c r="D187" s="521">
        <v>0</v>
      </c>
      <c r="E187" s="521">
        <v>0</v>
      </c>
      <c r="F187" s="521">
        <v>0</v>
      </c>
    </row>
    <row r="188" spans="2:6" x14ac:dyDescent="0.35">
      <c r="B188" t="s">
        <v>242</v>
      </c>
      <c r="C188" t="s">
        <v>236</v>
      </c>
      <c r="D188" s="520">
        <f>D185*D186*D184*(1+D187)</f>
        <v>122.376</v>
      </c>
      <c r="E188" s="520">
        <f>E185*E186*E184*(1+E187)</f>
        <v>203.96</v>
      </c>
      <c r="F188" s="520">
        <f>F185*F186*F184*(1+F187)</f>
        <v>159.86000000000001</v>
      </c>
    </row>
    <row r="189" spans="2:6" x14ac:dyDescent="0.35">
      <c r="B189" t="s">
        <v>243</v>
      </c>
      <c r="E189" s="19">
        <v>0</v>
      </c>
      <c r="F189" t="s">
        <v>244</v>
      </c>
    </row>
  </sheetData>
  <mergeCells count="9">
    <mergeCell ref="A42:E42"/>
    <mergeCell ref="G104:G105"/>
    <mergeCell ref="G116:G117"/>
    <mergeCell ref="G122:G123"/>
    <mergeCell ref="L122:L123"/>
    <mergeCell ref="A124:E126"/>
    <mergeCell ref="A72:E72"/>
    <mergeCell ref="A62:E62"/>
    <mergeCell ref="A52:E5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142</vt:i4>
      </vt:variant>
    </vt:vector>
  </HeadingPairs>
  <TitlesOfParts>
    <vt:vector size="156" baseType="lpstr">
      <vt:lpstr>Summary</vt:lpstr>
      <vt:lpstr>User Profile</vt:lpstr>
      <vt:lpstr>DC Failure Scenarios</vt:lpstr>
      <vt:lpstr>DC Locations</vt:lpstr>
      <vt:lpstr>CPU (Workload)</vt:lpstr>
      <vt:lpstr>Bandwidth</vt:lpstr>
      <vt:lpstr>Memory</vt:lpstr>
      <vt:lpstr>Storage</vt:lpstr>
      <vt:lpstr>NE DC</vt:lpstr>
      <vt:lpstr>MW DC</vt:lpstr>
      <vt:lpstr>S DC</vt:lpstr>
      <vt:lpstr>W DC</vt:lpstr>
      <vt:lpstr>Server Cost Analysis</vt:lpstr>
      <vt:lpstr>Constants</vt:lpstr>
      <vt:lpstr>acre_cost</vt:lpstr>
      <vt:lpstr>acres</vt:lpstr>
      <vt:lpstr>api_size</vt:lpstr>
      <vt:lpstr>bw_limit</vt:lpstr>
      <vt:lpstr>cpu_limit</vt:lpstr>
      <vt:lpstr>disk_limit</vt:lpstr>
      <vt:lpstr>down_percent</vt:lpstr>
      <vt:lpstr>down_req</vt:lpstr>
      <vt:lpstr>down_song</vt:lpstr>
      <vt:lpstr>fiber_cost</vt:lpstr>
      <vt:lpstr>fiber_run</vt:lpstr>
      <vt:lpstr>fire_supp</vt:lpstr>
      <vt:lpstr>gen_l_bw</vt:lpstr>
      <vt:lpstr>gen_l_core</vt:lpstr>
      <vt:lpstr>gen_l_cost</vt:lpstr>
      <vt:lpstr>gen_l_disk</vt:lpstr>
      <vt:lpstr>gen_l_ports</vt:lpstr>
      <vt:lpstr>gen_l_pow100</vt:lpstr>
      <vt:lpstr>gen_l_pow40</vt:lpstr>
      <vt:lpstr>gen_l_pow60</vt:lpstr>
      <vt:lpstr>gen_l_pow80</vt:lpstr>
      <vt:lpstr>gen_l_ram</vt:lpstr>
      <vt:lpstr>gen_l_ru</vt:lpstr>
      <vt:lpstr>gen_l_spr100</vt:lpstr>
      <vt:lpstr>gen_l_spr40</vt:lpstr>
      <vt:lpstr>gen_l_spr60</vt:lpstr>
      <vt:lpstr>gen_l_spr80</vt:lpstr>
      <vt:lpstr>gen_l_tps100</vt:lpstr>
      <vt:lpstr>gen_l_tps40</vt:lpstr>
      <vt:lpstr>gen_l_tps60</vt:lpstr>
      <vt:lpstr>gen_l_tps80</vt:lpstr>
      <vt:lpstr>gen_l_user100</vt:lpstr>
      <vt:lpstr>gen_l_user40</vt:lpstr>
      <vt:lpstr>gen_l_user60</vt:lpstr>
      <vt:lpstr>gen_l_user80</vt:lpstr>
      <vt:lpstr>gen_xl_bw</vt:lpstr>
      <vt:lpstr>gen_xl_core</vt:lpstr>
      <vt:lpstr>gen_xl_cost</vt:lpstr>
      <vt:lpstr>gen_xl_disk</vt:lpstr>
      <vt:lpstr>gen_xl_ports</vt:lpstr>
      <vt:lpstr>gen_xl_pow100</vt:lpstr>
      <vt:lpstr>gen_xl_pow40</vt:lpstr>
      <vt:lpstr>gen_xl_pow60</vt:lpstr>
      <vt:lpstr>gen_xl_pow80</vt:lpstr>
      <vt:lpstr>gen_xl_ram</vt:lpstr>
      <vt:lpstr>gen_xl_ru</vt:lpstr>
      <vt:lpstr>gen_xl_spr100</vt:lpstr>
      <vt:lpstr>gen_xl_spr40</vt:lpstr>
      <vt:lpstr>gen_xl_spr60</vt:lpstr>
      <vt:lpstr>gen_xl_spr80</vt:lpstr>
      <vt:lpstr>gen_xl_tps100</vt:lpstr>
      <vt:lpstr>gen_xl_tps40</vt:lpstr>
      <vt:lpstr>gen_xl_tps60</vt:lpstr>
      <vt:lpstr>gen_xl_tps80</vt:lpstr>
      <vt:lpstr>gen_xl_user100</vt:lpstr>
      <vt:lpstr>gen_xl_user40</vt:lpstr>
      <vt:lpstr>gen_xl_user60</vt:lpstr>
      <vt:lpstr>gen_xl_user80</vt:lpstr>
      <vt:lpstr>gig_bw</vt:lpstr>
      <vt:lpstr>gig_cost</vt:lpstr>
      <vt:lpstr>gig_ports</vt:lpstr>
      <vt:lpstr>gig_pwr</vt:lpstr>
      <vt:lpstr>hbr_percent</vt:lpstr>
      <vt:lpstr>hw_supt</vt:lpstr>
      <vt:lpstr>ip_tx_cost</vt:lpstr>
      <vt:lpstr>kwh_cost</vt:lpstr>
      <vt:lpstr>lbr_percent</vt:lpstr>
      <vt:lpstr>max_rpwr</vt:lpstr>
      <vt:lpstr>max_ru</vt:lpstr>
      <vt:lpstr>mem_limit</vt:lpstr>
      <vt:lpstr>mod_watt</vt:lpstr>
      <vt:lpstr>mw_admin</vt:lpstr>
      <vt:lpstr>mw_it</vt:lpstr>
      <vt:lpstr>mw_pop</vt:lpstr>
      <vt:lpstr>mw_pwr</vt:lpstr>
      <vt:lpstr>mw_space</vt:lpstr>
      <vt:lpstr>mw_tax</vt:lpstr>
      <vt:lpstr>mw_tech</vt:lpstr>
      <vt:lpstr>mw2ne</vt:lpstr>
      <vt:lpstr>mw2w</vt:lpstr>
      <vt:lpstr>nas_bw</vt:lpstr>
      <vt:lpstr>nas_cost</vt:lpstr>
      <vt:lpstr>nas_disk</vt:lpstr>
      <vt:lpstr>nas_ports</vt:lpstr>
      <vt:lpstr>nas_pwr</vt:lpstr>
      <vt:lpstr>nas_ru</vt:lpstr>
      <vt:lpstr>nas_spr</vt:lpstr>
      <vt:lpstr>ne_admin</vt:lpstr>
      <vt:lpstr>ne_it</vt:lpstr>
      <vt:lpstr>ne_pop</vt:lpstr>
      <vt:lpstr>ne_pwr</vt:lpstr>
      <vt:lpstr>ne_space</vt:lpstr>
      <vt:lpstr>ne_tax</vt:lpstr>
      <vt:lpstr>ne_tech</vt:lpstr>
      <vt:lpstr>ne2ne</vt:lpstr>
      <vt:lpstr>ne2w</vt:lpstr>
      <vt:lpstr>oc192_bw</vt:lpstr>
      <vt:lpstr>oc192_cost</vt:lpstr>
      <vt:lpstr>oc192_ports</vt:lpstr>
      <vt:lpstr>oc192_pwr</vt:lpstr>
      <vt:lpstr>oc48_bw</vt:lpstr>
      <vt:lpstr>oc48_cost</vt:lpstr>
      <vt:lpstr>oc48_ports</vt:lpstr>
      <vt:lpstr>oc48_pwr</vt:lpstr>
      <vt:lpstr>peak_hrs</vt:lpstr>
      <vt:lpstr>perm_percent</vt:lpstr>
      <vt:lpstr>perm_req</vt:lpstr>
      <vt:lpstr>prop_tax</vt:lpstr>
      <vt:lpstr>rack_cost</vt:lpstr>
      <vt:lpstr>rack_sf</vt:lpstr>
      <vt:lpstr>req_size</vt:lpstr>
      <vt:lpstr>s_admin</vt:lpstr>
      <vt:lpstr>s_it</vt:lpstr>
      <vt:lpstr>s_pop</vt:lpstr>
      <vt:lpstr>s_pwr</vt:lpstr>
      <vt:lpstr>s_space</vt:lpstr>
      <vt:lpstr>s_tax</vt:lpstr>
      <vt:lpstr>s_tech</vt:lpstr>
      <vt:lpstr>s2ne</vt:lpstr>
      <vt:lpstr>s2w</vt:lpstr>
      <vt:lpstr>sbr_percent</vt:lpstr>
      <vt:lpstr>shelf_cards</vt:lpstr>
      <vt:lpstr>shelf_cost</vt:lpstr>
      <vt:lpstr>shelf_rus</vt:lpstr>
      <vt:lpstr>stream_dur</vt:lpstr>
      <vt:lpstr>stream_hbr</vt:lpstr>
      <vt:lpstr>stream_lbr</vt:lpstr>
      <vt:lpstr>stream_percent</vt:lpstr>
      <vt:lpstr>stream_req</vt:lpstr>
      <vt:lpstr>stream_sbr</vt:lpstr>
      <vt:lpstr>tot_req_hr</vt:lpstr>
      <vt:lpstr>tot_req_sec</vt:lpstr>
      <vt:lpstr>tot_songs</vt:lpstr>
      <vt:lpstr>w_admin</vt:lpstr>
      <vt:lpstr>w_it</vt:lpstr>
      <vt:lpstr>w_pop</vt:lpstr>
      <vt:lpstr>w_pwr</vt:lpstr>
      <vt:lpstr>w_space</vt:lpstr>
      <vt:lpstr>w_tax</vt:lpstr>
      <vt:lpstr>w_tech</vt:lpstr>
      <vt:lpstr>w2ne</vt:lpstr>
      <vt:lpstr>w2w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 Davis</dc:creator>
  <cp:lastModifiedBy>Apoorva</cp:lastModifiedBy>
  <dcterms:created xsi:type="dcterms:W3CDTF">2019-02-18T00:56:54Z</dcterms:created>
  <dcterms:modified xsi:type="dcterms:W3CDTF">2019-04-08T19:19:08Z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" linkTarget="prop_tax">
    <vt:r8>0.01</vt:r8>
  </property>
</Properties>
</file>