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rash/Desktop/SMU/2019-1 Spring/EMIS 7352/30 - Projects/Project 3/"/>
    </mc:Choice>
  </mc:AlternateContent>
  <xr:revisionPtr revIDLastSave="0" documentId="13_ncr:1_{7F281B65-A97B-B246-BAA6-61BFB0BA3D66}" xr6:coauthVersionLast="43" xr6:coauthVersionMax="43" xr10:uidLastSave="{00000000-0000-0000-0000-000000000000}"/>
  <bookViews>
    <workbookView xWindow="-37400" yWindow="3460" windowWidth="37420" windowHeight="20540" tabRatio="500" xr2:uid="{00000000-000D-0000-FFFF-FFFF00000000}"/>
  </bookViews>
  <sheets>
    <sheet name="Summary" sheetId="1" r:id="rId1"/>
    <sheet name="User Profile" sheetId="5" r:id="rId2"/>
    <sheet name="CPU (Workload)" sheetId="12" r:id="rId3"/>
    <sheet name="Bandwidth" sheetId="7" r:id="rId4"/>
    <sheet name="Memory" sheetId="14" r:id="rId5"/>
    <sheet name="Storage" sheetId="8" r:id="rId6"/>
    <sheet name="AWS" sheetId="16" r:id="rId7"/>
    <sheet name="GCP" sheetId="20" r:id="rId8"/>
    <sheet name="Space and Labor" sheetId="17" r:id="rId9"/>
    <sheet name="Constants" sheetId="10" r:id="rId10"/>
  </sheets>
  <definedNames>
    <definedName name="acre_cost">Constants!$B$49</definedName>
    <definedName name="acres">Constants!$B$50</definedName>
    <definedName name="api_size">Constants!$B$54</definedName>
    <definedName name="app_full" localSheetId="6">Constants!#REF!</definedName>
    <definedName name="app_full" localSheetId="7">Constants!#REF!</definedName>
    <definedName name="app_full">Constants!#REF!</definedName>
    <definedName name="app_size" localSheetId="6">Constants!#REF!</definedName>
    <definedName name="app_size" localSheetId="7">Constants!#REF!</definedName>
    <definedName name="app_size">Constants!#REF!</definedName>
    <definedName name="app_upd" localSheetId="6">Constants!#REF!</definedName>
    <definedName name="app_upd" localSheetId="7">Constants!#REF!</definedName>
    <definedName name="app_upd">Constants!#REF!</definedName>
    <definedName name="btu_per_kw" localSheetId="6">Constants!#REF!</definedName>
    <definedName name="btu_per_kw" localSheetId="7">Constants!#REF!</definedName>
    <definedName name="btu_per_kw">Constants!#REF!</definedName>
    <definedName name="bw_limit">Constants!$E$18</definedName>
    <definedName name="cpu_limit">Constants!$B$18</definedName>
    <definedName name="disk_limit">Constants!$C$18</definedName>
    <definedName name="down_percent">Constants!$D$12</definedName>
    <definedName name="down_req">Constants!$C$12</definedName>
    <definedName name="down_song">Constants!$B$12</definedName>
    <definedName name="dsfzdxfadsfrs" localSheetId="7">Constants!#REF!</definedName>
    <definedName name="dsfzdxfadsfrs">Constants!#REF!</definedName>
    <definedName name="fiber_cost">Constants!$B$48</definedName>
    <definedName name="fiber_install" localSheetId="6">Constants!#REF!</definedName>
    <definedName name="fiber_install" localSheetId="7">Constants!#REF!</definedName>
    <definedName name="fiber_install">Constants!#REF!</definedName>
    <definedName name="fiber_run">Constants!$B$47</definedName>
    <definedName name="fire_supp">Constants!$B$51</definedName>
    <definedName name="gen_l_bw">Constants!$F$26</definedName>
    <definedName name="gen_l_core">Constants!$C$26</definedName>
    <definedName name="gen_l_cost">Constants!$X$26</definedName>
    <definedName name="gen_l_disk">Constants!$E$26</definedName>
    <definedName name="gen_l_ports">Constants!$G$26</definedName>
    <definedName name="gen_l_pow100">Constants!$S$26</definedName>
    <definedName name="gen_l_pow40">Constants!$P$26</definedName>
    <definedName name="gen_l_pow60">Constants!$Q$26</definedName>
    <definedName name="gen_l_pow80">Constants!$R$26</definedName>
    <definedName name="gen_l_ram">Constants!$D$26</definedName>
    <definedName name="gen_l_ru">Constants!$B$26</definedName>
    <definedName name="gen_l_spr100">Constants!$W$26</definedName>
    <definedName name="gen_l_spr40">Constants!$T$26</definedName>
    <definedName name="gen_l_spr60">Constants!$U$26</definedName>
    <definedName name="gen_l_spr80">Constants!$V$26</definedName>
    <definedName name="gen_l_tps100">Constants!$K$26</definedName>
    <definedName name="gen_l_tps40">Constants!$H$26</definedName>
    <definedName name="gen_l_tps60">Constants!$I$26</definedName>
    <definedName name="gen_l_tps80">Constants!$J$26</definedName>
    <definedName name="gen_l_user100">Constants!$O$26</definedName>
    <definedName name="gen_l_user40">Constants!$L$26</definedName>
    <definedName name="gen_l_user60">Constants!$M$26</definedName>
    <definedName name="gen_l_user80">Constants!$N$26</definedName>
    <definedName name="gen_xl_bw">Constants!$F$27</definedName>
    <definedName name="gen_xl_core">Constants!$C$27</definedName>
    <definedName name="gen_xl_cost">Constants!$X$27</definedName>
    <definedName name="gen_xl_disk">Constants!$E$27</definedName>
    <definedName name="gen_xl_ports">Constants!$G$27</definedName>
    <definedName name="gen_xl_pow100">Constants!$S$27</definedName>
    <definedName name="gen_xl_pow40">Constants!$P$27</definedName>
    <definedName name="gen_xl_pow60">Constants!$Q$27</definedName>
    <definedName name="gen_xl_pow80">Constants!$R$27</definedName>
    <definedName name="gen_xl_ram">Constants!$D$27</definedName>
    <definedName name="gen_xl_ru">Constants!$B$27</definedName>
    <definedName name="gen_xl_spr100">Constants!$W$27</definedName>
    <definedName name="gen_xl_spr40">Constants!$T$27</definedName>
    <definedName name="gen_xl_spr60">Constants!$U$27</definedName>
    <definedName name="gen_xl_spr80">Constants!$V$27</definedName>
    <definedName name="gen_xl_tps100">Constants!$K$27</definedName>
    <definedName name="gen_xl_tps40">Constants!$H$27</definedName>
    <definedName name="gen_xl_tps60">Constants!$I$27</definedName>
    <definedName name="gen_xl_tps80">Constants!$J$27</definedName>
    <definedName name="gen_xl_user100">Constants!$O$27</definedName>
    <definedName name="gen_xl_user40">Constants!$L$27</definedName>
    <definedName name="gen_xl_user60">Constants!$M$27</definedName>
    <definedName name="gen_xl_user80">Constants!$N$27</definedName>
    <definedName name="gig_bw">Constants!$F$36</definedName>
    <definedName name="gig_cost">Constants!$H$36</definedName>
    <definedName name="gig_ports">Constants!$E$36</definedName>
    <definedName name="gig_pwr">Constants!$G$36</definedName>
    <definedName name="hbr_percent">Constants!$G$9</definedName>
    <definedName name="hw_supt">Constants!$B$43</definedName>
    <definedName name="inflation" localSheetId="6">Constants!#REF!</definedName>
    <definedName name="inflation" localSheetId="7">Constants!#REF!</definedName>
    <definedName name="inflation">Constants!#REF!</definedName>
    <definedName name="ip_tx_cost">Constants!$B$46</definedName>
    <definedName name="kwh_cost">Constants!$B$45</definedName>
    <definedName name="lbr_percent">Constants!$E$9</definedName>
    <definedName name="log_compression" localSheetId="6">Constants!#REF!</definedName>
    <definedName name="log_compression" localSheetId="7">Constants!#REF!</definedName>
    <definedName name="log_compression">Constants!#REF!</definedName>
    <definedName name="log_per_event" localSheetId="6">Constants!#REF!</definedName>
    <definedName name="log_per_event" localSheetId="7">Constants!#REF!</definedName>
    <definedName name="log_per_event">Constants!#REF!</definedName>
    <definedName name="log_size" localSheetId="6">Constants!#REF!</definedName>
    <definedName name="log_size" localSheetId="7">Constants!#REF!</definedName>
    <definedName name="log_size">Constants!#REF!</definedName>
    <definedName name="max_rpwr">Constants!$C$39</definedName>
    <definedName name="max_ru">Constants!$B$39</definedName>
    <definedName name="mem_limit">Constants!$D$18</definedName>
    <definedName name="mod_watt">Constants!$B$53</definedName>
    <definedName name="mw_admin">Constants!$F$58</definedName>
    <definedName name="mw_it">Constants!$I$58</definedName>
    <definedName name="mw_pop">Constants!$C$58</definedName>
    <definedName name="mw_pwr">Constants!$H$58</definedName>
    <definedName name="mw_space">Constants!$J$58</definedName>
    <definedName name="mw_tax">Constants!$K$58</definedName>
    <definedName name="mw_tech">Constants!$G$58</definedName>
    <definedName name="mw2ne">Constants!$D$58</definedName>
    <definedName name="mw2w">Constants!$E$58</definedName>
    <definedName name="nas_bw">Constants!$E$30</definedName>
    <definedName name="nas_cost">Constants!$G$30</definedName>
    <definedName name="nas_disk">Constants!$C$30</definedName>
    <definedName name="nas_ports">Constants!$D$30</definedName>
    <definedName name="nas_pwr">Constants!$F$30</definedName>
    <definedName name="nas_ru">Constants!$B$30</definedName>
    <definedName name="nas_spr">Constants!$H$30</definedName>
    <definedName name="ne_admin">Constants!$F$57</definedName>
    <definedName name="ne_it">Constants!$I$57</definedName>
    <definedName name="ne_pop">Constants!$C$57</definedName>
    <definedName name="ne_pwr">Constants!$H$57</definedName>
    <definedName name="ne_space">Constants!$J$57</definedName>
    <definedName name="ne_tax">Constants!$K$57</definedName>
    <definedName name="ne_tech">Constants!$G$57</definedName>
    <definedName name="ne2ne">Constants!$D$57</definedName>
    <definedName name="ne2w">Constants!$E$57</definedName>
    <definedName name="oc192_bw">Constants!$N$36</definedName>
    <definedName name="oc192_cost">Constants!$P$36</definedName>
    <definedName name="oc192_ports">Constants!$M$36</definedName>
    <definedName name="oc192_pwr">Constants!$O$36</definedName>
    <definedName name="oc48_bw">Constants!$J$36</definedName>
    <definedName name="oc48_cost">Constants!$L$36</definedName>
    <definedName name="oc48_ports">Constants!$I$36</definedName>
    <definedName name="oc48_pwr">Constants!$K$36</definedName>
    <definedName name="peak_bw" localSheetId="6">Constants!#REF!</definedName>
    <definedName name="peak_bw" localSheetId="7">Constants!#REF!</definedName>
    <definedName name="peak_bw">Constants!#REF!</definedName>
    <definedName name="peak_hrs">'CPU (Workload)'!$B$3</definedName>
    <definedName name="peak_user" localSheetId="6">Constants!#REF!</definedName>
    <definedName name="peak_user" localSheetId="7">Constants!#REF!</definedName>
    <definedName name="peak_user">Constants!#REF!</definedName>
    <definedName name="perm_percent">Constants!$D$15</definedName>
    <definedName name="perm_req">Constants!$C$15</definedName>
    <definedName name="prof_num_upd" localSheetId="6">Constants!#REF!</definedName>
    <definedName name="prof_num_upd" localSheetId="7">Constants!#REF!</definedName>
    <definedName name="prof_num_upd">Constants!#REF!</definedName>
    <definedName name="prof_size" localSheetId="6">Constants!#REF!</definedName>
    <definedName name="prof_size" localSheetId="7">Constants!#REF!</definedName>
    <definedName name="prof_size">Constants!#REF!</definedName>
    <definedName name="prof_upd_size" localSheetId="6">Constants!#REF!</definedName>
    <definedName name="prof_upd_size" localSheetId="7">Constants!#REF!</definedName>
    <definedName name="prof_upd_size">Constants!#REF!</definedName>
    <definedName name="prop_tax">Constants!$B$52</definedName>
    <definedName name="pue" localSheetId="6">Constants!#REF!</definedName>
    <definedName name="pue" localSheetId="7">Constants!#REF!</definedName>
    <definedName name="pue">Constants!#REF!</definedName>
    <definedName name="rack_cost">Constants!$D$39</definedName>
    <definedName name="rack_sf">Constants!$B$44</definedName>
    <definedName name="raid5" localSheetId="6">Constants!#REF!</definedName>
    <definedName name="raid5" localSheetId="7">Constants!#REF!</definedName>
    <definedName name="raid5">Constants!#REF!</definedName>
    <definedName name="req_size">Constants!$B$15</definedName>
    <definedName name="resp_size" localSheetId="6">Constants!#REF!</definedName>
    <definedName name="resp_size" localSheetId="7">Constants!#REF!</definedName>
    <definedName name="resp_size">Constants!#REF!</definedName>
    <definedName name="s_admin">Constants!$F$59</definedName>
    <definedName name="s_it">Constants!$I$59</definedName>
    <definedName name="s_pop">Constants!$C$59</definedName>
    <definedName name="s_pwr">Constants!$H$59</definedName>
    <definedName name="s_space">Constants!$J$59</definedName>
    <definedName name="s_tax">Constants!$K$59</definedName>
    <definedName name="s_tech">Constants!$G$59</definedName>
    <definedName name="s2ne">Constants!$D$59</definedName>
    <definedName name="s2w">Constants!$E$59</definedName>
    <definedName name="sbr_percent">Constants!$F$9</definedName>
    <definedName name="shelf_cards">Constants!$D$36</definedName>
    <definedName name="shelf_cost">Constants!$B$36</definedName>
    <definedName name="shelf_ports" localSheetId="6">Constants!#REF!</definedName>
    <definedName name="shelf_ports" localSheetId="7">Constants!#REF!</definedName>
    <definedName name="shelf_ports">Constants!#REF!</definedName>
    <definedName name="shelf_rus">Constants!$C$36</definedName>
    <definedName name="stream_dur">Constants!$H$9</definedName>
    <definedName name="stream_hbr">Constants!$D$9</definedName>
    <definedName name="stream_lbr">Constants!$B$9</definedName>
    <definedName name="stream_percent">Constants!$J$9</definedName>
    <definedName name="stream_req">Constants!$I$9</definedName>
    <definedName name="stream_sbr">Constants!$C$9</definedName>
    <definedName name="tor_cost" localSheetId="6">Constants!#REF!</definedName>
    <definedName name="tor_cost" localSheetId="7">Constants!#REF!</definedName>
    <definedName name="tor_cost">Constants!#REF!</definedName>
    <definedName name="tor_ports" localSheetId="6">Constants!#REF!</definedName>
    <definedName name="tor_ports" localSheetId="7">Constants!#REF!</definedName>
    <definedName name="tor_ports">Constants!#REF!</definedName>
    <definedName name="tor_pwr" localSheetId="6">Constants!#REF!</definedName>
    <definedName name="tor_pwr" localSheetId="7">Constants!#REF!</definedName>
    <definedName name="tor_pwr">Constants!#REF!</definedName>
    <definedName name="tot_req_hr">Constants!$B$6</definedName>
    <definedName name="tot_req_sec">Constants!$C$6</definedName>
    <definedName name="tot_songs">Constants!$B$3</definedName>
    <definedName name="upd_percent" localSheetId="6">Constants!#REF!</definedName>
    <definedName name="upd_percent" localSheetId="7">Constants!#REF!</definedName>
    <definedName name="upd_percent">Constants!#REF!</definedName>
    <definedName name="user_devs" localSheetId="6">Constants!#REF!</definedName>
    <definedName name="user_devs" localSheetId="7">Constants!#REF!</definedName>
    <definedName name="user_devs">Constants!#REF!</definedName>
    <definedName name="user_prof" localSheetId="6">Constants!#REF!</definedName>
    <definedName name="user_prof" localSheetId="7">Constants!#REF!</definedName>
    <definedName name="user_prof">Constants!#REF!</definedName>
    <definedName name="w_admin">Constants!$F$60</definedName>
    <definedName name="w_it">Constants!$I$60</definedName>
    <definedName name="w_pop">Constants!$C$60</definedName>
    <definedName name="w_pwr">Constants!$H$60</definedName>
    <definedName name="w_space">Constants!$J$60</definedName>
    <definedName name="w_tax">Constants!$K$60</definedName>
    <definedName name="w_tech">Constants!$G$60</definedName>
    <definedName name="w2ne">Constants!$D$60</definedName>
    <definedName name="w2w">Constants!$E$60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1" l="1"/>
  <c r="E39" i="1"/>
  <c r="E38" i="1"/>
  <c r="E34" i="1"/>
  <c r="E27" i="1"/>
  <c r="E21" i="1"/>
  <c r="D21" i="1"/>
  <c r="C21" i="1"/>
  <c r="E20" i="1"/>
  <c r="D20" i="1"/>
  <c r="C20" i="1"/>
  <c r="D19" i="1"/>
  <c r="E19" i="1"/>
  <c r="C19" i="1"/>
  <c r="F17" i="1"/>
  <c r="F16" i="1"/>
  <c r="F15" i="1"/>
  <c r="C16" i="1"/>
  <c r="D16" i="1"/>
  <c r="E16" i="1"/>
  <c r="C17" i="1"/>
  <c r="D17" i="1"/>
  <c r="E17" i="1"/>
  <c r="D15" i="1"/>
  <c r="E15" i="1"/>
  <c r="C15" i="1"/>
  <c r="I168" i="20"/>
  <c r="D18" i="20"/>
  <c r="E18" i="20"/>
  <c r="I204" i="20"/>
  <c r="I203" i="20"/>
  <c r="I202" i="20"/>
  <c r="I201" i="20"/>
  <c r="I200" i="20"/>
  <c r="I199" i="20"/>
  <c r="I198" i="20"/>
  <c r="I197" i="20"/>
  <c r="I196" i="20"/>
  <c r="I195" i="20"/>
  <c r="I194" i="20"/>
  <c r="I193" i="20"/>
  <c r="I192" i="20"/>
  <c r="I191" i="20"/>
  <c r="I190" i="20"/>
  <c r="I189" i="20"/>
  <c r="I188" i="20"/>
  <c r="I187" i="20"/>
  <c r="I186" i="20"/>
  <c r="I185" i="20"/>
  <c r="I184" i="20"/>
  <c r="I183" i="20"/>
  <c r="I182" i="20"/>
  <c r="I181" i="20"/>
  <c r="I180" i="20"/>
  <c r="I179" i="20"/>
  <c r="I178" i="20"/>
  <c r="I177" i="20"/>
  <c r="I176" i="20"/>
  <c r="I175" i="20"/>
  <c r="I174" i="20"/>
  <c r="I173" i="20"/>
  <c r="I172" i="20"/>
  <c r="I171" i="20"/>
  <c r="I170" i="20"/>
  <c r="I169" i="20"/>
  <c r="F204" i="20"/>
  <c r="F203" i="20"/>
  <c r="F202" i="20"/>
  <c r="F201" i="20"/>
  <c r="F200" i="20"/>
  <c r="F199" i="20"/>
  <c r="F198" i="20"/>
  <c r="F197" i="20"/>
  <c r="F196" i="20"/>
  <c r="F195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82" i="20"/>
  <c r="F181" i="20"/>
  <c r="F180" i="20"/>
  <c r="F179" i="20"/>
  <c r="F178" i="20"/>
  <c r="F177" i="20"/>
  <c r="F176" i="20"/>
  <c r="F175" i="20"/>
  <c r="F174" i="20"/>
  <c r="F173" i="20"/>
  <c r="F172" i="20"/>
  <c r="F171" i="20"/>
  <c r="F170" i="20"/>
  <c r="F169" i="20"/>
  <c r="F168" i="20"/>
  <c r="G204" i="20"/>
  <c r="G203" i="20"/>
  <c r="G202" i="20"/>
  <c r="G201" i="20"/>
  <c r="G200" i="20"/>
  <c r="G199" i="20"/>
  <c r="G198" i="20"/>
  <c r="G197" i="20"/>
  <c r="G196" i="20"/>
  <c r="G195" i="20"/>
  <c r="G194" i="20"/>
  <c r="G193" i="20"/>
  <c r="G192" i="20"/>
  <c r="G191" i="20"/>
  <c r="G190" i="20"/>
  <c r="G189" i="20"/>
  <c r="G188" i="20"/>
  <c r="G187" i="20"/>
  <c r="G186" i="20"/>
  <c r="G185" i="20"/>
  <c r="G184" i="20"/>
  <c r="G183" i="20"/>
  <c r="G182" i="20"/>
  <c r="G181" i="20"/>
  <c r="G180" i="20"/>
  <c r="G179" i="20"/>
  <c r="G178" i="20"/>
  <c r="G177" i="20"/>
  <c r="G176" i="20"/>
  <c r="G175" i="20"/>
  <c r="G174" i="20"/>
  <c r="G173" i="20"/>
  <c r="G172" i="20"/>
  <c r="G171" i="20"/>
  <c r="G170" i="20"/>
  <c r="G169" i="20"/>
  <c r="G168" i="20"/>
  <c r="I160" i="16"/>
  <c r="I159" i="16"/>
  <c r="I158" i="16"/>
  <c r="I157" i="16"/>
  <c r="I156" i="16"/>
  <c r="I155" i="16"/>
  <c r="I154" i="16"/>
  <c r="I153" i="16"/>
  <c r="I152" i="16"/>
  <c r="I151" i="16"/>
  <c r="I150" i="16"/>
  <c r="I149" i="16"/>
  <c r="I148" i="16"/>
  <c r="I147" i="16"/>
  <c r="I146" i="16"/>
  <c r="I145" i="16"/>
  <c r="I144" i="16"/>
  <c r="I143" i="16"/>
  <c r="I142" i="16"/>
  <c r="I141" i="16"/>
  <c r="I140" i="16"/>
  <c r="I139" i="16"/>
  <c r="I138" i="16"/>
  <c r="I137" i="16"/>
  <c r="I136" i="16"/>
  <c r="I135" i="16"/>
  <c r="I134" i="16"/>
  <c r="I133" i="16"/>
  <c r="I132" i="16"/>
  <c r="I131" i="16"/>
  <c r="I130" i="16"/>
  <c r="I129" i="16"/>
  <c r="I128" i="16"/>
  <c r="I127" i="16"/>
  <c r="I126" i="16"/>
  <c r="I125" i="16"/>
  <c r="I124" i="16"/>
  <c r="I120" i="16"/>
  <c r="I119" i="16"/>
  <c r="I118" i="16"/>
  <c r="I117" i="16"/>
  <c r="I116" i="16"/>
  <c r="I115" i="16"/>
  <c r="I114" i="16"/>
  <c r="I113" i="16"/>
  <c r="I112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H165" i="16" l="1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164" i="16"/>
  <c r="D165" i="16"/>
  <c r="I165" i="16" s="1"/>
  <c r="D166" i="16"/>
  <c r="I166" i="16" s="1"/>
  <c r="D167" i="16"/>
  <c r="G167" i="16" s="1"/>
  <c r="D168" i="16"/>
  <c r="G168" i="16" s="1"/>
  <c r="D169" i="16"/>
  <c r="I169" i="16" s="1"/>
  <c r="D170" i="16"/>
  <c r="G170" i="16" s="1"/>
  <c r="D171" i="16"/>
  <c r="G171" i="16" s="1"/>
  <c r="D172" i="16"/>
  <c r="I172" i="16" s="1"/>
  <c r="D173" i="16"/>
  <c r="G173" i="16" s="1"/>
  <c r="D174" i="16"/>
  <c r="I174" i="16" s="1"/>
  <c r="D175" i="16"/>
  <c r="G175" i="16" s="1"/>
  <c r="D176" i="16"/>
  <c r="I176" i="16" s="1"/>
  <c r="D177" i="16"/>
  <c r="I177" i="16" s="1"/>
  <c r="D178" i="16"/>
  <c r="I178" i="16" s="1"/>
  <c r="D179" i="16"/>
  <c r="G179" i="16" s="1"/>
  <c r="D180" i="16"/>
  <c r="G180" i="16" s="1"/>
  <c r="D181" i="16"/>
  <c r="G181" i="16" s="1"/>
  <c r="D182" i="16"/>
  <c r="G182" i="16" s="1"/>
  <c r="D183" i="16"/>
  <c r="G183" i="16" s="1"/>
  <c r="D184" i="16"/>
  <c r="I184" i="16" s="1"/>
  <c r="D185" i="16"/>
  <c r="G185" i="16" s="1"/>
  <c r="D186" i="16"/>
  <c r="I186" i="16" s="1"/>
  <c r="D187" i="16"/>
  <c r="G187" i="16" s="1"/>
  <c r="D188" i="16"/>
  <c r="I188" i="16" s="1"/>
  <c r="D189" i="16"/>
  <c r="I189" i="16" s="1"/>
  <c r="D190" i="16"/>
  <c r="I190" i="16" s="1"/>
  <c r="D191" i="16"/>
  <c r="G191" i="16" s="1"/>
  <c r="D192" i="16"/>
  <c r="G192" i="16" s="1"/>
  <c r="D193" i="16"/>
  <c r="I193" i="16" s="1"/>
  <c r="D194" i="16"/>
  <c r="G194" i="16" s="1"/>
  <c r="D195" i="16"/>
  <c r="I195" i="16" s="1"/>
  <c r="D196" i="16"/>
  <c r="I196" i="16" s="1"/>
  <c r="D197" i="16"/>
  <c r="G197" i="16" s="1"/>
  <c r="D198" i="16"/>
  <c r="I198" i="16" s="1"/>
  <c r="D199" i="16"/>
  <c r="G199" i="16" s="1"/>
  <c r="D200" i="16"/>
  <c r="I200" i="16" s="1"/>
  <c r="D164" i="16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E54" i="1"/>
  <c r="F54" i="1"/>
  <c r="G54" i="1"/>
  <c r="H54" i="1"/>
  <c r="J54" i="1"/>
  <c r="E55" i="1"/>
  <c r="F55" i="1"/>
  <c r="G55" i="1"/>
  <c r="H55" i="1"/>
  <c r="J55" i="1"/>
  <c r="E56" i="1"/>
  <c r="F56" i="1"/>
  <c r="G56" i="1"/>
  <c r="H56" i="1"/>
  <c r="J56" i="1"/>
  <c r="E57" i="1"/>
  <c r="F57" i="1"/>
  <c r="G57" i="1"/>
  <c r="H57" i="1"/>
  <c r="J57" i="1"/>
  <c r="E58" i="1"/>
  <c r="F58" i="1"/>
  <c r="G58" i="1"/>
  <c r="H58" i="1"/>
  <c r="J58" i="1"/>
  <c r="E59" i="1"/>
  <c r="F59" i="1"/>
  <c r="G59" i="1"/>
  <c r="H59" i="1"/>
  <c r="J59" i="1"/>
  <c r="E60" i="1"/>
  <c r="F60" i="1"/>
  <c r="G60" i="1"/>
  <c r="H60" i="1"/>
  <c r="J60" i="1"/>
  <c r="E61" i="1"/>
  <c r="F61" i="1"/>
  <c r="G61" i="1"/>
  <c r="H61" i="1"/>
  <c r="J61" i="1"/>
  <c r="E62" i="1"/>
  <c r="F62" i="1"/>
  <c r="G62" i="1"/>
  <c r="H62" i="1"/>
  <c r="J62" i="1"/>
  <c r="E63" i="1"/>
  <c r="F63" i="1"/>
  <c r="G63" i="1"/>
  <c r="H63" i="1"/>
  <c r="J63" i="1"/>
  <c r="E64" i="1"/>
  <c r="F64" i="1"/>
  <c r="G64" i="1"/>
  <c r="H64" i="1"/>
  <c r="J64" i="1"/>
  <c r="E65" i="1"/>
  <c r="F65" i="1"/>
  <c r="G65" i="1"/>
  <c r="H65" i="1"/>
  <c r="J65" i="1"/>
  <c r="E66" i="1"/>
  <c r="F66" i="1"/>
  <c r="G66" i="1"/>
  <c r="H66" i="1"/>
  <c r="J66" i="1"/>
  <c r="E67" i="1"/>
  <c r="F67" i="1"/>
  <c r="G67" i="1"/>
  <c r="H67" i="1"/>
  <c r="J67" i="1"/>
  <c r="E68" i="1"/>
  <c r="F68" i="1"/>
  <c r="G68" i="1"/>
  <c r="H68" i="1"/>
  <c r="J68" i="1"/>
  <c r="E69" i="1"/>
  <c r="F69" i="1"/>
  <c r="G69" i="1"/>
  <c r="H69" i="1"/>
  <c r="J69" i="1"/>
  <c r="E70" i="1"/>
  <c r="F70" i="1"/>
  <c r="G70" i="1"/>
  <c r="H70" i="1"/>
  <c r="J70" i="1"/>
  <c r="E71" i="1"/>
  <c r="F71" i="1"/>
  <c r="G71" i="1"/>
  <c r="H71" i="1"/>
  <c r="J71" i="1"/>
  <c r="E72" i="1"/>
  <c r="F72" i="1"/>
  <c r="G72" i="1"/>
  <c r="H72" i="1"/>
  <c r="J72" i="1"/>
  <c r="E73" i="1"/>
  <c r="F73" i="1"/>
  <c r="G73" i="1"/>
  <c r="H73" i="1"/>
  <c r="J73" i="1"/>
  <c r="E74" i="1"/>
  <c r="F74" i="1"/>
  <c r="G74" i="1"/>
  <c r="H74" i="1"/>
  <c r="J74" i="1"/>
  <c r="E75" i="1"/>
  <c r="F75" i="1"/>
  <c r="G75" i="1"/>
  <c r="H75" i="1"/>
  <c r="J75" i="1"/>
  <c r="E76" i="1"/>
  <c r="F76" i="1"/>
  <c r="G76" i="1"/>
  <c r="H76" i="1"/>
  <c r="J76" i="1"/>
  <c r="E77" i="1"/>
  <c r="F77" i="1"/>
  <c r="G77" i="1"/>
  <c r="H77" i="1"/>
  <c r="J77" i="1"/>
  <c r="E78" i="1"/>
  <c r="F78" i="1"/>
  <c r="G78" i="1"/>
  <c r="H78" i="1"/>
  <c r="J78" i="1"/>
  <c r="E79" i="1"/>
  <c r="F79" i="1"/>
  <c r="G79" i="1"/>
  <c r="H79" i="1"/>
  <c r="J79" i="1"/>
  <c r="E80" i="1"/>
  <c r="F80" i="1"/>
  <c r="G80" i="1"/>
  <c r="H80" i="1"/>
  <c r="J80" i="1"/>
  <c r="E81" i="1"/>
  <c r="F81" i="1"/>
  <c r="G81" i="1"/>
  <c r="H81" i="1"/>
  <c r="J81" i="1"/>
  <c r="E82" i="1"/>
  <c r="F82" i="1"/>
  <c r="G82" i="1"/>
  <c r="H82" i="1"/>
  <c r="J82" i="1"/>
  <c r="E83" i="1"/>
  <c r="F83" i="1"/>
  <c r="G83" i="1"/>
  <c r="H83" i="1"/>
  <c r="J83" i="1"/>
  <c r="E84" i="1"/>
  <c r="F84" i="1"/>
  <c r="G84" i="1"/>
  <c r="H84" i="1"/>
  <c r="J84" i="1"/>
  <c r="E85" i="1"/>
  <c r="F85" i="1"/>
  <c r="G85" i="1"/>
  <c r="H85" i="1"/>
  <c r="J85" i="1"/>
  <c r="E86" i="1"/>
  <c r="F86" i="1"/>
  <c r="G86" i="1"/>
  <c r="H86" i="1"/>
  <c r="J86" i="1"/>
  <c r="E87" i="1"/>
  <c r="F87" i="1"/>
  <c r="G87" i="1"/>
  <c r="H87" i="1"/>
  <c r="J87" i="1"/>
  <c r="E88" i="1"/>
  <c r="F88" i="1"/>
  <c r="G88" i="1"/>
  <c r="H88" i="1"/>
  <c r="J88" i="1"/>
  <c r="E89" i="1"/>
  <c r="F89" i="1"/>
  <c r="G89" i="1"/>
  <c r="H89" i="1"/>
  <c r="J89" i="1"/>
  <c r="J53" i="1"/>
  <c r="G53" i="1"/>
  <c r="H53" i="1"/>
  <c r="F53" i="1"/>
  <c r="E53" i="1"/>
  <c r="I164" i="16" l="1"/>
  <c r="G164" i="16"/>
  <c r="G177" i="16"/>
  <c r="J177" i="16"/>
  <c r="G195" i="16"/>
  <c r="J195" i="16" s="1"/>
  <c r="G184" i="16"/>
  <c r="I183" i="16"/>
  <c r="J183" i="16" s="1"/>
  <c r="I182" i="16"/>
  <c r="J182" i="16" s="1"/>
  <c r="G172" i="16"/>
  <c r="J172" i="16" s="1"/>
  <c r="I171" i="16"/>
  <c r="J171" i="16" s="1"/>
  <c r="I170" i="16"/>
  <c r="J170" i="16" s="1"/>
  <c r="G169" i="16"/>
  <c r="J169" i="16" s="1"/>
  <c r="I181" i="16"/>
  <c r="J181" i="16" s="1"/>
  <c r="I180" i="16"/>
  <c r="J180" i="16" s="1"/>
  <c r="G165" i="16"/>
  <c r="J165" i="16" s="1"/>
  <c r="J164" i="16"/>
  <c r="I168" i="16"/>
  <c r="J168" i="16" s="1"/>
  <c r="J192" i="16"/>
  <c r="G193" i="16"/>
  <c r="J193" i="16" s="1"/>
  <c r="J184" i="16"/>
  <c r="G189" i="16"/>
  <c r="J189" i="16" s="1"/>
  <c r="I194" i="16"/>
  <c r="J194" i="16"/>
  <c r="G196" i="16"/>
  <c r="J196" i="16" s="1"/>
  <c r="I192" i="16"/>
  <c r="G190" i="16"/>
  <c r="J190" i="16" s="1"/>
  <c r="G178" i="16"/>
  <c r="J178" i="16" s="1"/>
  <c r="G166" i="16"/>
  <c r="J166" i="16" s="1"/>
  <c r="I191" i="16"/>
  <c r="J191" i="16" s="1"/>
  <c r="I167" i="16"/>
  <c r="J167" i="16" s="1"/>
  <c r="G200" i="16"/>
  <c r="J200" i="16" s="1"/>
  <c r="G188" i="16"/>
  <c r="J188" i="16" s="1"/>
  <c r="G176" i="16"/>
  <c r="J176" i="16" s="1"/>
  <c r="I179" i="16"/>
  <c r="J179" i="16" s="1"/>
  <c r="I199" i="16"/>
  <c r="J199" i="16" s="1"/>
  <c r="I187" i="16"/>
  <c r="J187" i="16" s="1"/>
  <c r="I175" i="16"/>
  <c r="J175" i="16" s="1"/>
  <c r="G198" i="16"/>
  <c r="J198" i="16" s="1"/>
  <c r="G186" i="16"/>
  <c r="J186" i="16" s="1"/>
  <c r="G174" i="16"/>
  <c r="J174" i="16" s="1"/>
  <c r="I197" i="16"/>
  <c r="J197" i="16" s="1"/>
  <c r="I185" i="16"/>
  <c r="J185" i="16" s="1"/>
  <c r="I173" i="16"/>
  <c r="J173" i="16" s="1"/>
  <c r="D11" i="8"/>
  <c r="D10" i="8"/>
  <c r="D9" i="8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M42" i="14"/>
  <c r="M41" i="14"/>
  <c r="M40" i="14"/>
  <c r="M39" i="14"/>
  <c r="M38" i="14"/>
  <c r="M37" i="14"/>
  <c r="M36" i="14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B15" i="10"/>
  <c r="B12" i="10"/>
  <c r="N41" i="7"/>
  <c r="M41" i="7"/>
  <c r="L41" i="7"/>
  <c r="N40" i="7"/>
  <c r="M40" i="7"/>
  <c r="L40" i="7"/>
  <c r="N39" i="7"/>
  <c r="M39" i="7"/>
  <c r="L39" i="7"/>
  <c r="N38" i="7"/>
  <c r="M38" i="7"/>
  <c r="L38" i="7"/>
  <c r="N37" i="7"/>
  <c r="M37" i="7"/>
  <c r="L37" i="7"/>
  <c r="N36" i="7"/>
  <c r="M36" i="7"/>
  <c r="L36" i="7"/>
  <c r="N35" i="7"/>
  <c r="M35" i="7"/>
  <c r="L35" i="7"/>
  <c r="N34" i="7"/>
  <c r="M34" i="7"/>
  <c r="L34" i="7"/>
  <c r="N33" i="7"/>
  <c r="M33" i="7"/>
  <c r="L33" i="7"/>
  <c r="N32" i="7"/>
  <c r="M32" i="7"/>
  <c r="L32" i="7"/>
  <c r="N31" i="7"/>
  <c r="M31" i="7"/>
  <c r="L31" i="7"/>
  <c r="N30" i="7"/>
  <c r="M30" i="7"/>
  <c r="L30" i="7"/>
  <c r="N29" i="7"/>
  <c r="M29" i="7"/>
  <c r="L29" i="7"/>
  <c r="N28" i="7"/>
  <c r="M28" i="7"/>
  <c r="L28" i="7"/>
  <c r="N27" i="7"/>
  <c r="M27" i="7"/>
  <c r="L27" i="7"/>
  <c r="N26" i="7"/>
  <c r="M26" i="7"/>
  <c r="L26" i="7"/>
  <c r="N25" i="7"/>
  <c r="M25" i="7"/>
  <c r="L25" i="7"/>
  <c r="N24" i="7"/>
  <c r="M24" i="7"/>
  <c r="L24" i="7"/>
  <c r="N23" i="7"/>
  <c r="M23" i="7"/>
  <c r="L23" i="7"/>
  <c r="N22" i="7"/>
  <c r="M22" i="7"/>
  <c r="L22" i="7"/>
  <c r="N21" i="7"/>
  <c r="M21" i="7"/>
  <c r="L21" i="7"/>
  <c r="N20" i="7"/>
  <c r="M20" i="7"/>
  <c r="L20" i="7"/>
  <c r="N19" i="7"/>
  <c r="M19" i="7"/>
  <c r="L19" i="7"/>
  <c r="N18" i="7"/>
  <c r="M18" i="7"/>
  <c r="L18" i="7"/>
  <c r="N17" i="7"/>
  <c r="M17" i="7"/>
  <c r="L17" i="7"/>
  <c r="N16" i="7"/>
  <c r="M16" i="7"/>
  <c r="L16" i="7"/>
  <c r="N15" i="7"/>
  <c r="M15" i="7"/>
  <c r="L15" i="7"/>
  <c r="N14" i="7"/>
  <c r="M14" i="7"/>
  <c r="L14" i="7"/>
  <c r="N13" i="7"/>
  <c r="M13" i="7"/>
  <c r="L13" i="7"/>
  <c r="N12" i="7"/>
  <c r="M12" i="7"/>
  <c r="L12" i="7"/>
  <c r="N11" i="7"/>
  <c r="M11" i="7"/>
  <c r="L11" i="7"/>
  <c r="N10" i="7"/>
  <c r="M10" i="7"/>
  <c r="L10" i="7"/>
  <c r="N9" i="7"/>
  <c r="M9" i="7"/>
  <c r="L9" i="7"/>
  <c r="N8" i="7"/>
  <c r="M8" i="7"/>
  <c r="L8" i="7"/>
  <c r="N7" i="7"/>
  <c r="M7" i="7"/>
  <c r="L7" i="7"/>
  <c r="N6" i="7"/>
  <c r="M6" i="7"/>
  <c r="L6" i="7"/>
  <c r="N5" i="7"/>
  <c r="M5" i="7"/>
  <c r="L5" i="7"/>
  <c r="O164" i="16" l="1"/>
  <c r="N164" i="16"/>
  <c r="P164" i="16"/>
  <c r="C47" i="12"/>
  <c r="C48" i="12" s="1"/>
  <c r="C49" i="12" s="1"/>
  <c r="C50" i="12" s="1"/>
  <c r="C51" i="12" s="1"/>
  <c r="C41" i="12"/>
  <c r="C42" i="12" s="1"/>
  <c r="C43" i="12" s="1"/>
  <c r="C44" i="12" s="1"/>
  <c r="C45" i="12" s="1"/>
  <c r="C35" i="12"/>
  <c r="C36" i="12" s="1"/>
  <c r="C37" i="12" s="1"/>
  <c r="C38" i="12" s="1"/>
  <c r="C39" i="12" s="1"/>
  <c r="C29" i="12"/>
  <c r="C30" i="12" s="1"/>
  <c r="C31" i="12" s="1"/>
  <c r="C32" i="12" s="1"/>
  <c r="C33" i="12" s="1"/>
  <c r="C23" i="12"/>
  <c r="C24" i="12" s="1"/>
  <c r="C25" i="12" s="1"/>
  <c r="C26" i="12" s="1"/>
  <c r="C27" i="12" s="1"/>
  <c r="C17" i="12"/>
  <c r="C18" i="12" s="1"/>
  <c r="C19" i="12" s="1"/>
  <c r="C20" i="12" s="1"/>
  <c r="C21" i="12" s="1"/>
  <c r="D30" i="17"/>
  <c r="E30" i="17"/>
  <c r="C30" i="17"/>
  <c r="D26" i="17"/>
  <c r="E26" i="17"/>
  <c r="C26" i="17"/>
  <c r="C18" i="17"/>
  <c r="C20" i="17"/>
  <c r="D8" i="17"/>
  <c r="E8" i="17"/>
  <c r="E10" i="17"/>
  <c r="D10" i="17"/>
  <c r="C10" i="17"/>
  <c r="C8" i="17" l="1"/>
  <c r="F51" i="17"/>
  <c r="F55" i="17" s="1"/>
  <c r="C37" i="17" s="1"/>
  <c r="D37" i="17" s="1"/>
  <c r="E37" i="17" s="1"/>
  <c r="E51" i="17"/>
  <c r="E55" i="17" s="1"/>
  <c r="C36" i="17" s="1"/>
  <c r="D36" i="17" s="1"/>
  <c r="E36" i="17" s="1"/>
  <c r="C38" i="17"/>
  <c r="D38" i="17" s="1"/>
  <c r="E38" i="17" s="1"/>
  <c r="E27" i="17"/>
  <c r="E28" i="17" s="1"/>
  <c r="D27" i="17"/>
  <c r="D28" i="17" s="1"/>
  <c r="C27" i="17"/>
  <c r="C28" i="17" s="1"/>
  <c r="E20" i="17"/>
  <c r="D20" i="17"/>
  <c r="E15" i="17"/>
  <c r="D15" i="17"/>
  <c r="C15" i="17"/>
  <c r="C39" i="17"/>
  <c r="D39" i="17" s="1"/>
  <c r="E39" i="17" s="1"/>
  <c r="D29" i="17" l="1"/>
  <c r="D33" i="17" s="1"/>
  <c r="D25" i="17"/>
  <c r="E29" i="17"/>
  <c r="E33" i="17" s="1"/>
  <c r="E25" i="17"/>
  <c r="C29" i="17"/>
  <c r="C33" i="17" s="1"/>
  <c r="C25" i="17"/>
  <c r="D51" i="17"/>
  <c r="D55" i="17" s="1"/>
  <c r="C35" i="17" s="1"/>
  <c r="C40" i="17" s="1"/>
  <c r="C16" i="17"/>
  <c r="C17" i="17" s="1"/>
  <c r="D18" i="17"/>
  <c r="D16" i="17"/>
  <c r="D17" i="17" s="1"/>
  <c r="D19" i="17" s="1"/>
  <c r="E18" i="17"/>
  <c r="E16" i="17"/>
  <c r="E17" i="17" s="1"/>
  <c r="C12" i="17"/>
  <c r="D12" i="17"/>
  <c r="E12" i="17"/>
  <c r="D23" i="20" l="1"/>
  <c r="D23" i="16"/>
  <c r="D12" i="1" s="1"/>
  <c r="C23" i="20"/>
  <c r="C23" i="16"/>
  <c r="C12" i="1" s="1"/>
  <c r="E23" i="20"/>
  <c r="E23" i="16"/>
  <c r="E12" i="1" s="1"/>
  <c r="D40" i="17"/>
  <c r="C21" i="20"/>
  <c r="C21" i="16"/>
  <c r="C10" i="1" s="1"/>
  <c r="E19" i="17"/>
  <c r="E22" i="17"/>
  <c r="C22" i="17"/>
  <c r="D35" i="17"/>
  <c r="E35" i="17" s="1"/>
  <c r="D22" i="17"/>
  <c r="E41" i="1"/>
  <c r="D41" i="1"/>
  <c r="C41" i="1"/>
  <c r="E40" i="17" l="1"/>
  <c r="D21" i="20"/>
  <c r="D21" i="16"/>
  <c r="D10" i="1" s="1"/>
  <c r="D41" i="17"/>
  <c r="D22" i="20"/>
  <c r="D22" i="16"/>
  <c r="D11" i="1" s="1"/>
  <c r="C41" i="17"/>
  <c r="B41" i="17" s="1"/>
  <c r="C22" i="20"/>
  <c r="C22" i="16"/>
  <c r="C11" i="1" s="1"/>
  <c r="C24" i="20"/>
  <c r="E41" i="17"/>
  <c r="E22" i="20"/>
  <c r="E22" i="16"/>
  <c r="E11" i="1" s="1"/>
  <c r="D24" i="20" l="1"/>
  <c r="E21" i="20"/>
  <c r="E24" i="20" s="1"/>
  <c r="E21" i="16"/>
  <c r="E10" i="1" s="1"/>
  <c r="C30" i="10"/>
  <c r="F10" i="1" l="1"/>
  <c r="F19" i="1" l="1"/>
  <c r="E30" i="10"/>
  <c r="F27" i="10" l="1"/>
  <c r="F26" i="10"/>
  <c r="G19" i="5" l="1"/>
  <c r="G20" i="5"/>
  <c r="G21" i="5"/>
  <c r="G18" i="5"/>
  <c r="E18" i="5"/>
  <c r="E19" i="5"/>
  <c r="E20" i="5"/>
  <c r="E21" i="5"/>
  <c r="C19" i="5"/>
  <c r="C20" i="5"/>
  <c r="C21" i="5"/>
  <c r="C18" i="5"/>
  <c r="C7" i="5" l="1"/>
  <c r="D7" i="5" s="1"/>
  <c r="C8" i="5"/>
  <c r="D8" i="5" s="1"/>
  <c r="C9" i="5"/>
  <c r="C10" i="5"/>
  <c r="D10" i="5" s="1"/>
  <c r="C11" i="5"/>
  <c r="C6" i="5"/>
  <c r="D6" i="5" s="1"/>
  <c r="D9" i="5"/>
  <c r="D11" i="5"/>
  <c r="D88" i="14" l="1"/>
  <c r="D47" i="14"/>
  <c r="E9" i="14"/>
  <c r="C9" i="14"/>
  <c r="E8" i="14"/>
  <c r="C8" i="14"/>
  <c r="E7" i="14"/>
  <c r="C7" i="14"/>
  <c r="D5" i="14"/>
  <c r="D7" i="14" l="1"/>
  <c r="D8" i="14"/>
  <c r="D9" i="14"/>
  <c r="J36" i="10" l="1"/>
  <c r="K36" i="10" s="1"/>
  <c r="F36" i="10"/>
  <c r="N36" i="10"/>
  <c r="O36" i="10" s="1"/>
  <c r="G36" i="10"/>
  <c r="F6" i="5" l="1"/>
  <c r="F7" i="5"/>
  <c r="F8" i="5"/>
  <c r="F9" i="5"/>
  <c r="F10" i="5"/>
  <c r="F11" i="5"/>
  <c r="F5" i="5"/>
  <c r="E11" i="12"/>
  <c r="D11" i="12"/>
  <c r="C11" i="12"/>
  <c r="F5" i="12"/>
  <c r="F6" i="12" s="1"/>
  <c r="D87" i="14"/>
  <c r="D12" i="10"/>
  <c r="J9" i="10"/>
  <c r="C6" i="10"/>
  <c r="O27" i="10" s="1"/>
  <c r="H30" i="10"/>
  <c r="E27" i="10"/>
  <c r="E26" i="10"/>
  <c r="D27" i="10"/>
  <c r="D26" i="10"/>
  <c r="E19" i="12" l="1"/>
  <c r="E43" i="12"/>
  <c r="I17" i="12"/>
  <c r="M17" i="12" s="1"/>
  <c r="E20" i="12"/>
  <c r="I22" i="12"/>
  <c r="M22" i="12" s="1"/>
  <c r="I28" i="12"/>
  <c r="M28" i="12" s="1"/>
  <c r="I34" i="12"/>
  <c r="M34" i="12" s="1"/>
  <c r="I40" i="12"/>
  <c r="M40" i="12" s="1"/>
  <c r="H20" i="12"/>
  <c r="L20" i="12" s="1"/>
  <c r="H32" i="12"/>
  <c r="L32" i="12" s="1"/>
  <c r="H44" i="12"/>
  <c r="L44" i="12" s="1"/>
  <c r="D17" i="12"/>
  <c r="D19" i="12"/>
  <c r="D31" i="12"/>
  <c r="D43" i="12"/>
  <c r="D48" i="12"/>
  <c r="H17" i="12"/>
  <c r="L17" i="12" s="1"/>
  <c r="D27" i="12"/>
  <c r="H25" i="12"/>
  <c r="L25" i="12" s="1"/>
  <c r="H37" i="12"/>
  <c r="L37" i="12" s="1"/>
  <c r="J42" i="12"/>
  <c r="N42" i="12" s="1"/>
  <c r="J48" i="12"/>
  <c r="N48" i="12" s="1"/>
  <c r="F17" i="12"/>
  <c r="F29" i="12"/>
  <c r="F49" i="12"/>
  <c r="F50" i="12"/>
  <c r="F40" i="12"/>
  <c r="F20" i="12"/>
  <c r="J21" i="12"/>
  <c r="N21" i="12" s="1"/>
  <c r="J27" i="12"/>
  <c r="N27" i="12" s="1"/>
  <c r="J33" i="12"/>
  <c r="N33" i="12" s="1"/>
  <c r="J39" i="12"/>
  <c r="N39" i="12" s="1"/>
  <c r="J52" i="12"/>
  <c r="N52" i="12" s="1"/>
  <c r="F51" i="12"/>
  <c r="G9" i="5"/>
  <c r="H9" i="5" s="1"/>
  <c r="F20" i="5"/>
  <c r="F21" i="5"/>
  <c r="F19" i="5"/>
  <c r="F18" i="5"/>
  <c r="D19" i="5"/>
  <c r="D20" i="5"/>
  <c r="D21" i="5"/>
  <c r="D18" i="5"/>
  <c r="H19" i="5"/>
  <c r="H20" i="5"/>
  <c r="H21" i="5"/>
  <c r="H18" i="5"/>
  <c r="D15" i="8"/>
  <c r="D46" i="14"/>
  <c r="G10" i="5"/>
  <c r="H10" i="5" s="1"/>
  <c r="G11" i="5"/>
  <c r="H11" i="5" s="1"/>
  <c r="G7" i="5"/>
  <c r="H7" i="5" s="1"/>
  <c r="G6" i="5"/>
  <c r="H6" i="5" s="1"/>
  <c r="G8" i="5"/>
  <c r="H8" i="5" s="1"/>
  <c r="F11" i="12"/>
  <c r="B3" i="12"/>
  <c r="E16" i="12" s="1"/>
  <c r="O26" i="10"/>
  <c r="L26" i="10"/>
  <c r="M26" i="10"/>
  <c r="N27" i="10"/>
  <c r="L27" i="10"/>
  <c r="M27" i="10"/>
  <c r="N26" i="10"/>
  <c r="E37" i="20" l="1"/>
  <c r="H37" i="20" s="1"/>
  <c r="E37" i="16"/>
  <c r="H37" i="16" s="1"/>
  <c r="E64" i="20"/>
  <c r="H64" i="20" s="1"/>
  <c r="D23" i="12"/>
  <c r="F28" i="12"/>
  <c r="D52" i="12"/>
  <c r="H34" i="12"/>
  <c r="L34" i="12" s="1"/>
  <c r="H51" i="12"/>
  <c r="L51" i="12" s="1"/>
  <c r="J36" i="12"/>
  <c r="N36" i="12" s="1"/>
  <c r="I30" i="12"/>
  <c r="M30" i="12" s="1"/>
  <c r="J16" i="12"/>
  <c r="N16" i="12" s="1"/>
  <c r="J25" i="12"/>
  <c r="N25" i="12" s="1"/>
  <c r="D50" i="12"/>
  <c r="H40" i="14" s="1"/>
  <c r="E37" i="12"/>
  <c r="H69" i="7" s="1"/>
  <c r="E45" i="12"/>
  <c r="H77" i="7" s="1"/>
  <c r="F36" i="12"/>
  <c r="F21" i="12"/>
  <c r="J19" i="12"/>
  <c r="N19" i="12" s="1"/>
  <c r="H28" i="12"/>
  <c r="L28" i="12" s="1"/>
  <c r="D30" i="12"/>
  <c r="I29" i="12"/>
  <c r="M29" i="12" s="1"/>
  <c r="E33" i="12"/>
  <c r="H65" i="7" s="1"/>
  <c r="E30" i="12"/>
  <c r="H61" i="14" s="1"/>
  <c r="I61" i="14" s="1"/>
  <c r="F24" i="12"/>
  <c r="J50" i="12"/>
  <c r="N50" i="12" s="1"/>
  <c r="F25" i="12"/>
  <c r="H97" i="7" s="1"/>
  <c r="D47" i="12"/>
  <c r="H37" i="14" s="1"/>
  <c r="D24" i="12"/>
  <c r="D18" i="12"/>
  <c r="H7" i="7" s="1"/>
  <c r="E39" i="12"/>
  <c r="H71" i="7" s="1"/>
  <c r="E21" i="12"/>
  <c r="H53" i="7" s="1"/>
  <c r="I49" i="12"/>
  <c r="M49" i="12" s="1"/>
  <c r="J46" i="12"/>
  <c r="N46" i="12" s="1"/>
  <c r="H46" i="12"/>
  <c r="L46" i="12" s="1"/>
  <c r="J30" i="12"/>
  <c r="N30" i="12" s="1"/>
  <c r="I43" i="12"/>
  <c r="M43" i="12" s="1"/>
  <c r="F43" i="12"/>
  <c r="H115" i="14" s="1"/>
  <c r="I115" i="14" s="1"/>
  <c r="I37" i="12"/>
  <c r="H27" i="12"/>
  <c r="I16" i="12"/>
  <c r="M16" i="12" s="1"/>
  <c r="F38" i="12"/>
  <c r="D40" i="12"/>
  <c r="E46" i="12"/>
  <c r="I41" i="12"/>
  <c r="M41" i="12" s="1"/>
  <c r="F48" i="12"/>
  <c r="H120" i="14" s="1"/>
  <c r="I120" i="14" s="1"/>
  <c r="F33" i="12"/>
  <c r="H52" i="12"/>
  <c r="L52" i="12" s="1"/>
  <c r="D42" i="12"/>
  <c r="E42" i="12"/>
  <c r="H74" i="7" s="1"/>
  <c r="F27" i="12"/>
  <c r="J44" i="12"/>
  <c r="N44" i="12" s="1"/>
  <c r="J22" i="12"/>
  <c r="N22" i="12" s="1"/>
  <c r="H50" i="12"/>
  <c r="L50" i="12" s="1"/>
  <c r="D34" i="12"/>
  <c r="H23" i="7" s="1"/>
  <c r="H45" i="12"/>
  <c r="L45" i="12" s="1"/>
  <c r="I36" i="12"/>
  <c r="M36" i="12" s="1"/>
  <c r="I51" i="12"/>
  <c r="M51" i="12" s="1"/>
  <c r="J41" i="12"/>
  <c r="N41" i="12" s="1"/>
  <c r="J38" i="12"/>
  <c r="N38" i="12" s="1"/>
  <c r="F42" i="12"/>
  <c r="H114" i="14" s="1"/>
  <c r="I114" i="14" s="1"/>
  <c r="H38" i="12"/>
  <c r="L38" i="12" s="1"/>
  <c r="D44" i="12"/>
  <c r="H34" i="14" s="1"/>
  <c r="H33" i="12"/>
  <c r="E26" i="12"/>
  <c r="H57" i="14" s="1"/>
  <c r="I57" i="14" s="1"/>
  <c r="I39" i="12"/>
  <c r="M39" i="12" s="1"/>
  <c r="J45" i="12"/>
  <c r="N45" i="12" s="1"/>
  <c r="J32" i="12"/>
  <c r="N32" i="12" s="1"/>
  <c r="F30" i="12"/>
  <c r="H102" i="14" s="1"/>
  <c r="I102" i="14" s="1"/>
  <c r="H26" i="12"/>
  <c r="L26" i="12" s="1"/>
  <c r="D32" i="12"/>
  <c r="H21" i="12"/>
  <c r="L21" i="12" s="1"/>
  <c r="E49" i="12"/>
  <c r="H81" i="7" s="1"/>
  <c r="E32" i="12"/>
  <c r="H64" i="7" s="1"/>
  <c r="I31" i="12"/>
  <c r="M31" i="12" s="1"/>
  <c r="H47" i="14"/>
  <c r="I47" i="14" s="1"/>
  <c r="H48" i="7"/>
  <c r="H38" i="14"/>
  <c r="H37" i="7"/>
  <c r="H6" i="7"/>
  <c r="H7" i="14"/>
  <c r="H32" i="7"/>
  <c r="H33" i="14"/>
  <c r="H64" i="14"/>
  <c r="I64" i="14" s="1"/>
  <c r="H52" i="7"/>
  <c r="H51" i="14"/>
  <c r="H17" i="14"/>
  <c r="H16" i="7"/>
  <c r="H14" i="14"/>
  <c r="H13" i="7"/>
  <c r="G31" i="12"/>
  <c r="H20" i="7"/>
  <c r="H21" i="14"/>
  <c r="H8" i="14"/>
  <c r="H24" i="14"/>
  <c r="H9" i="14"/>
  <c r="H8" i="7"/>
  <c r="K45" i="12"/>
  <c r="H75" i="7"/>
  <c r="H74" i="14"/>
  <c r="I74" i="14" s="1"/>
  <c r="H62" i="7"/>
  <c r="I45" i="12"/>
  <c r="M45" i="12" s="1"/>
  <c r="E31" i="12"/>
  <c r="E18" i="12"/>
  <c r="I25" i="12"/>
  <c r="H101" i="7"/>
  <c r="H101" i="14"/>
  <c r="I101" i="14" s="1"/>
  <c r="H89" i="7"/>
  <c r="H89" i="14"/>
  <c r="I89" i="14" s="1"/>
  <c r="H122" i="7"/>
  <c r="H122" i="14"/>
  <c r="I122" i="14" s="1"/>
  <c r="H51" i="7"/>
  <c r="H50" i="14"/>
  <c r="E27" i="12"/>
  <c r="I19" i="12"/>
  <c r="M19" i="12" s="1"/>
  <c r="H92" i="7"/>
  <c r="H92" i="14"/>
  <c r="I92" i="14" s="1"/>
  <c r="K28" i="12"/>
  <c r="H22" i="14"/>
  <c r="H21" i="7"/>
  <c r="H30" i="14"/>
  <c r="H29" i="7"/>
  <c r="F31" i="12"/>
  <c r="D51" i="12"/>
  <c r="D45" i="12"/>
  <c r="D20" i="12"/>
  <c r="H22" i="12"/>
  <c r="H41" i="12"/>
  <c r="D28" i="12"/>
  <c r="E24" i="12"/>
  <c r="E34" i="12"/>
  <c r="I33" i="12"/>
  <c r="M33" i="12" s="1"/>
  <c r="I50" i="12"/>
  <c r="I42" i="12"/>
  <c r="M42" i="12" s="1"/>
  <c r="I18" i="12"/>
  <c r="M18" i="12" s="1"/>
  <c r="K21" i="12"/>
  <c r="H123" i="14"/>
  <c r="I123" i="14" s="1"/>
  <c r="H123" i="7"/>
  <c r="F18" i="12"/>
  <c r="J34" i="12"/>
  <c r="N34" i="12" s="1"/>
  <c r="J20" i="12"/>
  <c r="N20" i="12" s="1"/>
  <c r="F19" i="12"/>
  <c r="F52" i="12"/>
  <c r="J18" i="12"/>
  <c r="N18" i="12" s="1"/>
  <c r="H18" i="12"/>
  <c r="L18" i="12" s="1"/>
  <c r="D33" i="12"/>
  <c r="H47" i="12"/>
  <c r="L47" i="12" s="1"/>
  <c r="D39" i="12"/>
  <c r="D36" i="12"/>
  <c r="H43" i="12"/>
  <c r="L43" i="12" s="1"/>
  <c r="E47" i="12"/>
  <c r="E22" i="12"/>
  <c r="I27" i="12"/>
  <c r="M27" i="12" s="1"/>
  <c r="I44" i="12"/>
  <c r="M44" i="12" s="1"/>
  <c r="E64" i="16" s="1"/>
  <c r="H64" i="16" s="1"/>
  <c r="E25" i="12"/>
  <c r="E36" i="12"/>
  <c r="H93" i="14"/>
  <c r="I93" i="14" s="1"/>
  <c r="H93" i="7"/>
  <c r="H108" i="14"/>
  <c r="I108" i="14" s="1"/>
  <c r="H108" i="7"/>
  <c r="H115" i="7"/>
  <c r="H110" i="7"/>
  <c r="H110" i="14"/>
  <c r="I110" i="14" s="1"/>
  <c r="F47" i="12"/>
  <c r="F34" i="12"/>
  <c r="F39" i="12"/>
  <c r="J49" i="12"/>
  <c r="N49" i="12" s="1"/>
  <c r="J17" i="12"/>
  <c r="H30" i="12"/>
  <c r="D38" i="12"/>
  <c r="D21" i="12"/>
  <c r="H35" i="12"/>
  <c r="L35" i="12" s="1"/>
  <c r="D26" i="12"/>
  <c r="H39" i="12"/>
  <c r="H31" i="12"/>
  <c r="L31" i="12" s="1"/>
  <c r="E35" i="12"/>
  <c r="I24" i="12"/>
  <c r="M24" i="12" s="1"/>
  <c r="I21" i="12"/>
  <c r="M21" i="12" s="1"/>
  <c r="I38" i="12"/>
  <c r="M38" i="12" s="1"/>
  <c r="I47" i="12"/>
  <c r="M47" i="12" s="1"/>
  <c r="E52" i="12"/>
  <c r="H105" i="14"/>
  <c r="I105" i="14" s="1"/>
  <c r="H105" i="7"/>
  <c r="H12" i="7"/>
  <c r="H13" i="14"/>
  <c r="F22" i="12"/>
  <c r="F26" i="12"/>
  <c r="D25" i="12"/>
  <c r="H48" i="12"/>
  <c r="L48" i="12" s="1"/>
  <c r="H29" i="12"/>
  <c r="L29" i="12" s="1"/>
  <c r="D16" i="12"/>
  <c r="E23" i="12"/>
  <c r="E50" i="12"/>
  <c r="E51" i="12"/>
  <c r="I32" i="12"/>
  <c r="E41" i="12"/>
  <c r="E40" i="12"/>
  <c r="H121" i="7"/>
  <c r="H121" i="14"/>
  <c r="I121" i="14" s="1"/>
  <c r="H96" i="7"/>
  <c r="H96" i="14"/>
  <c r="I96" i="14" s="1"/>
  <c r="H114" i="7"/>
  <c r="H100" i="7"/>
  <c r="H100" i="14"/>
  <c r="I100" i="14" s="1"/>
  <c r="J26" i="12"/>
  <c r="N26" i="12" s="1"/>
  <c r="F46" i="12"/>
  <c r="J40" i="12"/>
  <c r="N40" i="12" s="1"/>
  <c r="H23" i="12"/>
  <c r="L23" i="12" s="1"/>
  <c r="F37" i="12"/>
  <c r="F23" i="12"/>
  <c r="F44" i="12"/>
  <c r="J37" i="12"/>
  <c r="N37" i="12" s="1"/>
  <c r="J28" i="12"/>
  <c r="N28" i="12" s="1"/>
  <c r="D49" i="12"/>
  <c r="D46" i="12"/>
  <c r="H36" i="12"/>
  <c r="H42" i="12"/>
  <c r="L42" i="12" s="1"/>
  <c r="D35" i="12"/>
  <c r="D41" i="12"/>
  <c r="I35" i="12"/>
  <c r="M35" i="12" s="1"/>
  <c r="I52" i="12"/>
  <c r="I23" i="12"/>
  <c r="M23" i="12" s="1"/>
  <c r="I48" i="12"/>
  <c r="M48" i="12" s="1"/>
  <c r="I26" i="12"/>
  <c r="M26" i="12" s="1"/>
  <c r="E29" i="12"/>
  <c r="E28" i="12"/>
  <c r="H112" i="7"/>
  <c r="H112" i="14"/>
  <c r="I112" i="14" s="1"/>
  <c r="H42" i="14"/>
  <c r="H41" i="7"/>
  <c r="H99" i="7"/>
  <c r="H99" i="14"/>
  <c r="I99" i="14" s="1"/>
  <c r="H77" i="14"/>
  <c r="I77" i="14" s="1"/>
  <c r="H78" i="7"/>
  <c r="J24" i="12"/>
  <c r="N24" i="12" s="1"/>
  <c r="J35" i="12"/>
  <c r="N35" i="12" s="1"/>
  <c r="F16" i="12"/>
  <c r="J47" i="12"/>
  <c r="N47" i="12" s="1"/>
  <c r="F35" i="12"/>
  <c r="J43" i="12"/>
  <c r="N43" i="12" s="1"/>
  <c r="H16" i="12"/>
  <c r="H19" i="12"/>
  <c r="J29" i="12"/>
  <c r="N29" i="12" s="1"/>
  <c r="J23" i="12"/>
  <c r="N23" i="12" s="1"/>
  <c r="J51" i="12"/>
  <c r="N51" i="12" s="1"/>
  <c r="F45" i="12"/>
  <c r="F32" i="12"/>
  <c r="J31" i="12"/>
  <c r="N31" i="12" s="1"/>
  <c r="F41" i="12"/>
  <c r="H40" i="12"/>
  <c r="L40" i="12" s="1"/>
  <c r="H49" i="12"/>
  <c r="L49" i="12" s="1"/>
  <c r="H24" i="12"/>
  <c r="L24" i="12" s="1"/>
  <c r="D37" i="12"/>
  <c r="D22" i="12"/>
  <c r="D29" i="12"/>
  <c r="E38" i="12"/>
  <c r="I46" i="12"/>
  <c r="M46" i="12" s="1"/>
  <c r="E48" i="12"/>
  <c r="G48" i="12" s="1"/>
  <c r="E44" i="12"/>
  <c r="I20" i="12"/>
  <c r="M20" i="12" s="1"/>
  <c r="O20" i="12" s="1"/>
  <c r="E17" i="12"/>
  <c r="G17" i="12" s="1"/>
  <c r="I51" i="14"/>
  <c r="I50" i="14"/>
  <c r="D15" i="10"/>
  <c r="E116" i="20" l="1"/>
  <c r="E116" i="16"/>
  <c r="D172" i="20"/>
  <c r="D209" i="16"/>
  <c r="E98" i="20"/>
  <c r="E98" i="16"/>
  <c r="O26" i="12"/>
  <c r="E46" i="16"/>
  <c r="H46" i="16" s="1"/>
  <c r="E46" i="20"/>
  <c r="H46" i="20" s="1"/>
  <c r="E118" i="20"/>
  <c r="E118" i="16"/>
  <c r="G30" i="12"/>
  <c r="O51" i="12"/>
  <c r="E71" i="20"/>
  <c r="H71" i="20" s="1"/>
  <c r="E71" i="16"/>
  <c r="H71" i="16" s="1"/>
  <c r="D116" i="20"/>
  <c r="D116" i="16"/>
  <c r="O45" i="12"/>
  <c r="E65" i="16"/>
  <c r="H65" i="16" s="1"/>
  <c r="E65" i="20"/>
  <c r="H65" i="20" s="1"/>
  <c r="E48" i="16"/>
  <c r="H48" i="16" s="1"/>
  <c r="E48" i="20"/>
  <c r="H48" i="20" s="1"/>
  <c r="O28" i="12"/>
  <c r="E54" i="16"/>
  <c r="H54" i="16" s="1"/>
  <c r="O34" i="12"/>
  <c r="E54" i="20"/>
  <c r="H54" i="20" s="1"/>
  <c r="K50" i="12"/>
  <c r="M50" i="12"/>
  <c r="O43" i="12"/>
  <c r="E63" i="20"/>
  <c r="H63" i="20" s="1"/>
  <c r="E63" i="16"/>
  <c r="H63" i="16" s="1"/>
  <c r="E85" i="20"/>
  <c r="E85" i="16"/>
  <c r="D99" i="20"/>
  <c r="D99" i="16"/>
  <c r="O35" i="12"/>
  <c r="E55" i="20"/>
  <c r="H55" i="20" s="1"/>
  <c r="E55" i="16"/>
  <c r="H55" i="16" s="1"/>
  <c r="E119" i="20"/>
  <c r="E119" i="16"/>
  <c r="H120" i="7"/>
  <c r="O50" i="12"/>
  <c r="E70" i="20"/>
  <c r="H70" i="20" s="1"/>
  <c r="E70" i="16"/>
  <c r="H70" i="16" s="1"/>
  <c r="E106" i="20"/>
  <c r="E106" i="16"/>
  <c r="K32" i="12"/>
  <c r="M32" i="12"/>
  <c r="E97" i="20"/>
  <c r="E97" i="16"/>
  <c r="G24" i="12"/>
  <c r="O31" i="12"/>
  <c r="E51" i="20"/>
  <c r="H51" i="20" s="1"/>
  <c r="E51" i="16"/>
  <c r="H51" i="16" s="1"/>
  <c r="K33" i="12"/>
  <c r="L33" i="12"/>
  <c r="K27" i="12"/>
  <c r="L27" i="12"/>
  <c r="K52" i="12"/>
  <c r="M52" i="12"/>
  <c r="E72" i="20" s="1"/>
  <c r="H72" i="20" s="1"/>
  <c r="O47" i="12"/>
  <c r="E67" i="20"/>
  <c r="H67" i="20" s="1"/>
  <c r="E67" i="16"/>
  <c r="H67" i="16" s="1"/>
  <c r="K16" i="12"/>
  <c r="L16" i="12"/>
  <c r="K30" i="12"/>
  <c r="L30" i="12"/>
  <c r="H102" i="7"/>
  <c r="K22" i="12"/>
  <c r="L22" i="12"/>
  <c r="E88" i="20"/>
  <c r="E88" i="16"/>
  <c r="K25" i="12"/>
  <c r="M25" i="12"/>
  <c r="H52" i="14"/>
  <c r="I52" i="14" s="1"/>
  <c r="K37" i="12"/>
  <c r="M37" i="12"/>
  <c r="O44" i="12"/>
  <c r="O23" i="12"/>
  <c r="E43" i="16"/>
  <c r="H43" i="16" s="1"/>
  <c r="E43" i="20"/>
  <c r="H43" i="20" s="1"/>
  <c r="E101" i="20"/>
  <c r="E101" i="16"/>
  <c r="E44" i="20"/>
  <c r="H44" i="20" s="1"/>
  <c r="E44" i="16"/>
  <c r="H44" i="16" s="1"/>
  <c r="O24" i="12"/>
  <c r="E96" i="20"/>
  <c r="E96" i="16"/>
  <c r="K17" i="12"/>
  <c r="N17" i="12"/>
  <c r="O17" i="12" s="1"/>
  <c r="E89" i="20"/>
  <c r="E89" i="16"/>
  <c r="O18" i="12"/>
  <c r="E38" i="20"/>
  <c r="H38" i="20" s="1"/>
  <c r="E38" i="16"/>
  <c r="H38" i="16" s="1"/>
  <c r="H58" i="7"/>
  <c r="O38" i="12"/>
  <c r="E58" i="20"/>
  <c r="H58" i="20" s="1"/>
  <c r="E58" i="16"/>
  <c r="H58" i="16" s="1"/>
  <c r="E111" i="20"/>
  <c r="E111" i="16"/>
  <c r="E117" i="20"/>
  <c r="E117" i="16"/>
  <c r="K34" i="12"/>
  <c r="O42" i="12"/>
  <c r="E62" i="16"/>
  <c r="H62" i="16" s="1"/>
  <c r="E62" i="20"/>
  <c r="H62" i="20" s="1"/>
  <c r="K36" i="12"/>
  <c r="L36" i="12"/>
  <c r="H70" i="14"/>
  <c r="I70" i="14" s="1"/>
  <c r="E110" i="20"/>
  <c r="E110" i="16"/>
  <c r="G42" i="12"/>
  <c r="E40" i="20"/>
  <c r="H40" i="20" s="1"/>
  <c r="E95" i="20"/>
  <c r="E95" i="16"/>
  <c r="K19" i="12"/>
  <c r="L19" i="12"/>
  <c r="K41" i="12"/>
  <c r="L41" i="12"/>
  <c r="E108" i="20"/>
  <c r="E108" i="16"/>
  <c r="O49" i="12"/>
  <c r="E69" i="20"/>
  <c r="H69" i="20" s="1"/>
  <c r="E69" i="16"/>
  <c r="H69" i="16" s="1"/>
  <c r="O29" i="12"/>
  <c r="E49" i="20"/>
  <c r="H49" i="20" s="1"/>
  <c r="E49" i="16"/>
  <c r="H49" i="16" s="1"/>
  <c r="H19" i="7"/>
  <c r="H142" i="7" s="1"/>
  <c r="O21" i="12"/>
  <c r="E41" i="16"/>
  <c r="H41" i="16" s="1"/>
  <c r="E41" i="20"/>
  <c r="H41" i="20" s="1"/>
  <c r="E40" i="16"/>
  <c r="H40" i="16" s="1"/>
  <c r="K39" i="12"/>
  <c r="L39" i="12"/>
  <c r="E104" i="20"/>
  <c r="E104" i="16"/>
  <c r="O40" i="12"/>
  <c r="E60" i="20"/>
  <c r="H60" i="20" s="1"/>
  <c r="E60" i="16"/>
  <c r="H60" i="16" s="1"/>
  <c r="D85" i="20"/>
  <c r="D85" i="16"/>
  <c r="E92" i="20"/>
  <c r="E92" i="16"/>
  <c r="E68" i="20"/>
  <c r="H68" i="20" s="1"/>
  <c r="E68" i="16"/>
  <c r="H68" i="16" s="1"/>
  <c r="O48" i="12"/>
  <c r="E66" i="16"/>
  <c r="H66" i="16" s="1"/>
  <c r="O46" i="12"/>
  <c r="E66" i="20"/>
  <c r="H66" i="20" s="1"/>
  <c r="H76" i="14"/>
  <c r="I76" i="14" s="1"/>
  <c r="H68" i="14"/>
  <c r="I68" i="14" s="1"/>
  <c r="K38" i="12"/>
  <c r="H36" i="7"/>
  <c r="H31" i="7"/>
  <c r="H97" i="14"/>
  <c r="I97" i="14" s="1"/>
  <c r="G43" i="12"/>
  <c r="H32" i="14"/>
  <c r="K32" i="14" s="1"/>
  <c r="K49" i="12"/>
  <c r="H39" i="7"/>
  <c r="K31" i="12"/>
  <c r="K44" i="12"/>
  <c r="H20" i="14"/>
  <c r="H143" i="14" s="1"/>
  <c r="H73" i="14"/>
  <c r="I73" i="14" s="1"/>
  <c r="H80" i="14"/>
  <c r="I80" i="14" s="1"/>
  <c r="K26" i="12"/>
  <c r="H33" i="7"/>
  <c r="K20" i="12"/>
  <c r="H63" i="14"/>
  <c r="I63" i="14" s="1"/>
  <c r="K46" i="12"/>
  <c r="K51" i="12"/>
  <c r="H94" i="14"/>
  <c r="I94" i="14" s="1"/>
  <c r="H94" i="7"/>
  <c r="H106" i="7"/>
  <c r="H106" i="14"/>
  <c r="I106" i="14" s="1"/>
  <c r="H67" i="14"/>
  <c r="I67" i="14" s="1"/>
  <c r="H68" i="7"/>
  <c r="I7" i="14"/>
  <c r="J7" i="14"/>
  <c r="K7" i="14"/>
  <c r="G47" i="12"/>
  <c r="H119" i="14"/>
  <c r="I119" i="14" s="1"/>
  <c r="H119" i="7"/>
  <c r="G20" i="12"/>
  <c r="H9" i="7"/>
  <c r="H132" i="7" s="1"/>
  <c r="H10" i="14"/>
  <c r="H116" i="7"/>
  <c r="H156" i="7" s="1"/>
  <c r="H116" i="14"/>
  <c r="I116" i="14" s="1"/>
  <c r="H95" i="14"/>
  <c r="I95" i="14" s="1"/>
  <c r="H95" i="7"/>
  <c r="H91" i="7"/>
  <c r="H91" i="14"/>
  <c r="J20" i="14"/>
  <c r="H34" i="7"/>
  <c r="H35" i="14"/>
  <c r="G45" i="12"/>
  <c r="H66" i="14"/>
  <c r="I66" i="14" s="1"/>
  <c r="H67" i="7"/>
  <c r="K23" i="12"/>
  <c r="G23" i="12"/>
  <c r="G51" i="12"/>
  <c r="H40" i="7"/>
  <c r="H163" i="7" s="1"/>
  <c r="H41" i="14"/>
  <c r="I14" i="14"/>
  <c r="J14" i="14"/>
  <c r="K14" i="14"/>
  <c r="H154" i="7"/>
  <c r="H72" i="7"/>
  <c r="H71" i="14"/>
  <c r="I71" i="14" s="1"/>
  <c r="G37" i="12"/>
  <c r="H27" i="14"/>
  <c r="H26" i="7"/>
  <c r="J42" i="14"/>
  <c r="I42" i="14"/>
  <c r="K42" i="14"/>
  <c r="G41" i="12"/>
  <c r="H30" i="7"/>
  <c r="H31" i="14"/>
  <c r="H82" i="14"/>
  <c r="I82" i="14" s="1"/>
  <c r="H83" i="7"/>
  <c r="H16" i="14"/>
  <c r="H15" i="7"/>
  <c r="G26" i="12"/>
  <c r="H53" i="14"/>
  <c r="I53" i="14" s="1"/>
  <c r="H54" i="7"/>
  <c r="H103" i="7"/>
  <c r="H143" i="7" s="1"/>
  <c r="H103" i="14"/>
  <c r="H156" i="14"/>
  <c r="J33" i="14"/>
  <c r="I33" i="14"/>
  <c r="K33" i="14"/>
  <c r="G29" i="12"/>
  <c r="H18" i="7"/>
  <c r="H19" i="14"/>
  <c r="H131" i="7"/>
  <c r="H155" i="7"/>
  <c r="H69" i="14"/>
  <c r="I69" i="14" s="1"/>
  <c r="H70" i="7"/>
  <c r="H56" i="14"/>
  <c r="I56" i="14" s="1"/>
  <c r="H57" i="7"/>
  <c r="K35" i="12"/>
  <c r="H107" i="14"/>
  <c r="I107" i="14" s="1"/>
  <c r="H107" i="7"/>
  <c r="H54" i="14"/>
  <c r="I54" i="14" s="1"/>
  <c r="H55" i="7"/>
  <c r="H135" i="7" s="1"/>
  <c r="H11" i="14"/>
  <c r="H10" i="7"/>
  <c r="H133" i="7" s="1"/>
  <c r="G21" i="12"/>
  <c r="K43" i="12"/>
  <c r="J30" i="14"/>
  <c r="I30" i="14"/>
  <c r="K30" i="14"/>
  <c r="H50" i="7"/>
  <c r="H49" i="14"/>
  <c r="I49" i="14" s="1"/>
  <c r="K9" i="14"/>
  <c r="J9" i="14"/>
  <c r="I9" i="14"/>
  <c r="O9" i="14" s="1"/>
  <c r="J17" i="14"/>
  <c r="I17" i="14"/>
  <c r="K17" i="14"/>
  <c r="H160" i="7"/>
  <c r="G44" i="12"/>
  <c r="K24" i="12"/>
  <c r="H81" i="14"/>
  <c r="I81" i="14" s="1"/>
  <c r="H82" i="7"/>
  <c r="G16" i="12"/>
  <c r="H6" i="14"/>
  <c r="H5" i="7"/>
  <c r="H27" i="7"/>
  <c r="H28" i="14"/>
  <c r="G38" i="12"/>
  <c r="G36" i="12"/>
  <c r="H26" i="14"/>
  <c r="H25" i="7"/>
  <c r="H148" i="7" s="1"/>
  <c r="G40" i="12"/>
  <c r="H59" i="7"/>
  <c r="H139" i="7" s="1"/>
  <c r="H58" i="14"/>
  <c r="I58" i="14" s="1"/>
  <c r="H63" i="7"/>
  <c r="H62" i="14"/>
  <c r="I62" i="14" s="1"/>
  <c r="G19" i="12"/>
  <c r="G27" i="12"/>
  <c r="J38" i="14"/>
  <c r="K38" i="14"/>
  <c r="I38" i="14"/>
  <c r="H124" i="7"/>
  <c r="H164" i="7" s="1"/>
  <c r="H124" i="14"/>
  <c r="I124" i="14" s="1"/>
  <c r="H118" i="14"/>
  <c r="I118" i="14" s="1"/>
  <c r="H118" i="7"/>
  <c r="H78" i="14"/>
  <c r="I78" i="14" s="1"/>
  <c r="H79" i="7"/>
  <c r="H49" i="7"/>
  <c r="H129" i="7" s="1"/>
  <c r="H48" i="14"/>
  <c r="I48" i="14" s="1"/>
  <c r="K29" i="12"/>
  <c r="H83" i="14"/>
  <c r="I83" i="14" s="1"/>
  <c r="H84" i="7"/>
  <c r="G39" i="12"/>
  <c r="H29" i="14"/>
  <c r="H28" i="7"/>
  <c r="H66" i="7"/>
  <c r="H146" i="7" s="1"/>
  <c r="H65" i="14"/>
  <c r="I65" i="14" s="1"/>
  <c r="G34" i="12"/>
  <c r="K37" i="14"/>
  <c r="I37" i="14"/>
  <c r="J37" i="14"/>
  <c r="H73" i="7"/>
  <c r="H72" i="14"/>
  <c r="I72" i="14" s="1"/>
  <c r="H12" i="14"/>
  <c r="H11" i="7"/>
  <c r="G22" i="12"/>
  <c r="G35" i="12"/>
  <c r="H24" i="7"/>
  <c r="H147" i="7" s="1"/>
  <c r="H25" i="14"/>
  <c r="H90" i="7"/>
  <c r="H90" i="14"/>
  <c r="I90" i="14" s="1"/>
  <c r="H88" i="7"/>
  <c r="H88" i="14"/>
  <c r="I88" i="14" s="1"/>
  <c r="G49" i="12"/>
  <c r="H39" i="14"/>
  <c r="H38" i="7"/>
  <c r="H161" i="7" s="1"/>
  <c r="H55" i="14"/>
  <c r="I55" i="14" s="1"/>
  <c r="H56" i="7"/>
  <c r="H136" i="7" s="1"/>
  <c r="I22" i="14"/>
  <c r="J22" i="14"/>
  <c r="K22" i="14"/>
  <c r="K8" i="14"/>
  <c r="J8" i="14"/>
  <c r="I8" i="14"/>
  <c r="K34" i="14"/>
  <c r="J34" i="14"/>
  <c r="I34" i="14"/>
  <c r="K40" i="12"/>
  <c r="H60" i="7"/>
  <c r="H59" i="14"/>
  <c r="I59" i="14" s="1"/>
  <c r="K48" i="12"/>
  <c r="K47" i="12"/>
  <c r="H76" i="7"/>
  <c r="H75" i="14"/>
  <c r="I75" i="14" s="1"/>
  <c r="H104" i="7"/>
  <c r="H144" i="7" s="1"/>
  <c r="H104" i="14"/>
  <c r="I104" i="14" s="1"/>
  <c r="H61" i="7"/>
  <c r="H60" i="14"/>
  <c r="I60" i="14" s="1"/>
  <c r="G50" i="12"/>
  <c r="G25" i="12"/>
  <c r="H15" i="14"/>
  <c r="H14" i="7"/>
  <c r="H137" i="7" s="1"/>
  <c r="H23" i="14"/>
  <c r="H22" i="7"/>
  <c r="H145" i="7" s="1"/>
  <c r="G33" i="12"/>
  <c r="G28" i="12"/>
  <c r="H17" i="7"/>
  <c r="H18" i="14"/>
  <c r="G32" i="12"/>
  <c r="I24" i="14"/>
  <c r="J24" i="14"/>
  <c r="K24" i="14"/>
  <c r="O24" i="14" s="1"/>
  <c r="G18" i="12"/>
  <c r="H136" i="14"/>
  <c r="J13" i="14"/>
  <c r="K13" i="14"/>
  <c r="I13" i="14"/>
  <c r="H109" i="14"/>
  <c r="I109" i="14" s="1"/>
  <c r="H109" i="7"/>
  <c r="G52" i="12"/>
  <c r="H152" i="7"/>
  <c r="K42" i="12"/>
  <c r="H113" i="7"/>
  <c r="H113" i="14"/>
  <c r="I113" i="14" s="1"/>
  <c r="H36" i="14"/>
  <c r="H35" i="7"/>
  <c r="G46" i="12"/>
  <c r="H79" i="14"/>
  <c r="I79" i="14" s="1"/>
  <c r="H80" i="7"/>
  <c r="H117" i="14"/>
  <c r="I117" i="14" s="1"/>
  <c r="H117" i="7"/>
  <c r="K40" i="14"/>
  <c r="J40" i="14"/>
  <c r="I40" i="14"/>
  <c r="O40" i="14" s="1"/>
  <c r="H98" i="7"/>
  <c r="H98" i="14"/>
  <c r="I98" i="14" s="1"/>
  <c r="H111" i="7"/>
  <c r="H111" i="14"/>
  <c r="I111" i="14" s="1"/>
  <c r="K18" i="12"/>
  <c r="I21" i="14"/>
  <c r="K21" i="14"/>
  <c r="J21" i="14"/>
  <c r="E15" i="8"/>
  <c r="D3" i="8"/>
  <c r="C11" i="8"/>
  <c r="C10" i="8"/>
  <c r="C9" i="8"/>
  <c r="B11" i="8"/>
  <c r="B10" i="8"/>
  <c r="B9" i="8"/>
  <c r="D88" i="7"/>
  <c r="D87" i="7"/>
  <c r="E8" i="7"/>
  <c r="E7" i="7"/>
  <c r="E6" i="7"/>
  <c r="D48" i="7"/>
  <c r="D47" i="7"/>
  <c r="D4" i="7"/>
  <c r="C8" i="7"/>
  <c r="C7" i="7"/>
  <c r="C6" i="7"/>
  <c r="W27" i="10"/>
  <c r="W26" i="10"/>
  <c r="F209" i="16" l="1"/>
  <c r="H209" i="16"/>
  <c r="E103" i="20"/>
  <c r="E103" i="16"/>
  <c r="D113" i="20"/>
  <c r="D113" i="16"/>
  <c r="O41" i="12"/>
  <c r="E61" i="20"/>
  <c r="H61" i="20" s="1"/>
  <c r="E61" i="16"/>
  <c r="H61" i="16" s="1"/>
  <c r="O32" i="12"/>
  <c r="E52" i="20"/>
  <c r="H52" i="20" s="1"/>
  <c r="E52" i="16"/>
  <c r="H52" i="16" s="1"/>
  <c r="D187" i="20"/>
  <c r="D224" i="16"/>
  <c r="D98" i="20"/>
  <c r="D98" i="16"/>
  <c r="E102" i="20"/>
  <c r="E102" i="16"/>
  <c r="D180" i="20"/>
  <c r="D217" i="16"/>
  <c r="D103" i="20"/>
  <c r="D103" i="16"/>
  <c r="E114" i="20"/>
  <c r="E114" i="16"/>
  <c r="D108" i="20"/>
  <c r="D108" i="16"/>
  <c r="D173" i="20"/>
  <c r="D210" i="16"/>
  <c r="O19" i="12"/>
  <c r="E39" i="20"/>
  <c r="H39" i="20" s="1"/>
  <c r="E39" i="16"/>
  <c r="H39" i="16" s="1"/>
  <c r="E42" i="16"/>
  <c r="H42" i="16" s="1"/>
  <c r="E42" i="20"/>
  <c r="H42" i="20" s="1"/>
  <c r="O22" i="12"/>
  <c r="O27" i="12"/>
  <c r="E47" i="16"/>
  <c r="H47" i="16" s="1"/>
  <c r="E47" i="20"/>
  <c r="H47" i="20" s="1"/>
  <c r="D86" i="20"/>
  <c r="D86" i="16"/>
  <c r="D90" i="20"/>
  <c r="D90" i="16"/>
  <c r="E120" i="20"/>
  <c r="E120" i="16"/>
  <c r="D112" i="20"/>
  <c r="D112" i="16"/>
  <c r="D109" i="20"/>
  <c r="D109" i="16"/>
  <c r="K20" i="14"/>
  <c r="D88" i="20"/>
  <c r="D88" i="16"/>
  <c r="D192" i="20"/>
  <c r="D229" i="16"/>
  <c r="D194" i="20"/>
  <c r="D231" i="16"/>
  <c r="D170" i="20"/>
  <c r="D207" i="16"/>
  <c r="E90" i="20"/>
  <c r="E90" i="16"/>
  <c r="D198" i="20"/>
  <c r="D235" i="16"/>
  <c r="O33" i="12"/>
  <c r="E53" i="16"/>
  <c r="H53" i="16" s="1"/>
  <c r="E53" i="20"/>
  <c r="H53" i="20" s="1"/>
  <c r="D107" i="20"/>
  <c r="D107" i="16"/>
  <c r="D104" i="20"/>
  <c r="D104" i="16"/>
  <c r="I20" i="14"/>
  <c r="E115" i="20"/>
  <c r="E115" i="16"/>
  <c r="H162" i="7"/>
  <c r="D175" i="20"/>
  <c r="D212" i="16"/>
  <c r="O30" i="12"/>
  <c r="E50" i="16"/>
  <c r="H50" i="16" s="1"/>
  <c r="E50" i="20"/>
  <c r="H50" i="20" s="1"/>
  <c r="D178" i="20"/>
  <c r="D215" i="16"/>
  <c r="D93" i="20"/>
  <c r="D93" i="16"/>
  <c r="D106" i="20"/>
  <c r="D106" i="16"/>
  <c r="D89" i="20"/>
  <c r="D89" i="16"/>
  <c r="D115" i="20"/>
  <c r="D115" i="16"/>
  <c r="D200" i="20"/>
  <c r="D237" i="16"/>
  <c r="O39" i="12"/>
  <c r="E59" i="16"/>
  <c r="H59" i="16" s="1"/>
  <c r="E59" i="20"/>
  <c r="H59" i="20" s="1"/>
  <c r="D218" i="16"/>
  <c r="D181" i="20"/>
  <c r="D206" i="16"/>
  <c r="D169" i="20"/>
  <c r="D196" i="20"/>
  <c r="D233" i="16"/>
  <c r="D202" i="20"/>
  <c r="D239" i="16"/>
  <c r="D197" i="20"/>
  <c r="D234" i="16"/>
  <c r="E107" i="20"/>
  <c r="E107" i="16"/>
  <c r="D118" i="20"/>
  <c r="D118" i="16"/>
  <c r="D119" i="20"/>
  <c r="D119" i="16"/>
  <c r="D110" i="20"/>
  <c r="D110" i="16"/>
  <c r="O37" i="12"/>
  <c r="E57" i="20"/>
  <c r="H57" i="20" s="1"/>
  <c r="E57" i="16"/>
  <c r="H57" i="16" s="1"/>
  <c r="E36" i="16"/>
  <c r="H36" i="16" s="1"/>
  <c r="E36" i="20"/>
  <c r="H36" i="20" s="1"/>
  <c r="O16" i="12"/>
  <c r="D195" i="20"/>
  <c r="D232" i="16"/>
  <c r="E109" i="20"/>
  <c r="E109" i="16"/>
  <c r="E100" i="20"/>
  <c r="E100" i="16"/>
  <c r="E84" i="20"/>
  <c r="E84" i="16"/>
  <c r="D95" i="20"/>
  <c r="D95" i="16"/>
  <c r="H140" i="14"/>
  <c r="D94" i="20"/>
  <c r="D94" i="16"/>
  <c r="D91" i="20"/>
  <c r="D91" i="16"/>
  <c r="D111" i="20"/>
  <c r="D111" i="16"/>
  <c r="D183" i="20"/>
  <c r="D220" i="16"/>
  <c r="D114" i="20"/>
  <c r="D114" i="16"/>
  <c r="E94" i="20"/>
  <c r="E94" i="16"/>
  <c r="D87" i="20"/>
  <c r="D87" i="16"/>
  <c r="H141" i="7"/>
  <c r="D105" i="20"/>
  <c r="D105" i="16"/>
  <c r="E93" i="20"/>
  <c r="E93" i="16"/>
  <c r="O52" i="12"/>
  <c r="D201" i="20"/>
  <c r="D238" i="16"/>
  <c r="D92" i="20"/>
  <c r="D92" i="16"/>
  <c r="D100" i="20"/>
  <c r="D100" i="16"/>
  <c r="D120" i="20"/>
  <c r="D120" i="16"/>
  <c r="E113" i="20"/>
  <c r="E113" i="16"/>
  <c r="E105" i="20"/>
  <c r="E105" i="16"/>
  <c r="D96" i="20"/>
  <c r="D96" i="16"/>
  <c r="E86" i="20"/>
  <c r="E86" i="16"/>
  <c r="D97" i="20"/>
  <c r="D97" i="16"/>
  <c r="E91" i="20"/>
  <c r="E91" i="16"/>
  <c r="H130" i="14"/>
  <c r="E72" i="16"/>
  <c r="H72" i="16" s="1"/>
  <c r="D176" i="20"/>
  <c r="D213" i="16"/>
  <c r="O25" i="12"/>
  <c r="E45" i="16"/>
  <c r="H45" i="16" s="1"/>
  <c r="E45" i="20"/>
  <c r="H45" i="20" s="1"/>
  <c r="D102" i="20"/>
  <c r="D102" i="16"/>
  <c r="H137" i="14"/>
  <c r="D117" i="20"/>
  <c r="D117" i="16"/>
  <c r="D101" i="20"/>
  <c r="D101" i="16"/>
  <c r="H160" i="14"/>
  <c r="H159" i="7"/>
  <c r="D84" i="20"/>
  <c r="D84" i="16"/>
  <c r="J32" i="14"/>
  <c r="E112" i="20"/>
  <c r="E112" i="16"/>
  <c r="E56" i="20"/>
  <c r="H56" i="20" s="1"/>
  <c r="O36" i="12"/>
  <c r="E56" i="16"/>
  <c r="H56" i="16" s="1"/>
  <c r="D190" i="20"/>
  <c r="D227" i="16"/>
  <c r="D199" i="20"/>
  <c r="D236" i="16"/>
  <c r="D186" i="20"/>
  <c r="D223" i="16"/>
  <c r="D203" i="20"/>
  <c r="D240" i="16"/>
  <c r="H130" i="7"/>
  <c r="I32" i="14"/>
  <c r="H155" i="14"/>
  <c r="H163" i="14"/>
  <c r="H153" i="14"/>
  <c r="H147" i="14"/>
  <c r="O37" i="14"/>
  <c r="H161" i="14"/>
  <c r="H131" i="14"/>
  <c r="H150" i="7"/>
  <c r="O38" i="14"/>
  <c r="I161" i="14" s="1"/>
  <c r="O30" i="14"/>
  <c r="I153" i="14" s="1"/>
  <c r="H165" i="14"/>
  <c r="H164" i="14"/>
  <c r="K41" i="14"/>
  <c r="J41" i="14"/>
  <c r="I41" i="14"/>
  <c r="H158" i="14"/>
  <c r="I35" i="14"/>
  <c r="K35" i="14"/>
  <c r="J35" i="14"/>
  <c r="H149" i="7"/>
  <c r="H157" i="7"/>
  <c r="H146" i="14"/>
  <c r="I23" i="14"/>
  <c r="J23" i="14"/>
  <c r="K23" i="14"/>
  <c r="H138" i="7"/>
  <c r="H150" i="14"/>
  <c r="I27" i="14"/>
  <c r="J27" i="14"/>
  <c r="K27" i="14"/>
  <c r="H133" i="14"/>
  <c r="J10" i="14"/>
  <c r="K10" i="14"/>
  <c r="I10" i="14"/>
  <c r="H159" i="14"/>
  <c r="I36" i="14"/>
  <c r="K36" i="14"/>
  <c r="J36" i="14"/>
  <c r="H148" i="14"/>
  <c r="K25" i="14"/>
  <c r="I25" i="14"/>
  <c r="J25" i="14"/>
  <c r="O32" i="14"/>
  <c r="I155" i="14" s="1"/>
  <c r="H139" i="14"/>
  <c r="I16" i="14"/>
  <c r="J16" i="14"/>
  <c r="K16" i="14"/>
  <c r="H152" i="14"/>
  <c r="K29" i="14"/>
  <c r="I29" i="14"/>
  <c r="J29" i="14"/>
  <c r="H151" i="14"/>
  <c r="K28" i="14"/>
  <c r="J28" i="14"/>
  <c r="I28" i="14"/>
  <c r="O28" i="14" s="1"/>
  <c r="I151" i="14" s="1"/>
  <c r="O22" i="14"/>
  <c r="I145" i="14" s="1"/>
  <c r="H128" i="7"/>
  <c r="O17" i="14"/>
  <c r="I140" i="14" s="1"/>
  <c r="O20" i="14"/>
  <c r="I143" i="14" s="1"/>
  <c r="O21" i="14"/>
  <c r="H140" i="7"/>
  <c r="O34" i="14"/>
  <c r="I157" i="14" s="1"/>
  <c r="I160" i="14"/>
  <c r="H134" i="14"/>
  <c r="J11" i="14"/>
  <c r="K11" i="14"/>
  <c r="I11" i="14"/>
  <c r="O11" i="14" s="1"/>
  <c r="I134" i="14" s="1"/>
  <c r="H154" i="14"/>
  <c r="I31" i="14"/>
  <c r="J31" i="14"/>
  <c r="K31" i="14"/>
  <c r="H132" i="14"/>
  <c r="I91" i="14"/>
  <c r="H134" i="7"/>
  <c r="I147" i="14"/>
  <c r="O33" i="14"/>
  <c r="I156" i="14" s="1"/>
  <c r="H153" i="7"/>
  <c r="H149" i="14"/>
  <c r="J26" i="14"/>
  <c r="I26" i="14"/>
  <c r="K26" i="14"/>
  <c r="H145" i="14"/>
  <c r="H135" i="14"/>
  <c r="I12" i="14"/>
  <c r="K12" i="14"/>
  <c r="J12" i="14"/>
  <c r="I163" i="14"/>
  <c r="O14" i="14"/>
  <c r="I137" i="14" s="1"/>
  <c r="O7" i="14"/>
  <c r="I130" i="14" s="1"/>
  <c r="H138" i="14"/>
  <c r="K15" i="14"/>
  <c r="J15" i="14"/>
  <c r="I15" i="14"/>
  <c r="H141" i="14"/>
  <c r="J18" i="14"/>
  <c r="K18" i="14"/>
  <c r="I18" i="14"/>
  <c r="H129" i="14"/>
  <c r="H157" i="14"/>
  <c r="H158" i="7"/>
  <c r="O13" i="14"/>
  <c r="I136" i="14" s="1"/>
  <c r="O8" i="14"/>
  <c r="I131" i="14" s="1"/>
  <c r="H162" i="14"/>
  <c r="K39" i="14"/>
  <c r="J39" i="14"/>
  <c r="I39" i="14"/>
  <c r="H151" i="7"/>
  <c r="H142" i="14"/>
  <c r="I19" i="14"/>
  <c r="K19" i="14"/>
  <c r="J19" i="14"/>
  <c r="H144" i="14"/>
  <c r="I103" i="14"/>
  <c r="O42" i="14"/>
  <c r="I165" i="14" s="1"/>
  <c r="I88" i="7"/>
  <c r="I93" i="7"/>
  <c r="I116" i="7"/>
  <c r="I117" i="7"/>
  <c r="I105" i="7"/>
  <c r="I113" i="7"/>
  <c r="I106" i="7"/>
  <c r="I118" i="7"/>
  <c r="I99" i="7"/>
  <c r="I95" i="7"/>
  <c r="I111" i="7"/>
  <c r="I89" i="7"/>
  <c r="I119" i="7"/>
  <c r="I123" i="7"/>
  <c r="I96" i="7"/>
  <c r="I91" i="7"/>
  <c r="I108" i="7"/>
  <c r="I107" i="7"/>
  <c r="I112" i="7"/>
  <c r="I109" i="7"/>
  <c r="I98" i="7"/>
  <c r="I102" i="7"/>
  <c r="I115" i="7"/>
  <c r="I92" i="7"/>
  <c r="I104" i="7"/>
  <c r="I120" i="7"/>
  <c r="I90" i="7"/>
  <c r="I103" i="7"/>
  <c r="I100" i="7"/>
  <c r="I97" i="7"/>
  <c r="I121" i="7"/>
  <c r="I124" i="7"/>
  <c r="I101" i="7"/>
  <c r="I110" i="7"/>
  <c r="I122" i="7"/>
  <c r="I114" i="7"/>
  <c r="I94" i="7"/>
  <c r="I68" i="7"/>
  <c r="J68" i="7" s="1"/>
  <c r="K68" i="7" s="1"/>
  <c r="I69" i="7"/>
  <c r="J69" i="7" s="1"/>
  <c r="K69" i="7" s="1"/>
  <c r="I82" i="7"/>
  <c r="J82" i="7" s="1"/>
  <c r="K82" i="7" s="1"/>
  <c r="I83" i="7"/>
  <c r="J83" i="7" s="1"/>
  <c r="K83" i="7" s="1"/>
  <c r="I60" i="7"/>
  <c r="J60" i="7" s="1"/>
  <c r="K60" i="7" s="1"/>
  <c r="I58" i="7"/>
  <c r="J58" i="7" s="1"/>
  <c r="K58" i="7" s="1"/>
  <c r="I57" i="7"/>
  <c r="J57" i="7" s="1"/>
  <c r="K57" i="7" s="1"/>
  <c r="I80" i="7"/>
  <c r="J80" i="7" s="1"/>
  <c r="K80" i="7" s="1"/>
  <c r="I81" i="7"/>
  <c r="J81" i="7" s="1"/>
  <c r="K81" i="7" s="1"/>
  <c r="I59" i="7"/>
  <c r="J59" i="7" s="1"/>
  <c r="K59" i="7" s="1"/>
  <c r="I84" i="7"/>
  <c r="J84" i="7" s="1"/>
  <c r="K84" i="7" s="1"/>
  <c r="I56" i="7"/>
  <c r="J56" i="7" s="1"/>
  <c r="K56" i="7" s="1"/>
  <c r="I70" i="7"/>
  <c r="J70" i="7" s="1"/>
  <c r="K70" i="7" s="1"/>
  <c r="I72" i="7"/>
  <c r="J72" i="7" s="1"/>
  <c r="K72" i="7" s="1"/>
  <c r="I55" i="7"/>
  <c r="J55" i="7" s="1"/>
  <c r="K55" i="7" s="1"/>
  <c r="I71" i="7"/>
  <c r="J71" i="7" s="1"/>
  <c r="K71" i="7" s="1"/>
  <c r="I61" i="7"/>
  <c r="J61" i="7" s="1"/>
  <c r="K61" i="7" s="1"/>
  <c r="I73" i="7"/>
  <c r="J73" i="7" s="1"/>
  <c r="K73" i="7" s="1"/>
  <c r="I62" i="7"/>
  <c r="J62" i="7" s="1"/>
  <c r="K62" i="7" s="1"/>
  <c r="I64" i="7"/>
  <c r="J64" i="7" s="1"/>
  <c r="K64" i="7" s="1"/>
  <c r="I75" i="7"/>
  <c r="J75" i="7" s="1"/>
  <c r="K75" i="7" s="1"/>
  <c r="I63" i="7"/>
  <c r="J63" i="7" s="1"/>
  <c r="K63" i="7" s="1"/>
  <c r="I79" i="7"/>
  <c r="J79" i="7" s="1"/>
  <c r="K79" i="7" s="1"/>
  <c r="I49" i="7"/>
  <c r="J49" i="7" s="1"/>
  <c r="K49" i="7" s="1"/>
  <c r="I53" i="7"/>
  <c r="J53" i="7" s="1"/>
  <c r="K53" i="7" s="1"/>
  <c r="I65" i="7"/>
  <c r="J65" i="7" s="1"/>
  <c r="K65" i="7" s="1"/>
  <c r="I76" i="7"/>
  <c r="J76" i="7" s="1"/>
  <c r="K76" i="7" s="1"/>
  <c r="I48" i="7"/>
  <c r="J48" i="7" s="1"/>
  <c r="K48" i="7" s="1"/>
  <c r="I66" i="7"/>
  <c r="J66" i="7" s="1"/>
  <c r="K66" i="7" s="1"/>
  <c r="I78" i="7"/>
  <c r="J78" i="7" s="1"/>
  <c r="K78" i="7" s="1"/>
  <c r="I67" i="7"/>
  <c r="J67" i="7" s="1"/>
  <c r="K67" i="7" s="1"/>
  <c r="I74" i="7"/>
  <c r="J74" i="7" s="1"/>
  <c r="K74" i="7" s="1"/>
  <c r="I52" i="7"/>
  <c r="J52" i="7" s="1"/>
  <c r="K52" i="7" s="1"/>
  <c r="I50" i="7"/>
  <c r="J50" i="7" s="1"/>
  <c r="K50" i="7" s="1"/>
  <c r="I51" i="7"/>
  <c r="J51" i="7" s="1"/>
  <c r="K51" i="7" s="1"/>
  <c r="I77" i="7"/>
  <c r="J77" i="7" s="1"/>
  <c r="K77" i="7" s="1"/>
  <c r="I54" i="7"/>
  <c r="J54" i="7" s="1"/>
  <c r="K54" i="7" s="1"/>
  <c r="J21" i="7"/>
  <c r="J9" i="7"/>
  <c r="J11" i="7"/>
  <c r="J10" i="7"/>
  <c r="J24" i="7"/>
  <c r="J7" i="7"/>
  <c r="J28" i="7"/>
  <c r="J26" i="7"/>
  <c r="J20" i="7"/>
  <c r="J25" i="7"/>
  <c r="J12" i="7"/>
  <c r="J6" i="7"/>
  <c r="J39" i="7"/>
  <c r="J34" i="7"/>
  <c r="J27" i="7"/>
  <c r="J31" i="7"/>
  <c r="J19" i="7"/>
  <c r="J40" i="7"/>
  <c r="J13" i="7"/>
  <c r="J36" i="7"/>
  <c r="J16" i="7"/>
  <c r="J38" i="7"/>
  <c r="J37" i="7"/>
  <c r="J41" i="7"/>
  <c r="J23" i="7"/>
  <c r="J29" i="7"/>
  <c r="J14" i="7"/>
  <c r="J33" i="7"/>
  <c r="J17" i="7"/>
  <c r="J30" i="7"/>
  <c r="J35" i="7"/>
  <c r="J18" i="7"/>
  <c r="J22" i="7"/>
  <c r="J15" i="7"/>
  <c r="J32" i="7"/>
  <c r="J8" i="7"/>
  <c r="K35" i="7"/>
  <c r="K41" i="7"/>
  <c r="K13" i="7"/>
  <c r="K24" i="7"/>
  <c r="K31" i="7"/>
  <c r="K39" i="7"/>
  <c r="K22" i="7"/>
  <c r="K37" i="7"/>
  <c r="K27" i="7"/>
  <c r="K32" i="7"/>
  <c r="K23" i="7"/>
  <c r="K26" i="7"/>
  <c r="K34" i="7"/>
  <c r="K15" i="7"/>
  <c r="K30" i="7"/>
  <c r="K18" i="7"/>
  <c r="K11" i="7"/>
  <c r="K16" i="7"/>
  <c r="K33" i="7"/>
  <c r="K36" i="7"/>
  <c r="K12" i="7"/>
  <c r="K28" i="7"/>
  <c r="K29" i="7"/>
  <c r="K10" i="7"/>
  <c r="K40" i="7"/>
  <c r="K19" i="7"/>
  <c r="K7" i="7"/>
  <c r="K17" i="7"/>
  <c r="K25" i="7"/>
  <c r="K20" i="7"/>
  <c r="K9" i="7"/>
  <c r="K21" i="7"/>
  <c r="K38" i="7"/>
  <c r="K14" i="7"/>
  <c r="K8" i="7"/>
  <c r="K6" i="7"/>
  <c r="I10" i="7"/>
  <c r="I23" i="7"/>
  <c r="I11" i="7"/>
  <c r="I13" i="7"/>
  <c r="I25" i="7"/>
  <c r="I29" i="7"/>
  <c r="I14" i="7"/>
  <c r="I18" i="7"/>
  <c r="I6" i="7"/>
  <c r="I39" i="7"/>
  <c r="I20" i="7"/>
  <c r="I9" i="7"/>
  <c r="I28" i="7"/>
  <c r="I8" i="7"/>
  <c r="I7" i="7"/>
  <c r="I40" i="7"/>
  <c r="I35" i="7"/>
  <c r="I16" i="7"/>
  <c r="I37" i="7"/>
  <c r="I17" i="7"/>
  <c r="I21" i="7"/>
  <c r="I24" i="7"/>
  <c r="I22" i="7"/>
  <c r="I30" i="7"/>
  <c r="I34" i="7"/>
  <c r="I36" i="7"/>
  <c r="I27" i="7"/>
  <c r="I15" i="7"/>
  <c r="I32" i="7"/>
  <c r="I31" i="7"/>
  <c r="I33" i="7"/>
  <c r="I12" i="7"/>
  <c r="I38" i="7"/>
  <c r="I41" i="7"/>
  <c r="I26" i="7"/>
  <c r="I19" i="7"/>
  <c r="R27" i="10"/>
  <c r="Q27" i="10"/>
  <c r="U27" i="10" s="1"/>
  <c r="P27" i="10"/>
  <c r="T27" i="10" s="1"/>
  <c r="P26" i="10"/>
  <c r="Q26" i="10"/>
  <c r="U26" i="10" s="1"/>
  <c r="R26" i="10"/>
  <c r="F235" i="16" l="1"/>
  <c r="H235" i="16"/>
  <c r="F206" i="16"/>
  <c r="H206" i="16"/>
  <c r="F232" i="16"/>
  <c r="H232" i="16"/>
  <c r="F218" i="16"/>
  <c r="H218" i="16"/>
  <c r="F207" i="16"/>
  <c r="H207" i="16"/>
  <c r="F217" i="16"/>
  <c r="H217" i="16"/>
  <c r="F240" i="16"/>
  <c r="H240" i="16"/>
  <c r="F215" i="16"/>
  <c r="H215" i="16"/>
  <c r="F231" i="16"/>
  <c r="H231" i="16"/>
  <c r="F223" i="16"/>
  <c r="H223" i="16"/>
  <c r="F234" i="16"/>
  <c r="H234" i="16"/>
  <c r="F238" i="16"/>
  <c r="H238" i="16"/>
  <c r="F237" i="16"/>
  <c r="H237" i="16"/>
  <c r="F229" i="16"/>
  <c r="H229" i="16"/>
  <c r="F210" i="16"/>
  <c r="H210" i="16"/>
  <c r="F236" i="16"/>
  <c r="H236" i="16"/>
  <c r="F213" i="16"/>
  <c r="H213" i="16"/>
  <c r="F239" i="16"/>
  <c r="H239" i="16"/>
  <c r="F220" i="16"/>
  <c r="H220" i="16"/>
  <c r="F224" i="16"/>
  <c r="H224" i="16"/>
  <c r="F227" i="16"/>
  <c r="H227" i="16"/>
  <c r="F233" i="16"/>
  <c r="H233" i="16"/>
  <c r="F212" i="16"/>
  <c r="H212" i="16"/>
  <c r="H119" i="20"/>
  <c r="I119" i="20" s="1"/>
  <c r="H92" i="20"/>
  <c r="I92" i="20" s="1"/>
  <c r="F114" i="20"/>
  <c r="F114" i="16"/>
  <c r="J118" i="7"/>
  <c r="K118" i="7" s="1"/>
  <c r="O19" i="14"/>
  <c r="I142" i="14" s="1"/>
  <c r="D179" i="20"/>
  <c r="D216" i="16"/>
  <c r="F93" i="20"/>
  <c r="J97" i="7"/>
  <c r="K97" i="7" s="1"/>
  <c r="F93" i="16"/>
  <c r="F103" i="20"/>
  <c r="H103" i="20" s="1"/>
  <c r="I103" i="20" s="1"/>
  <c r="J107" i="7"/>
  <c r="K107" i="7" s="1"/>
  <c r="F103" i="16"/>
  <c r="F109" i="20"/>
  <c r="H109" i="20" s="1"/>
  <c r="I109" i="20" s="1"/>
  <c r="J113" i="7"/>
  <c r="K113" i="7" s="1"/>
  <c r="F109" i="16"/>
  <c r="D177" i="20"/>
  <c r="D214" i="16"/>
  <c r="D174" i="20"/>
  <c r="D211" i="16"/>
  <c r="F105" i="20"/>
  <c r="H105" i="20" s="1"/>
  <c r="I105" i="20" s="1"/>
  <c r="J109" i="7"/>
  <c r="K109" i="7" s="1"/>
  <c r="F105" i="16"/>
  <c r="F117" i="20"/>
  <c r="J121" i="7"/>
  <c r="K121" i="7" s="1"/>
  <c r="F117" i="16"/>
  <c r="F96" i="20"/>
  <c r="F96" i="16"/>
  <c r="J100" i="7"/>
  <c r="K100" i="7" s="1"/>
  <c r="F104" i="20"/>
  <c r="H104" i="20" s="1"/>
  <c r="I104" i="20" s="1"/>
  <c r="J108" i="7"/>
  <c r="K108" i="7" s="1"/>
  <c r="F104" i="16"/>
  <c r="F101" i="20"/>
  <c r="F101" i="16"/>
  <c r="J105" i="7"/>
  <c r="K105" i="7" s="1"/>
  <c r="D184" i="20"/>
  <c r="D221" i="16"/>
  <c r="F99" i="20"/>
  <c r="J103" i="7"/>
  <c r="K103" i="7" s="1"/>
  <c r="F99" i="16"/>
  <c r="F87" i="20"/>
  <c r="J91" i="7"/>
  <c r="K91" i="7" s="1"/>
  <c r="F87" i="16"/>
  <c r="F113" i="20"/>
  <c r="H113" i="20" s="1"/>
  <c r="I113" i="20" s="1"/>
  <c r="F113" i="16"/>
  <c r="J117" i="7"/>
  <c r="K117" i="7" s="1"/>
  <c r="D168" i="20"/>
  <c r="D205" i="16"/>
  <c r="F108" i="20"/>
  <c r="H108" i="20" s="1"/>
  <c r="I108" i="20" s="1"/>
  <c r="F108" i="16"/>
  <c r="J112" i="7"/>
  <c r="K112" i="7" s="1"/>
  <c r="F86" i="20"/>
  <c r="H86" i="20" s="1"/>
  <c r="I86" i="20" s="1"/>
  <c r="J90" i="7"/>
  <c r="K90" i="7" s="1"/>
  <c r="F86" i="16"/>
  <c r="F92" i="20"/>
  <c r="J96" i="7"/>
  <c r="K96" i="7" s="1"/>
  <c r="F92" i="16"/>
  <c r="F112" i="20"/>
  <c r="F112" i="16"/>
  <c r="J116" i="7"/>
  <c r="K116" i="7" s="1"/>
  <c r="D204" i="20"/>
  <c r="D241" i="16"/>
  <c r="F119" i="20"/>
  <c r="F119" i="16"/>
  <c r="J123" i="7"/>
  <c r="K123" i="7" s="1"/>
  <c r="D191" i="20"/>
  <c r="D228" i="16"/>
  <c r="D230" i="16"/>
  <c r="D193" i="20"/>
  <c r="F102" i="20"/>
  <c r="H102" i="20" s="1"/>
  <c r="I102" i="20" s="1"/>
  <c r="F102" i="16"/>
  <c r="J106" i="7"/>
  <c r="K106" i="7" s="1"/>
  <c r="F116" i="20"/>
  <c r="J120" i="7"/>
  <c r="K120" i="7" s="1"/>
  <c r="F116" i="16"/>
  <c r="F90" i="20"/>
  <c r="H90" i="20" s="1"/>
  <c r="I90" i="20" s="1"/>
  <c r="F90" i="16"/>
  <c r="J94" i="7"/>
  <c r="K94" i="7" s="1"/>
  <c r="F100" i="20"/>
  <c r="H100" i="20" s="1"/>
  <c r="I100" i="20" s="1"/>
  <c r="F100" i="16"/>
  <c r="J104" i="7"/>
  <c r="K104" i="7" s="1"/>
  <c r="F115" i="20"/>
  <c r="H115" i="20" s="1"/>
  <c r="I115" i="20" s="1"/>
  <c r="J119" i="7"/>
  <c r="K119" i="7" s="1"/>
  <c r="F115" i="16"/>
  <c r="F84" i="20"/>
  <c r="H84" i="20" s="1"/>
  <c r="I84" i="20" s="1"/>
  <c r="F84" i="16"/>
  <c r="J88" i="7"/>
  <c r="K88" i="7" s="1"/>
  <c r="D188" i="20"/>
  <c r="D225" i="16"/>
  <c r="D171" i="20"/>
  <c r="D208" i="16"/>
  <c r="F120" i="20"/>
  <c r="F120" i="16"/>
  <c r="J124" i="7"/>
  <c r="K124" i="7" s="1"/>
  <c r="F110" i="20"/>
  <c r="J114" i="7"/>
  <c r="K114" i="7" s="1"/>
  <c r="F110" i="16"/>
  <c r="F88" i="20"/>
  <c r="H88" i="20" s="1"/>
  <c r="I88" i="20" s="1"/>
  <c r="F88" i="16"/>
  <c r="J92" i="7"/>
  <c r="K92" i="7" s="1"/>
  <c r="F85" i="20"/>
  <c r="J89" i="7"/>
  <c r="K89" i="7" s="1"/>
  <c r="F85" i="16"/>
  <c r="F118" i="20"/>
  <c r="F118" i="16"/>
  <c r="J122" i="7"/>
  <c r="K122" i="7" s="1"/>
  <c r="F111" i="20"/>
  <c r="H111" i="20" s="1"/>
  <c r="I111" i="20" s="1"/>
  <c r="J115" i="7"/>
  <c r="K115" i="7" s="1"/>
  <c r="F111" i="16"/>
  <c r="F107" i="20"/>
  <c r="H107" i="20" s="1"/>
  <c r="I107" i="20" s="1"/>
  <c r="F107" i="16"/>
  <c r="J111" i="7"/>
  <c r="K111" i="7" s="1"/>
  <c r="I144" i="14"/>
  <c r="E99" i="20"/>
  <c r="H99" i="20" s="1"/>
  <c r="I99" i="20" s="1"/>
  <c r="E99" i="16"/>
  <c r="D189" i="20"/>
  <c r="D226" i="16"/>
  <c r="D182" i="20"/>
  <c r="D219" i="16"/>
  <c r="F89" i="20"/>
  <c r="F89" i="16"/>
  <c r="J93" i="7"/>
  <c r="K93" i="7" s="1"/>
  <c r="F106" i="20"/>
  <c r="F106" i="16"/>
  <c r="J110" i="7"/>
  <c r="K110" i="7" s="1"/>
  <c r="F98" i="20"/>
  <c r="H98" i="20" s="1"/>
  <c r="I98" i="20" s="1"/>
  <c r="J102" i="7"/>
  <c r="K102" i="7" s="1"/>
  <c r="F98" i="16"/>
  <c r="F91" i="20"/>
  <c r="J95" i="7"/>
  <c r="K95" i="7" s="1"/>
  <c r="F91" i="16"/>
  <c r="D185" i="20"/>
  <c r="D222" i="16"/>
  <c r="I132" i="14"/>
  <c r="E87" i="20"/>
  <c r="H87" i="20" s="1"/>
  <c r="I87" i="20" s="1"/>
  <c r="E87" i="16"/>
  <c r="F97" i="20"/>
  <c r="H97" i="20" s="1"/>
  <c r="I97" i="20" s="1"/>
  <c r="J101" i="7"/>
  <c r="K101" i="7" s="1"/>
  <c r="F97" i="16"/>
  <c r="F94" i="20"/>
  <c r="H94" i="20" s="1"/>
  <c r="I94" i="20" s="1"/>
  <c r="F94" i="16"/>
  <c r="J98" i="7"/>
  <c r="K98" i="7" s="1"/>
  <c r="F95" i="20"/>
  <c r="H95" i="20" s="1"/>
  <c r="I95" i="20" s="1"/>
  <c r="F95" i="16"/>
  <c r="J99" i="7"/>
  <c r="K99" i="7" s="1"/>
  <c r="O39" i="14"/>
  <c r="I162" i="14" s="1"/>
  <c r="O25" i="14"/>
  <c r="I148" i="14" s="1"/>
  <c r="O29" i="14"/>
  <c r="I152" i="14" s="1"/>
  <c r="O26" i="14"/>
  <c r="I149" i="14" s="1"/>
  <c r="O31" i="14"/>
  <c r="I154" i="14" s="1"/>
  <c r="O27" i="14"/>
  <c r="I150" i="14" s="1"/>
  <c r="O35" i="14"/>
  <c r="I158" i="14" s="1"/>
  <c r="O36" i="14"/>
  <c r="I159" i="14" s="1"/>
  <c r="O18" i="14"/>
  <c r="I141" i="14" s="1"/>
  <c r="O16" i="14"/>
  <c r="I139" i="14" s="1"/>
  <c r="O41" i="14"/>
  <c r="I164" i="14" s="1"/>
  <c r="O12" i="14"/>
  <c r="I135" i="14" s="1"/>
  <c r="O23" i="14"/>
  <c r="I146" i="14" s="1"/>
  <c r="O15" i="14"/>
  <c r="I138" i="14" s="1"/>
  <c r="O10" i="14"/>
  <c r="I133" i="14" s="1"/>
  <c r="V27" i="10"/>
  <c r="V26" i="10"/>
  <c r="T26" i="10"/>
  <c r="E11" i="8"/>
  <c r="E10" i="8"/>
  <c r="L113" i="20" l="1"/>
  <c r="L103" i="20"/>
  <c r="L98" i="20"/>
  <c r="L102" i="20"/>
  <c r="L87" i="20"/>
  <c r="L105" i="20"/>
  <c r="L92" i="20"/>
  <c r="L90" i="20"/>
  <c r="F219" i="16"/>
  <c r="H219" i="16"/>
  <c r="F211" i="16"/>
  <c r="H211" i="16"/>
  <c r="F226" i="16"/>
  <c r="H226" i="16"/>
  <c r="F208" i="16"/>
  <c r="H208" i="16"/>
  <c r="F230" i="16"/>
  <c r="H230" i="16"/>
  <c r="F214" i="16"/>
  <c r="H214" i="16"/>
  <c r="F241" i="16"/>
  <c r="H241" i="16"/>
  <c r="F216" i="16"/>
  <c r="H216" i="16"/>
  <c r="F222" i="16"/>
  <c r="H222" i="16"/>
  <c r="F205" i="16"/>
  <c r="H205" i="16"/>
  <c r="F221" i="16"/>
  <c r="H221" i="16"/>
  <c r="F225" i="16"/>
  <c r="H225" i="16"/>
  <c r="F228" i="16"/>
  <c r="H228" i="16"/>
  <c r="H114" i="20"/>
  <c r="I114" i="20" s="1"/>
  <c r="H93" i="20"/>
  <c r="I93" i="20" s="1"/>
  <c r="H85" i="20"/>
  <c r="I85" i="20" s="1"/>
  <c r="J105" i="20"/>
  <c r="K105" i="20" s="1"/>
  <c r="J108" i="20"/>
  <c r="K108" i="20" s="1"/>
  <c r="L108" i="20" s="1"/>
  <c r="J109" i="20"/>
  <c r="K109" i="20" s="1"/>
  <c r="L109" i="20" s="1"/>
  <c r="J97" i="20"/>
  <c r="K97" i="20" s="1"/>
  <c r="L97" i="20" s="1"/>
  <c r="J102" i="20"/>
  <c r="K102" i="20" s="1"/>
  <c r="H110" i="20"/>
  <c r="I110" i="20" s="1"/>
  <c r="J87" i="20"/>
  <c r="K87" i="20" s="1"/>
  <c r="J100" i="20"/>
  <c r="K100" i="20" s="1"/>
  <c r="L100" i="20" s="1"/>
  <c r="J88" i="20"/>
  <c r="K88" i="20" s="1"/>
  <c r="L88" i="20" s="1"/>
  <c r="J92" i="20"/>
  <c r="K92" i="20" s="1"/>
  <c r="H106" i="20"/>
  <c r="I106" i="20" s="1"/>
  <c r="H112" i="20"/>
  <c r="I112" i="20" s="1"/>
  <c r="J86" i="20"/>
  <c r="K86" i="20" s="1"/>
  <c r="L86" i="20" s="1"/>
  <c r="J115" i="20"/>
  <c r="K115" i="20" s="1"/>
  <c r="L115" i="20" s="1"/>
  <c r="H101" i="20"/>
  <c r="I101" i="20" s="1"/>
  <c r="J89" i="20"/>
  <c r="K89" i="20" s="1"/>
  <c r="J107" i="20"/>
  <c r="K107" i="20" s="1"/>
  <c r="L107" i="20" s="1"/>
  <c r="J98" i="20"/>
  <c r="K98" i="20" s="1"/>
  <c r="H118" i="20"/>
  <c r="I118" i="20" s="1"/>
  <c r="J104" i="20"/>
  <c r="K104" i="20" s="1"/>
  <c r="L104" i="20" s="1"/>
  <c r="J95" i="20"/>
  <c r="K95" i="20" s="1"/>
  <c r="L95" i="20" s="1"/>
  <c r="J90" i="20"/>
  <c r="K90" i="20" s="1"/>
  <c r="J94" i="20"/>
  <c r="K94" i="20" s="1"/>
  <c r="L94" i="20" s="1"/>
  <c r="J111" i="20"/>
  <c r="K111" i="20" s="1"/>
  <c r="L111" i="20" s="1"/>
  <c r="H96" i="20"/>
  <c r="I96" i="20" s="1"/>
  <c r="H120" i="20"/>
  <c r="I120" i="20" s="1"/>
  <c r="J84" i="20"/>
  <c r="K84" i="20" s="1"/>
  <c r="L84" i="20" s="1"/>
  <c r="H116" i="20"/>
  <c r="I116" i="20" s="1"/>
  <c r="J119" i="20"/>
  <c r="K119" i="20" s="1"/>
  <c r="L119" i="20" s="1"/>
  <c r="J113" i="20"/>
  <c r="K113" i="20" s="1"/>
  <c r="J103" i="20"/>
  <c r="K103" i="20" s="1"/>
  <c r="H91" i="20"/>
  <c r="I91" i="20" s="1"/>
  <c r="H89" i="20"/>
  <c r="I89" i="20" s="1"/>
  <c r="H117" i="20"/>
  <c r="I117" i="20" s="1"/>
  <c r="J99" i="16"/>
  <c r="K99" i="16" s="1"/>
  <c r="J99" i="20"/>
  <c r="K99" i="20" s="1"/>
  <c r="L99" i="20" s="1"/>
  <c r="J104" i="16"/>
  <c r="K104" i="16" s="1"/>
  <c r="J109" i="16"/>
  <c r="K109" i="16" s="1"/>
  <c r="J115" i="16"/>
  <c r="K115" i="16" s="1"/>
  <c r="J102" i="16"/>
  <c r="K102" i="16" s="1"/>
  <c r="J84" i="16"/>
  <c r="K84" i="16" s="1"/>
  <c r="J97" i="16"/>
  <c r="K97" i="16" s="1"/>
  <c r="J88" i="16"/>
  <c r="K88" i="16" s="1"/>
  <c r="J107" i="16"/>
  <c r="K107" i="16" s="1"/>
  <c r="J108" i="16"/>
  <c r="K108" i="16" s="1"/>
  <c r="J86" i="16"/>
  <c r="K86" i="16" s="1"/>
  <c r="J110" i="16"/>
  <c r="K110" i="16" s="1"/>
  <c r="J120" i="16"/>
  <c r="K120" i="16" s="1"/>
  <c r="J106" i="16"/>
  <c r="K106" i="16" s="1"/>
  <c r="J111" i="16"/>
  <c r="K111" i="16" s="1"/>
  <c r="J89" i="16"/>
  <c r="K89" i="16" s="1"/>
  <c r="J93" i="16"/>
  <c r="K93" i="16" s="1"/>
  <c r="L93" i="16" s="1"/>
  <c r="J95" i="16"/>
  <c r="K95" i="16" s="1"/>
  <c r="J94" i="16"/>
  <c r="K94" i="16" s="1"/>
  <c r="J91" i="16"/>
  <c r="K91" i="16" s="1"/>
  <c r="J118" i="16"/>
  <c r="K118" i="16" s="1"/>
  <c r="L118" i="16"/>
  <c r="J112" i="16"/>
  <c r="K112" i="16" s="1"/>
  <c r="J92" i="16"/>
  <c r="K92" i="16" s="1"/>
  <c r="J116" i="16"/>
  <c r="K116" i="16" s="1"/>
  <c r="J103" i="16"/>
  <c r="K103" i="16" s="1"/>
  <c r="J96" i="16"/>
  <c r="K96" i="16" s="1"/>
  <c r="J119" i="16"/>
  <c r="K119" i="16" s="1"/>
  <c r="J98" i="16"/>
  <c r="K98" i="16" s="1"/>
  <c r="J114" i="16"/>
  <c r="K114" i="16" s="1"/>
  <c r="J100" i="16"/>
  <c r="K100" i="16" s="1"/>
  <c r="J113" i="16"/>
  <c r="K113" i="16" s="1"/>
  <c r="J105" i="16"/>
  <c r="K105" i="16" s="1"/>
  <c r="J90" i="16"/>
  <c r="K90" i="16" s="1"/>
  <c r="J117" i="16"/>
  <c r="K117" i="16" s="1"/>
  <c r="J87" i="16"/>
  <c r="K87" i="16" s="1"/>
  <c r="D71" i="20"/>
  <c r="G71" i="20" s="1"/>
  <c r="D69" i="20"/>
  <c r="G69" i="20" s="1"/>
  <c r="D72" i="20"/>
  <c r="G72" i="20" s="1"/>
  <c r="D58" i="20"/>
  <c r="G58" i="20" s="1"/>
  <c r="D46" i="20"/>
  <c r="G46" i="20" s="1"/>
  <c r="D61" i="16"/>
  <c r="D49" i="16"/>
  <c r="D37" i="16"/>
  <c r="D63" i="20"/>
  <c r="G63" i="20" s="1"/>
  <c r="D51" i="20"/>
  <c r="G51" i="20" s="1"/>
  <c r="D39" i="20"/>
  <c r="G39" i="20" s="1"/>
  <c r="D72" i="16"/>
  <c r="D60" i="16"/>
  <c r="D48" i="16"/>
  <c r="D36" i="16"/>
  <c r="D68" i="20"/>
  <c r="G68" i="20" s="1"/>
  <c r="D56" i="20"/>
  <c r="G56" i="20" s="1"/>
  <c r="D44" i="20"/>
  <c r="G44" i="20" s="1"/>
  <c r="D49" i="20"/>
  <c r="G49" i="20" s="1"/>
  <c r="D40" i="20"/>
  <c r="G40" i="20" s="1"/>
  <c r="D69" i="16"/>
  <c r="D55" i="16"/>
  <c r="D41" i="16"/>
  <c r="D39" i="16"/>
  <c r="D38" i="16"/>
  <c r="D42" i="20"/>
  <c r="G42" i="20" s="1"/>
  <c r="D68" i="16"/>
  <c r="D54" i="16"/>
  <c r="D40" i="16"/>
  <c r="D67" i="16"/>
  <c r="D66" i="16"/>
  <c r="D65" i="16"/>
  <c r="D70" i="20"/>
  <c r="G70" i="20" s="1"/>
  <c r="D65" i="20"/>
  <c r="G65" i="20" s="1"/>
  <c r="D53" i="16"/>
  <c r="D37" i="20"/>
  <c r="G37" i="20" s="1"/>
  <c r="D67" i="20"/>
  <c r="G67" i="20" s="1"/>
  <c r="D52" i="16"/>
  <c r="D60" i="20"/>
  <c r="G60" i="20" s="1"/>
  <c r="D51" i="16"/>
  <c r="D62" i="20"/>
  <c r="G62" i="20" s="1"/>
  <c r="D53" i="20"/>
  <c r="G53" i="20" s="1"/>
  <c r="D64" i="16"/>
  <c r="D50" i="16"/>
  <c r="D64" i="20"/>
  <c r="G64" i="20" s="1"/>
  <c r="D55" i="20"/>
  <c r="G55" i="20" s="1"/>
  <c r="D63" i="16"/>
  <c r="D47" i="16"/>
  <c r="D42" i="16"/>
  <c r="D52" i="20"/>
  <c r="G52" i="20" s="1"/>
  <c r="D41" i="20"/>
  <c r="G41" i="20" s="1"/>
  <c r="D62" i="16"/>
  <c r="D66" i="20"/>
  <c r="G66" i="20" s="1"/>
  <c r="D38" i="20"/>
  <c r="G38" i="20" s="1"/>
  <c r="D71" i="16"/>
  <c r="D70" i="16"/>
  <c r="D57" i="20"/>
  <c r="G57" i="20" s="1"/>
  <c r="D47" i="20"/>
  <c r="G47" i="20" s="1"/>
  <c r="D36" i="20"/>
  <c r="G36" i="20" s="1"/>
  <c r="D58" i="16"/>
  <c r="D57" i="16"/>
  <c r="D61" i="20"/>
  <c r="G61" i="20" s="1"/>
  <c r="D45" i="20"/>
  <c r="G45" i="20" s="1"/>
  <c r="D48" i="20"/>
  <c r="G48" i="20" s="1"/>
  <c r="D59" i="16"/>
  <c r="D50" i="20"/>
  <c r="G50" i="20" s="1"/>
  <c r="D45" i="16"/>
  <c r="D44" i="16"/>
  <c r="D43" i="20"/>
  <c r="G43" i="20" s="1"/>
  <c r="D56" i="16"/>
  <c r="D46" i="16"/>
  <c r="D54" i="20"/>
  <c r="G54" i="20" s="1"/>
  <c r="D43" i="16"/>
  <c r="D59" i="20"/>
  <c r="G59" i="20" s="1"/>
  <c r="J85" i="16"/>
  <c r="K85" i="16" s="1"/>
  <c r="J101" i="16"/>
  <c r="K101" i="16" s="1"/>
  <c r="E9" i="8"/>
  <c r="D7" i="7"/>
  <c r="D8" i="7"/>
  <c r="D6" i="7"/>
  <c r="L106" i="20" l="1"/>
  <c r="J96" i="20"/>
  <c r="K96" i="20" s="1"/>
  <c r="L96" i="20" s="1"/>
  <c r="J117" i="20"/>
  <c r="K117" i="20" s="1"/>
  <c r="L117" i="20" s="1"/>
  <c r="J112" i="20"/>
  <c r="K112" i="20" s="1"/>
  <c r="L112" i="20" s="1"/>
  <c r="L85" i="20"/>
  <c r="L101" i="20"/>
  <c r="L89" i="20"/>
  <c r="L91" i="20"/>
  <c r="L106" i="16"/>
  <c r="L88" i="16"/>
  <c r="L112" i="16"/>
  <c r="L108" i="16"/>
  <c r="L105" i="16"/>
  <c r="J116" i="20"/>
  <c r="K116" i="20" s="1"/>
  <c r="L116" i="20" s="1"/>
  <c r="J120" i="20"/>
  <c r="K120" i="20" s="1"/>
  <c r="L120" i="20" s="1"/>
  <c r="J85" i="20"/>
  <c r="K85" i="20" s="1"/>
  <c r="J106" i="20"/>
  <c r="K106" i="20" s="1"/>
  <c r="J118" i="20"/>
  <c r="K118" i="20" s="1"/>
  <c r="L118" i="20" s="1"/>
  <c r="J101" i="20"/>
  <c r="K101" i="20" s="1"/>
  <c r="J114" i="20"/>
  <c r="K114" i="20" s="1"/>
  <c r="L114" i="20" s="1"/>
  <c r="J91" i="20"/>
  <c r="K91" i="20" s="1"/>
  <c r="J110" i="20"/>
  <c r="K110" i="20" s="1"/>
  <c r="L110" i="20" s="1"/>
  <c r="J93" i="20"/>
  <c r="K93" i="20" s="1"/>
  <c r="L93" i="20" s="1"/>
  <c r="L99" i="16"/>
  <c r="L114" i="16"/>
  <c r="L113" i="16"/>
  <c r="L116" i="16"/>
  <c r="L103" i="16"/>
  <c r="L92" i="16"/>
  <c r="L85" i="16"/>
  <c r="L100" i="16"/>
  <c r="L91" i="16"/>
  <c r="L84" i="16"/>
  <c r="L110" i="16"/>
  <c r="L102" i="16"/>
  <c r="L109" i="16"/>
  <c r="L90" i="16"/>
  <c r="L98" i="16"/>
  <c r="L89" i="16"/>
  <c r="L107" i="16"/>
  <c r="L104" i="16"/>
  <c r="L96" i="16"/>
  <c r="L94" i="16"/>
  <c r="L111" i="16"/>
  <c r="L86" i="16"/>
  <c r="L101" i="16"/>
  <c r="L87" i="16"/>
  <c r="L119" i="16"/>
  <c r="L95" i="16"/>
  <c r="L115" i="16"/>
  <c r="L117" i="16"/>
  <c r="L120" i="16"/>
  <c r="L97" i="16"/>
  <c r="P6" i="7"/>
  <c r="T6" i="7" s="1"/>
  <c r="P18" i="7"/>
  <c r="T18" i="7" s="1"/>
  <c r="P14" i="7"/>
  <c r="T14" i="7" s="1"/>
  <c r="P36" i="7"/>
  <c r="T36" i="7" s="1"/>
  <c r="P17" i="7"/>
  <c r="T17" i="7" s="1"/>
  <c r="P38" i="7"/>
  <c r="T38" i="7" s="1"/>
  <c r="P34" i="7"/>
  <c r="T34" i="7" s="1"/>
  <c r="P10" i="7"/>
  <c r="T10" i="7" s="1"/>
  <c r="P29" i="7"/>
  <c r="T29" i="7" s="1"/>
  <c r="P40" i="7"/>
  <c r="T40" i="7" s="1"/>
  <c r="P12" i="7"/>
  <c r="T12" i="7" s="1"/>
  <c r="P41" i="7"/>
  <c r="T41" i="7" s="1"/>
  <c r="P13" i="7"/>
  <c r="T13" i="7" s="1"/>
  <c r="P15" i="7"/>
  <c r="T15" i="7" s="1"/>
  <c r="P30" i="7"/>
  <c r="T30" i="7" s="1"/>
  <c r="P23" i="7"/>
  <c r="T23" i="7" s="1"/>
  <c r="P20" i="7"/>
  <c r="T20" i="7" s="1"/>
  <c r="P37" i="7"/>
  <c r="T37" i="7" s="1"/>
  <c r="P33" i="7"/>
  <c r="T33" i="7" s="1"/>
  <c r="P7" i="7"/>
  <c r="T7" i="7" s="1"/>
  <c r="P39" i="7"/>
  <c r="T39" i="7" s="1"/>
  <c r="P31" i="7"/>
  <c r="T31" i="7" s="1"/>
  <c r="P32" i="7"/>
  <c r="T32" i="7" s="1"/>
  <c r="P25" i="7"/>
  <c r="T25" i="7" s="1"/>
  <c r="P21" i="7"/>
  <c r="T21" i="7" s="1"/>
  <c r="P16" i="7"/>
  <c r="T16" i="7" s="1"/>
  <c r="P22" i="7"/>
  <c r="T22" i="7" s="1"/>
  <c r="P28" i="7"/>
  <c r="T28" i="7" s="1"/>
  <c r="P9" i="7"/>
  <c r="T9" i="7" s="1"/>
  <c r="P24" i="7"/>
  <c r="T24" i="7" s="1"/>
  <c r="P8" i="7"/>
  <c r="T8" i="7" s="1"/>
  <c r="P26" i="7"/>
  <c r="T26" i="7" s="1"/>
  <c r="P35" i="7"/>
  <c r="T35" i="7" s="1"/>
  <c r="P11" i="7"/>
  <c r="T11" i="7" s="1"/>
  <c r="P19" i="7"/>
  <c r="T19" i="7" s="1"/>
  <c r="P27" i="7"/>
  <c r="T27" i="7" s="1"/>
  <c r="Q32" i="7"/>
  <c r="U32" i="7" s="1"/>
  <c r="Q17" i="7"/>
  <c r="U17" i="7" s="1"/>
  <c r="Q9" i="7"/>
  <c r="U9" i="7" s="1"/>
  <c r="Q8" i="7"/>
  <c r="U8" i="7" s="1"/>
  <c r="Q18" i="7"/>
  <c r="U18" i="7" s="1"/>
  <c r="Q31" i="7"/>
  <c r="U31" i="7" s="1"/>
  <c r="Q14" i="7"/>
  <c r="U14" i="7" s="1"/>
  <c r="Q27" i="7"/>
  <c r="U27" i="7" s="1"/>
  <c r="Q33" i="7"/>
  <c r="U33" i="7" s="1"/>
  <c r="Q19" i="7"/>
  <c r="U19" i="7" s="1"/>
  <c r="Q40" i="7"/>
  <c r="U40" i="7" s="1"/>
  <c r="Q16" i="7"/>
  <c r="U16" i="7" s="1"/>
  <c r="Q21" i="7"/>
  <c r="U21" i="7" s="1"/>
  <c r="Q12" i="7"/>
  <c r="U12" i="7" s="1"/>
  <c r="Q22" i="7"/>
  <c r="U22" i="7" s="1"/>
  <c r="Q36" i="7"/>
  <c r="U36" i="7" s="1"/>
  <c r="Q28" i="7"/>
  <c r="U28" i="7" s="1"/>
  <c r="Q15" i="7"/>
  <c r="U15" i="7" s="1"/>
  <c r="Q24" i="7"/>
  <c r="U24" i="7" s="1"/>
  <c r="Q41" i="7"/>
  <c r="U41" i="7" s="1"/>
  <c r="Q26" i="7"/>
  <c r="U26" i="7" s="1"/>
  <c r="Q38" i="7"/>
  <c r="U38" i="7" s="1"/>
  <c r="Q30" i="7"/>
  <c r="U30" i="7" s="1"/>
  <c r="Q7" i="7"/>
  <c r="U7" i="7" s="1"/>
  <c r="Q35" i="7"/>
  <c r="U35" i="7" s="1"/>
  <c r="Q23" i="7"/>
  <c r="U23" i="7" s="1"/>
  <c r="Q39" i="7"/>
  <c r="U39" i="7" s="1"/>
  <c r="Q11" i="7"/>
  <c r="U11" i="7" s="1"/>
  <c r="Q10" i="7"/>
  <c r="U10" i="7" s="1"/>
  <c r="Q25" i="7"/>
  <c r="U25" i="7" s="1"/>
  <c r="Q29" i="7"/>
  <c r="U29" i="7" s="1"/>
  <c r="Q34" i="7"/>
  <c r="U34" i="7" s="1"/>
  <c r="Q13" i="7"/>
  <c r="U13" i="7" s="1"/>
  <c r="Q6" i="7"/>
  <c r="U6" i="7" s="1"/>
  <c r="Q37" i="7"/>
  <c r="U37" i="7" s="1"/>
  <c r="Q20" i="7"/>
  <c r="U20" i="7" s="1"/>
  <c r="P84" i="16" l="1"/>
  <c r="R32" i="7"/>
  <c r="V32" i="7" s="1"/>
  <c r="R39" i="7"/>
  <c r="V39" i="7" s="1"/>
  <c r="R14" i="7"/>
  <c r="V14" i="7" s="1"/>
  <c r="R36" i="7"/>
  <c r="V36" i="7" s="1"/>
  <c r="W36" i="7" s="1"/>
  <c r="F160" i="16"/>
  <c r="R41" i="7"/>
  <c r="V41" i="7" s="1"/>
  <c r="Q84" i="20"/>
  <c r="W26" i="7"/>
  <c r="W33" i="7"/>
  <c r="R6" i="7"/>
  <c r="V6" i="7" s="1"/>
  <c r="R8" i="7"/>
  <c r="V8" i="7" s="1"/>
  <c r="R15" i="7"/>
  <c r="V15" i="7" s="1"/>
  <c r="R37" i="7"/>
  <c r="V37" i="7" s="1"/>
  <c r="W37" i="7" s="1"/>
  <c r="R28" i="7"/>
  <c r="V28" i="7" s="1"/>
  <c r="R29" i="7"/>
  <c r="V29" i="7" s="1"/>
  <c r="W29" i="7" s="1"/>
  <c r="R20" i="7"/>
  <c r="V20" i="7" s="1"/>
  <c r="W20" i="7" s="1"/>
  <c r="R38" i="7"/>
  <c r="V38" i="7" s="1"/>
  <c r="R40" i="7"/>
  <c r="V40" i="7" s="1"/>
  <c r="R34" i="7"/>
  <c r="V34" i="7" s="1"/>
  <c r="R13" i="7"/>
  <c r="V13" i="7" s="1"/>
  <c r="W39" i="7"/>
  <c r="R35" i="7"/>
  <c r="V35" i="7" s="1"/>
  <c r="W35" i="7" s="1"/>
  <c r="W8" i="7"/>
  <c r="R23" i="7"/>
  <c r="V23" i="7" s="1"/>
  <c r="W15" i="7"/>
  <c r="R25" i="7"/>
  <c r="V25" i="7" s="1"/>
  <c r="R26" i="7"/>
  <c r="V26" i="7" s="1"/>
  <c r="R27" i="7"/>
  <c r="V27" i="7" s="1"/>
  <c r="N84" i="16"/>
  <c r="W28" i="7"/>
  <c r="W6" i="7"/>
  <c r="R30" i="7"/>
  <c r="V30" i="7" s="1"/>
  <c r="W30" i="7" s="1"/>
  <c r="R33" i="7"/>
  <c r="V33" i="7" s="1"/>
  <c r="R10" i="7"/>
  <c r="V10" i="7" s="1"/>
  <c r="R84" i="20"/>
  <c r="R21" i="7"/>
  <c r="V21" i="7" s="1"/>
  <c r="F128" i="16"/>
  <c r="R9" i="7"/>
  <c r="V9" i="7" s="1"/>
  <c r="F126" i="16"/>
  <c r="R7" i="7"/>
  <c r="V7" i="7" s="1"/>
  <c r="W7" i="7" s="1"/>
  <c r="P84" i="20"/>
  <c r="R19" i="7"/>
  <c r="V19" i="7" s="1"/>
  <c r="W32" i="7"/>
  <c r="W27" i="7"/>
  <c r="R11" i="7"/>
  <c r="V11" i="7" s="1"/>
  <c r="W11" i="7" s="1"/>
  <c r="R31" i="7"/>
  <c r="V31" i="7" s="1"/>
  <c r="F136" i="20"/>
  <c r="H136" i="20" s="1"/>
  <c r="I136" i="20" s="1"/>
  <c r="F136" i="16"/>
  <c r="R17" i="7"/>
  <c r="V17" i="7" s="1"/>
  <c r="O84" i="16"/>
  <c r="R16" i="7"/>
  <c r="V16" i="7" s="1"/>
  <c r="R18" i="7"/>
  <c r="V18" i="7" s="1"/>
  <c r="W18" i="7" s="1"/>
  <c r="W16" i="7"/>
  <c r="W21" i="7"/>
  <c r="W40" i="7"/>
  <c r="R12" i="7"/>
  <c r="V12" i="7" s="1"/>
  <c r="R24" i="7"/>
  <c r="V24" i="7" s="1"/>
  <c r="F141" i="20"/>
  <c r="H141" i="20" s="1"/>
  <c r="I141" i="20" s="1"/>
  <c r="F141" i="16"/>
  <c r="R22" i="7"/>
  <c r="V22" i="7" s="1"/>
  <c r="O41" i="7"/>
  <c r="I164" i="7" s="1"/>
  <c r="K164" i="7" s="1"/>
  <c r="O19" i="7"/>
  <c r="I142" i="7" s="1"/>
  <c r="K142" i="7" s="1"/>
  <c r="O11" i="7"/>
  <c r="I134" i="7" s="1"/>
  <c r="K134" i="7" s="1"/>
  <c r="O35" i="7"/>
  <c r="I158" i="7" s="1"/>
  <c r="K158" i="7" s="1"/>
  <c r="S10" i="7"/>
  <c r="O10" i="7"/>
  <c r="I133" i="7" s="1"/>
  <c r="K133" i="7" s="1"/>
  <c r="S29" i="7"/>
  <c r="O29" i="7"/>
  <c r="I152" i="7" s="1"/>
  <c r="K152" i="7" s="1"/>
  <c r="O27" i="7"/>
  <c r="I150" i="7" s="1"/>
  <c r="K150" i="7" s="1"/>
  <c r="S32" i="7"/>
  <c r="O32" i="7"/>
  <c r="I155" i="7" s="1"/>
  <c r="K155" i="7" s="1"/>
  <c r="O31" i="7"/>
  <c r="I154" i="7" s="1"/>
  <c r="K154" i="7" s="1"/>
  <c r="S39" i="7"/>
  <c r="O39" i="7"/>
  <c r="I162" i="7" s="1"/>
  <c r="K162" i="7" s="1"/>
  <c r="O7" i="7"/>
  <c r="I130" i="7" s="1"/>
  <c r="K130" i="7" s="1"/>
  <c r="S8" i="7"/>
  <c r="O8" i="7"/>
  <c r="I131" i="7" s="1"/>
  <c r="K131" i="7" s="1"/>
  <c r="O38" i="7"/>
  <c r="I161" i="7" s="1"/>
  <c r="K161" i="7" s="1"/>
  <c r="O20" i="7"/>
  <c r="I143" i="7" s="1"/>
  <c r="K143" i="7" s="1"/>
  <c r="O23" i="7"/>
  <c r="I146" i="7" s="1"/>
  <c r="K146" i="7" s="1"/>
  <c r="O25" i="7"/>
  <c r="I148" i="7" s="1"/>
  <c r="K148" i="7" s="1"/>
  <c r="O12" i="7"/>
  <c r="I135" i="7" s="1"/>
  <c r="K135" i="7" s="1"/>
  <c r="S40" i="7"/>
  <c r="O40" i="7"/>
  <c r="I163" i="7" s="1"/>
  <c r="K163" i="7" s="1"/>
  <c r="O33" i="7"/>
  <c r="I156" i="7" s="1"/>
  <c r="K156" i="7" s="1"/>
  <c r="O37" i="7"/>
  <c r="I160" i="7" s="1"/>
  <c r="K160" i="7" s="1"/>
  <c r="S28" i="7"/>
  <c r="O28" i="7"/>
  <c r="I151" i="7" s="1"/>
  <c r="K151" i="7" s="1"/>
  <c r="O22" i="7"/>
  <c r="I145" i="7" s="1"/>
  <c r="K145" i="7" s="1"/>
  <c r="S36" i="7"/>
  <c r="O36" i="7"/>
  <c r="I159" i="7" s="1"/>
  <c r="K159" i="7" s="1"/>
  <c r="O30" i="7"/>
  <c r="I153" i="7" s="1"/>
  <c r="K153" i="7" s="1"/>
  <c r="S16" i="7"/>
  <c r="O16" i="7"/>
  <c r="I139" i="7" s="1"/>
  <c r="K139" i="7" s="1"/>
  <c r="O15" i="7"/>
  <c r="I138" i="7" s="1"/>
  <c r="K138" i="7" s="1"/>
  <c r="O18" i="7"/>
  <c r="I141" i="7" s="1"/>
  <c r="K141" i="7" s="1"/>
  <c r="O26" i="7"/>
  <c r="I149" i="7" s="1"/>
  <c r="K149" i="7" s="1"/>
  <c r="S26" i="7"/>
  <c r="O34" i="7"/>
  <c r="I157" i="7" s="1"/>
  <c r="K157" i="7" s="1"/>
  <c r="S34" i="7"/>
  <c r="O24" i="7"/>
  <c r="I147" i="7" s="1"/>
  <c r="K147" i="7" s="1"/>
  <c r="O9" i="7"/>
  <c r="I132" i="7" s="1"/>
  <c r="K132" i="7" s="1"/>
  <c r="O17" i="7"/>
  <c r="I140" i="7" s="1"/>
  <c r="K140" i="7" s="1"/>
  <c r="O14" i="7"/>
  <c r="I137" i="7" s="1"/>
  <c r="K137" i="7" s="1"/>
  <c r="S14" i="7"/>
  <c r="O21" i="7"/>
  <c r="I144" i="7" s="1"/>
  <c r="K144" i="7" s="1"/>
  <c r="S21" i="7"/>
  <c r="O13" i="7"/>
  <c r="I136" i="7" s="1"/>
  <c r="K136" i="7" s="1"/>
  <c r="S13" i="7"/>
  <c r="S6" i="7"/>
  <c r="O6" i="7"/>
  <c r="I129" i="7" s="1"/>
  <c r="K129" i="7" s="1"/>
  <c r="J141" i="20" l="1"/>
  <c r="K141" i="20" s="1"/>
  <c r="L141" i="20" s="1"/>
  <c r="J136" i="20"/>
  <c r="K136" i="20" s="1"/>
  <c r="L136" i="20" s="1"/>
  <c r="F139" i="16"/>
  <c r="F139" i="20"/>
  <c r="H139" i="20" s="1"/>
  <c r="I139" i="20" s="1"/>
  <c r="F128" i="20"/>
  <c r="H128" i="20" s="1"/>
  <c r="I128" i="20" s="1"/>
  <c r="F147" i="20"/>
  <c r="H147" i="20" s="1"/>
  <c r="I147" i="20" s="1"/>
  <c r="S7" i="7"/>
  <c r="S35" i="7"/>
  <c r="S11" i="7"/>
  <c r="F156" i="16"/>
  <c r="S12" i="7"/>
  <c r="F156" i="20"/>
  <c r="H156" i="20" s="1"/>
  <c r="I156" i="20" s="1"/>
  <c r="F133" i="16"/>
  <c r="F137" i="16"/>
  <c r="F144" i="20"/>
  <c r="H144" i="20" s="1"/>
  <c r="I144" i="20" s="1"/>
  <c r="F142" i="16"/>
  <c r="S30" i="7"/>
  <c r="F138" i="16"/>
  <c r="F152" i="20"/>
  <c r="H152" i="20" s="1"/>
  <c r="I152" i="20" s="1"/>
  <c r="F157" i="16"/>
  <c r="S24" i="7"/>
  <c r="S23" i="7"/>
  <c r="F138" i="20"/>
  <c r="H138" i="20" s="1"/>
  <c r="I138" i="20" s="1"/>
  <c r="F152" i="16"/>
  <c r="F157" i="20"/>
  <c r="H157" i="20" s="1"/>
  <c r="I157" i="20" s="1"/>
  <c r="J126" i="16"/>
  <c r="K126" i="16" s="1"/>
  <c r="F56" i="20"/>
  <c r="I56" i="20" s="1"/>
  <c r="J56" i="20" s="1"/>
  <c r="F56" i="16"/>
  <c r="F125" i="16"/>
  <c r="F53" i="20"/>
  <c r="I53" i="20" s="1"/>
  <c r="J53" i="20" s="1"/>
  <c r="F53" i="16"/>
  <c r="I53" i="16" s="1"/>
  <c r="J53" i="16" s="1"/>
  <c r="W25" i="7"/>
  <c r="F126" i="20"/>
  <c r="H126" i="20" s="1"/>
  <c r="I126" i="20" s="1"/>
  <c r="F41" i="20"/>
  <c r="I41" i="20" s="1"/>
  <c r="J41" i="20" s="1"/>
  <c r="F41" i="16"/>
  <c r="I41" i="16" s="1"/>
  <c r="J41" i="16" s="1"/>
  <c r="F144" i="16"/>
  <c r="F69" i="20"/>
  <c r="I69" i="20" s="1"/>
  <c r="J69" i="20" s="1"/>
  <c r="F69" i="16"/>
  <c r="I69" i="16" s="1"/>
  <c r="J69" i="16" s="1"/>
  <c r="F68" i="20"/>
  <c r="I68" i="20" s="1"/>
  <c r="J68" i="20" s="1"/>
  <c r="F68" i="16"/>
  <c r="I68" i="16" s="1"/>
  <c r="J68" i="16" s="1"/>
  <c r="F125" i="20"/>
  <c r="H125" i="20" s="1"/>
  <c r="I125" i="20" s="1"/>
  <c r="F45" i="16"/>
  <c r="F45" i="20"/>
  <c r="I45" i="20" s="1"/>
  <c r="J45" i="20" s="1"/>
  <c r="E230" i="16"/>
  <c r="E193" i="20"/>
  <c r="F48" i="16"/>
  <c r="I48" i="16" s="1"/>
  <c r="J48" i="16" s="1"/>
  <c r="F48" i="20"/>
  <c r="I48" i="20" s="1"/>
  <c r="J48" i="20" s="1"/>
  <c r="E170" i="20"/>
  <c r="E207" i="16"/>
  <c r="F129" i="16"/>
  <c r="E197" i="20"/>
  <c r="E234" i="16"/>
  <c r="F129" i="20"/>
  <c r="H129" i="20" s="1"/>
  <c r="I129" i="20" s="1"/>
  <c r="F132" i="16"/>
  <c r="F133" i="20"/>
  <c r="H133" i="20" s="1"/>
  <c r="I133" i="20" s="1"/>
  <c r="E203" i="20"/>
  <c r="E240" i="16"/>
  <c r="E224" i="16"/>
  <c r="E187" i="20"/>
  <c r="F40" i="16"/>
  <c r="I40" i="16" s="1"/>
  <c r="J40" i="16" s="1"/>
  <c r="F40" i="20"/>
  <c r="I40" i="20" s="1"/>
  <c r="J40" i="20" s="1"/>
  <c r="E188" i="20"/>
  <c r="E225" i="16"/>
  <c r="F64" i="16"/>
  <c r="I64" i="16" s="1"/>
  <c r="J64" i="16" s="1"/>
  <c r="F64" i="20"/>
  <c r="I64" i="20" s="1"/>
  <c r="J64" i="20" s="1"/>
  <c r="F132" i="20"/>
  <c r="H132" i="20" s="1"/>
  <c r="I132" i="20" s="1"/>
  <c r="F51" i="20"/>
  <c r="I51" i="20" s="1"/>
  <c r="J51" i="20" s="1"/>
  <c r="F51" i="16"/>
  <c r="I51" i="16" s="1"/>
  <c r="J51" i="16" s="1"/>
  <c r="F46" i="16"/>
  <c r="I46" i="16" s="1"/>
  <c r="J46" i="16" s="1"/>
  <c r="F46" i="20"/>
  <c r="I46" i="20" s="1"/>
  <c r="J46" i="20" s="1"/>
  <c r="F70" i="20"/>
  <c r="I70" i="20" s="1"/>
  <c r="J70" i="20" s="1"/>
  <c r="F70" i="16"/>
  <c r="I70" i="16" s="1"/>
  <c r="J70" i="16" s="1"/>
  <c r="E192" i="20"/>
  <c r="E229" i="16"/>
  <c r="E236" i="16"/>
  <c r="E199" i="20"/>
  <c r="W9" i="7"/>
  <c r="J128" i="16"/>
  <c r="K128" i="16" s="1"/>
  <c r="F54" i="20"/>
  <c r="I54" i="20" s="1"/>
  <c r="J54" i="20" s="1"/>
  <c r="F54" i="16"/>
  <c r="I54" i="16" s="1"/>
  <c r="J54" i="16" s="1"/>
  <c r="F65" i="20"/>
  <c r="I65" i="20" s="1"/>
  <c r="J65" i="20" s="1"/>
  <c r="F65" i="16"/>
  <c r="I65" i="16" s="1"/>
  <c r="J65" i="16" s="1"/>
  <c r="F134" i="20"/>
  <c r="H134" i="20" s="1"/>
  <c r="I134" i="20" s="1"/>
  <c r="F72" i="16"/>
  <c r="I72" i="16" s="1"/>
  <c r="J72" i="16" s="1"/>
  <c r="F72" i="20"/>
  <c r="I72" i="20" s="1"/>
  <c r="J72" i="20" s="1"/>
  <c r="F158" i="20"/>
  <c r="H158" i="20" s="1"/>
  <c r="I158" i="20" s="1"/>
  <c r="E173" i="20"/>
  <c r="E210" i="16"/>
  <c r="E198" i="20"/>
  <c r="E235" i="16"/>
  <c r="S25" i="7"/>
  <c r="F50" i="16"/>
  <c r="I50" i="16" s="1"/>
  <c r="J50" i="16" s="1"/>
  <c r="F50" i="20"/>
  <c r="I50" i="20" s="1"/>
  <c r="J50" i="20" s="1"/>
  <c r="E194" i="20"/>
  <c r="E231" i="16"/>
  <c r="F150" i="16"/>
  <c r="F58" i="20"/>
  <c r="I58" i="20" s="1"/>
  <c r="J58" i="20" s="1"/>
  <c r="F58" i="16"/>
  <c r="I58" i="16" s="1"/>
  <c r="J58" i="16" s="1"/>
  <c r="F134" i="16"/>
  <c r="J160" i="16"/>
  <c r="K160" i="16" s="1"/>
  <c r="F158" i="16"/>
  <c r="E176" i="20"/>
  <c r="E213" i="16"/>
  <c r="F55" i="20"/>
  <c r="I55" i="20" s="1"/>
  <c r="J55" i="20" s="1"/>
  <c r="F55" i="16"/>
  <c r="I55" i="16" s="1"/>
  <c r="J55" i="16" s="1"/>
  <c r="F62" i="16"/>
  <c r="I62" i="16" s="1"/>
  <c r="J62" i="16" s="1"/>
  <c r="F62" i="20"/>
  <c r="I62" i="20" s="1"/>
  <c r="J62" i="20" s="1"/>
  <c r="E218" i="16"/>
  <c r="E181" i="20"/>
  <c r="F137" i="20"/>
  <c r="H137" i="20" s="1"/>
  <c r="I137" i="20" s="1"/>
  <c r="E186" i="20"/>
  <c r="E223" i="16"/>
  <c r="W38" i="7"/>
  <c r="F140" i="16"/>
  <c r="F61" i="20"/>
  <c r="I61" i="20" s="1"/>
  <c r="J61" i="20" s="1"/>
  <c r="F61" i="16"/>
  <c r="I61" i="16" s="1"/>
  <c r="J61" i="16" s="1"/>
  <c r="F146" i="20"/>
  <c r="H146" i="20" s="1"/>
  <c r="I146" i="20" s="1"/>
  <c r="F142" i="20"/>
  <c r="H142" i="20" s="1"/>
  <c r="I142" i="20" s="1"/>
  <c r="F153" i="20"/>
  <c r="H153" i="20" s="1"/>
  <c r="I153" i="20" s="1"/>
  <c r="F60" i="16"/>
  <c r="I60" i="16" s="1"/>
  <c r="J60" i="16" s="1"/>
  <c r="F60" i="20"/>
  <c r="I60" i="20" s="1"/>
  <c r="J60" i="20" s="1"/>
  <c r="F160" i="20"/>
  <c r="H160" i="20" s="1"/>
  <c r="I160" i="20" s="1"/>
  <c r="J142" i="16"/>
  <c r="K142" i="16" s="1"/>
  <c r="S18" i="7"/>
  <c r="F43" i="16"/>
  <c r="I43" i="16" s="1"/>
  <c r="J43" i="16" s="1"/>
  <c r="F43" i="20"/>
  <c r="I43" i="20" s="1"/>
  <c r="J43" i="20" s="1"/>
  <c r="E200" i="20"/>
  <c r="E237" i="16"/>
  <c r="E183" i="20"/>
  <c r="E220" i="16"/>
  <c r="E182" i="20"/>
  <c r="E219" i="16"/>
  <c r="F131" i="16"/>
  <c r="F47" i="16"/>
  <c r="I47" i="16" s="1"/>
  <c r="J47" i="16" s="1"/>
  <c r="F47" i="20"/>
  <c r="I47" i="20" s="1"/>
  <c r="J47" i="20" s="1"/>
  <c r="F42" i="20"/>
  <c r="I42" i="20" s="1"/>
  <c r="J42" i="20" s="1"/>
  <c r="F42" i="16"/>
  <c r="W24" i="7"/>
  <c r="W41" i="7"/>
  <c r="F149" i="16"/>
  <c r="F146" i="16"/>
  <c r="F71" i="20"/>
  <c r="I71" i="20" s="1"/>
  <c r="J71" i="20" s="1"/>
  <c r="F71" i="16"/>
  <c r="I71" i="16" s="1"/>
  <c r="J71" i="16" s="1"/>
  <c r="F148" i="16"/>
  <c r="F39" i="20"/>
  <c r="I39" i="20" s="1"/>
  <c r="J39" i="20" s="1"/>
  <c r="F39" i="16"/>
  <c r="I39" i="16" s="1"/>
  <c r="J39" i="16" s="1"/>
  <c r="W34" i="7"/>
  <c r="E206" i="16"/>
  <c r="E169" i="20"/>
  <c r="J136" i="16"/>
  <c r="K136" i="16" s="1"/>
  <c r="F49" i="20"/>
  <c r="I49" i="20" s="1"/>
  <c r="J49" i="20" s="1"/>
  <c r="F49" i="16"/>
  <c r="I49" i="16" s="1"/>
  <c r="J49" i="16" s="1"/>
  <c r="S22" i="7"/>
  <c r="F52" i="20"/>
  <c r="I52" i="20" s="1"/>
  <c r="J52" i="20" s="1"/>
  <c r="F52" i="16"/>
  <c r="I52" i="16" s="1"/>
  <c r="J52" i="16" s="1"/>
  <c r="E191" i="20"/>
  <c r="E228" i="16"/>
  <c r="F143" i="20"/>
  <c r="H143" i="20" s="1"/>
  <c r="I143" i="20" s="1"/>
  <c r="F140" i="20"/>
  <c r="H140" i="20" s="1"/>
  <c r="I140" i="20" s="1"/>
  <c r="E177" i="20"/>
  <c r="E214" i="16"/>
  <c r="E180" i="20"/>
  <c r="E217" i="16"/>
  <c r="E195" i="20"/>
  <c r="E232" i="16"/>
  <c r="S17" i="7"/>
  <c r="S15" i="7"/>
  <c r="S37" i="7"/>
  <c r="S20" i="7"/>
  <c r="S19" i="7"/>
  <c r="F131" i="20"/>
  <c r="H131" i="20" s="1"/>
  <c r="I131" i="20" s="1"/>
  <c r="F135" i="16"/>
  <c r="F130" i="16"/>
  <c r="W12" i="7"/>
  <c r="F149" i="20"/>
  <c r="H149" i="20" s="1"/>
  <c r="I149" i="20" s="1"/>
  <c r="F57" i="20"/>
  <c r="I57" i="20" s="1"/>
  <c r="J57" i="20" s="1"/>
  <c r="F57" i="16"/>
  <c r="I57" i="16" s="1"/>
  <c r="J57" i="16" s="1"/>
  <c r="F66" i="20"/>
  <c r="I66" i="20" s="1"/>
  <c r="J66" i="20" s="1"/>
  <c r="F66" i="16"/>
  <c r="I66" i="16" s="1"/>
  <c r="J66" i="16" s="1"/>
  <c r="F159" i="16"/>
  <c r="F148" i="20"/>
  <c r="H148" i="20" s="1"/>
  <c r="I148" i="20" s="1"/>
  <c r="F127" i="16"/>
  <c r="F67" i="20"/>
  <c r="I67" i="20" s="1"/>
  <c r="J67" i="20" s="1"/>
  <c r="F67" i="16"/>
  <c r="I67" i="16" s="1"/>
  <c r="J67" i="16" s="1"/>
  <c r="F63" i="16"/>
  <c r="I63" i="16" s="1"/>
  <c r="J63" i="16" s="1"/>
  <c r="F63" i="20"/>
  <c r="I63" i="20" s="1"/>
  <c r="J63" i="20" s="1"/>
  <c r="E171" i="20"/>
  <c r="E208" i="16"/>
  <c r="W22" i="7"/>
  <c r="E185" i="20"/>
  <c r="E222" i="16"/>
  <c r="E184" i="20"/>
  <c r="E221" i="16"/>
  <c r="F153" i="16"/>
  <c r="S31" i="7"/>
  <c r="F150" i="20"/>
  <c r="H150" i="20" s="1"/>
  <c r="I150" i="20" s="1"/>
  <c r="E179" i="20"/>
  <c r="E216" i="16"/>
  <c r="E190" i="20"/>
  <c r="E227" i="16"/>
  <c r="E204" i="20"/>
  <c r="E241" i="16"/>
  <c r="F135" i="20"/>
  <c r="H135" i="20" s="1"/>
  <c r="I135" i="20" s="1"/>
  <c r="F130" i="20"/>
  <c r="H130" i="20" s="1"/>
  <c r="I130" i="20" s="1"/>
  <c r="W23" i="7"/>
  <c r="F145" i="16"/>
  <c r="F154" i="16"/>
  <c r="F159" i="20"/>
  <c r="H159" i="20" s="1"/>
  <c r="I159" i="20" s="1"/>
  <c r="F59" i="16"/>
  <c r="I59" i="16" s="1"/>
  <c r="J59" i="16" s="1"/>
  <c r="F59" i="20"/>
  <c r="I59" i="20" s="1"/>
  <c r="J59" i="20" s="1"/>
  <c r="F127" i="20"/>
  <c r="H127" i="20" s="1"/>
  <c r="I127" i="20" s="1"/>
  <c r="F155" i="16"/>
  <c r="F151" i="16"/>
  <c r="J141" i="16"/>
  <c r="K141" i="16" s="1"/>
  <c r="F44" i="20"/>
  <c r="I44" i="20" s="1"/>
  <c r="J44" i="20" s="1"/>
  <c r="F44" i="16"/>
  <c r="I44" i="16" s="1"/>
  <c r="J44" i="16" s="1"/>
  <c r="E212" i="16"/>
  <c r="E175" i="20"/>
  <c r="E202" i="20"/>
  <c r="E239" i="16"/>
  <c r="E189" i="20"/>
  <c r="E226" i="16"/>
  <c r="F143" i="16"/>
  <c r="E174" i="20"/>
  <c r="E211" i="16"/>
  <c r="E178" i="20"/>
  <c r="E215" i="16"/>
  <c r="E172" i="20"/>
  <c r="E209" i="16"/>
  <c r="S33" i="7"/>
  <c r="S38" i="7"/>
  <c r="S9" i="7"/>
  <c r="E196" i="20"/>
  <c r="E233" i="16"/>
  <c r="E201" i="20"/>
  <c r="E238" i="16"/>
  <c r="S27" i="7"/>
  <c r="S41" i="7"/>
  <c r="W31" i="7"/>
  <c r="W10" i="7"/>
  <c r="W19" i="7"/>
  <c r="F38" i="16"/>
  <c r="I38" i="16" s="1"/>
  <c r="J38" i="16" s="1"/>
  <c r="F38" i="20"/>
  <c r="I38" i="20" s="1"/>
  <c r="J38" i="20" s="1"/>
  <c r="W17" i="7"/>
  <c r="W13" i="7"/>
  <c r="F145" i="20"/>
  <c r="H145" i="20" s="1"/>
  <c r="I145" i="20" s="1"/>
  <c r="F154" i="20"/>
  <c r="H154" i="20" s="1"/>
  <c r="I154" i="20" s="1"/>
  <c r="W14" i="7"/>
  <c r="F147" i="16"/>
  <c r="F37" i="20"/>
  <c r="I37" i="20" s="1"/>
  <c r="J37" i="20" s="1"/>
  <c r="F37" i="16"/>
  <c r="I37" i="16" s="1"/>
  <c r="J37" i="16" s="1"/>
  <c r="F155" i="20"/>
  <c r="H155" i="20" s="1"/>
  <c r="I155" i="20" s="1"/>
  <c r="F151" i="20"/>
  <c r="H151" i="20" s="1"/>
  <c r="I151" i="20" s="1"/>
  <c r="I42" i="16"/>
  <c r="J42" i="16" s="1"/>
  <c r="I45" i="16"/>
  <c r="J45" i="16" s="1"/>
  <c r="I56" i="16"/>
  <c r="J56" i="16" s="1"/>
  <c r="H183" i="20" l="1"/>
  <c r="H193" i="20"/>
  <c r="H178" i="20"/>
  <c r="H195" i="20"/>
  <c r="H203" i="20"/>
  <c r="H185" i="20"/>
  <c r="H180" i="20"/>
  <c r="H176" i="20"/>
  <c r="L132" i="20"/>
  <c r="L147" i="20"/>
  <c r="L125" i="20"/>
  <c r="H177" i="20"/>
  <c r="H199" i="20"/>
  <c r="L149" i="20"/>
  <c r="H169" i="20"/>
  <c r="H202" i="20"/>
  <c r="H186" i="20"/>
  <c r="H173" i="20"/>
  <c r="H197" i="20"/>
  <c r="L142" i="20"/>
  <c r="H179" i="20"/>
  <c r="H175" i="20"/>
  <c r="L137" i="20"/>
  <c r="L158" i="20"/>
  <c r="H188" i="20"/>
  <c r="L146" i="20"/>
  <c r="H196" i="20"/>
  <c r="H181" i="20"/>
  <c r="H192" i="20"/>
  <c r="L157" i="20"/>
  <c r="H194" i="20"/>
  <c r="H204" i="20"/>
  <c r="H174" i="20"/>
  <c r="H201" i="20"/>
  <c r="H190" i="20"/>
  <c r="H171" i="20"/>
  <c r="H200" i="20"/>
  <c r="H189" i="20"/>
  <c r="H198" i="20"/>
  <c r="H172" i="20"/>
  <c r="L130" i="20"/>
  <c r="H184" i="20"/>
  <c r="H191" i="20"/>
  <c r="H170" i="20"/>
  <c r="H182" i="20"/>
  <c r="L153" i="20"/>
  <c r="L134" i="20"/>
  <c r="H187" i="20"/>
  <c r="L138" i="20"/>
  <c r="G212" i="16"/>
  <c r="I212" i="16"/>
  <c r="G234" i="16"/>
  <c r="I234" i="16"/>
  <c r="G235" i="16"/>
  <c r="I235" i="16"/>
  <c r="G214" i="16"/>
  <c r="I214" i="16"/>
  <c r="G213" i="16"/>
  <c r="I213" i="16"/>
  <c r="G223" i="16"/>
  <c r="I223" i="16"/>
  <c r="G240" i="16"/>
  <c r="I240" i="16"/>
  <c r="G207" i="16"/>
  <c r="I207" i="16"/>
  <c r="G215" i="16"/>
  <c r="I215" i="16"/>
  <c r="G210" i="16"/>
  <c r="I210" i="16"/>
  <c r="G228" i="16"/>
  <c r="I228" i="16"/>
  <c r="G232" i="16"/>
  <c r="I232" i="16"/>
  <c r="G219" i="16"/>
  <c r="I219" i="16"/>
  <c r="G224" i="16"/>
  <c r="I224" i="16"/>
  <c r="G222" i="16"/>
  <c r="I222" i="16"/>
  <c r="G241" i="16"/>
  <c r="I241" i="16"/>
  <c r="G227" i="16"/>
  <c r="I227" i="16"/>
  <c r="G218" i="16"/>
  <c r="I218" i="16"/>
  <c r="G237" i="16"/>
  <c r="I237" i="16"/>
  <c r="G209" i="16"/>
  <c r="I209" i="16"/>
  <c r="G206" i="16"/>
  <c r="I206" i="16"/>
  <c r="G221" i="16"/>
  <c r="I221" i="16"/>
  <c r="G238" i="16"/>
  <c r="I238" i="16"/>
  <c r="G233" i="16"/>
  <c r="I233" i="16"/>
  <c r="G236" i="16"/>
  <c r="J236" i="16" s="1"/>
  <c r="I236" i="16"/>
  <c r="G217" i="16"/>
  <c r="I217" i="16"/>
  <c r="G220" i="16"/>
  <c r="I220" i="16"/>
  <c r="G231" i="16"/>
  <c r="I231" i="16"/>
  <c r="G229" i="16"/>
  <c r="I229" i="16"/>
  <c r="G225" i="16"/>
  <c r="I225" i="16"/>
  <c r="G230" i="16"/>
  <c r="J230" i="16" s="1"/>
  <c r="I230" i="16"/>
  <c r="G211" i="16"/>
  <c r="I211" i="16"/>
  <c r="G226" i="16"/>
  <c r="I226" i="16"/>
  <c r="G208" i="16"/>
  <c r="I208" i="16"/>
  <c r="G239" i="16"/>
  <c r="I239" i="16"/>
  <c r="G216" i="16"/>
  <c r="I216" i="16"/>
  <c r="J139" i="16"/>
  <c r="K139" i="16" s="1"/>
  <c r="L139" i="16" s="1"/>
  <c r="J152" i="16"/>
  <c r="K152" i="16" s="1"/>
  <c r="E31" i="16"/>
  <c r="E16" i="16" s="1"/>
  <c r="E6" i="1" s="1"/>
  <c r="J157" i="16"/>
  <c r="K157" i="16" s="1"/>
  <c r="D31" i="16"/>
  <c r="D16" i="16" s="1"/>
  <c r="D6" i="1" s="1"/>
  <c r="E31" i="20"/>
  <c r="E16" i="20" s="1"/>
  <c r="D31" i="20"/>
  <c r="D16" i="20" s="1"/>
  <c r="L160" i="16"/>
  <c r="J148" i="20"/>
  <c r="K148" i="20" s="1"/>
  <c r="L148" i="20" s="1"/>
  <c r="J160" i="20"/>
  <c r="K160" i="20" s="1"/>
  <c r="L160" i="20" s="1"/>
  <c r="J125" i="20"/>
  <c r="K125" i="20" s="1"/>
  <c r="J152" i="20"/>
  <c r="K152" i="20" s="1"/>
  <c r="L152" i="20" s="1"/>
  <c r="J131" i="20"/>
  <c r="K131" i="20" s="1"/>
  <c r="L131" i="20" s="1"/>
  <c r="J143" i="20"/>
  <c r="K143" i="20" s="1"/>
  <c r="L143" i="20" s="1"/>
  <c r="J134" i="20"/>
  <c r="K134" i="20" s="1"/>
  <c r="J147" i="20"/>
  <c r="K147" i="20" s="1"/>
  <c r="J132" i="20"/>
  <c r="K132" i="20" s="1"/>
  <c r="J155" i="20"/>
  <c r="K155" i="20" s="1"/>
  <c r="L155" i="20" s="1"/>
  <c r="J133" i="20"/>
  <c r="K133" i="20" s="1"/>
  <c r="L133" i="20" s="1"/>
  <c r="J128" i="20"/>
  <c r="K128" i="20" s="1"/>
  <c r="L128" i="20" s="1"/>
  <c r="J151" i="20"/>
  <c r="K151" i="20" s="1"/>
  <c r="L151" i="20" s="1"/>
  <c r="J142" i="20"/>
  <c r="K142" i="20" s="1"/>
  <c r="J139" i="20"/>
  <c r="K139" i="20" s="1"/>
  <c r="L139" i="20" s="1"/>
  <c r="J159" i="20"/>
  <c r="K159" i="20" s="1"/>
  <c r="L159" i="20" s="1"/>
  <c r="J146" i="20"/>
  <c r="K146" i="20" s="1"/>
  <c r="J144" i="20"/>
  <c r="K144" i="20" s="1"/>
  <c r="L144" i="20" s="1"/>
  <c r="J149" i="20"/>
  <c r="K149" i="20" s="1"/>
  <c r="J140" i="20"/>
  <c r="K140" i="20" s="1"/>
  <c r="L140" i="20" s="1"/>
  <c r="J158" i="20"/>
  <c r="K158" i="20" s="1"/>
  <c r="J154" i="20"/>
  <c r="K154" i="20" s="1"/>
  <c r="L154" i="20" s="1"/>
  <c r="J130" i="20"/>
  <c r="K130" i="20" s="1"/>
  <c r="J157" i="20"/>
  <c r="K157" i="20" s="1"/>
  <c r="J126" i="20"/>
  <c r="K126" i="20" s="1"/>
  <c r="L126" i="20" s="1"/>
  <c r="J150" i="20"/>
  <c r="K150" i="20" s="1"/>
  <c r="L150" i="20" s="1"/>
  <c r="J145" i="20"/>
  <c r="K145" i="20" s="1"/>
  <c r="L145" i="20" s="1"/>
  <c r="J135" i="20"/>
  <c r="K135" i="20" s="1"/>
  <c r="L135" i="20" s="1"/>
  <c r="J127" i="20"/>
  <c r="K127" i="20" s="1"/>
  <c r="L127" i="20" s="1"/>
  <c r="J129" i="20"/>
  <c r="K129" i="20" s="1"/>
  <c r="L129" i="20" s="1"/>
  <c r="J137" i="20"/>
  <c r="K137" i="20" s="1"/>
  <c r="J153" i="20"/>
  <c r="K153" i="20" s="1"/>
  <c r="J138" i="20"/>
  <c r="K138" i="20" s="1"/>
  <c r="L142" i="16"/>
  <c r="L126" i="16"/>
  <c r="J134" i="16"/>
  <c r="K134" i="16" s="1"/>
  <c r="L134" i="16" s="1"/>
  <c r="L141" i="16"/>
  <c r="J148" i="16"/>
  <c r="K148" i="16" s="1"/>
  <c r="J151" i="16"/>
  <c r="K151" i="16" s="1"/>
  <c r="J153" i="16"/>
  <c r="K153" i="16" s="1"/>
  <c r="J131" i="16"/>
  <c r="K131" i="16" s="1"/>
  <c r="L128" i="16"/>
  <c r="J129" i="16"/>
  <c r="K129" i="16" s="1"/>
  <c r="J143" i="16"/>
  <c r="K143" i="16" s="1"/>
  <c r="J155" i="16"/>
  <c r="K155" i="16" s="1"/>
  <c r="J130" i="16"/>
  <c r="K130" i="16" s="1"/>
  <c r="L136" i="16"/>
  <c r="J135" i="16"/>
  <c r="K135" i="16" s="1"/>
  <c r="J140" i="16"/>
  <c r="K140" i="16" s="1"/>
  <c r="J132" i="16"/>
  <c r="K132" i="16" s="1"/>
  <c r="J147" i="16"/>
  <c r="K147" i="16" s="1"/>
  <c r="J150" i="16"/>
  <c r="K150" i="16" s="1"/>
  <c r="J127" i="16"/>
  <c r="K127" i="16" s="1"/>
  <c r="J146" i="16"/>
  <c r="K146" i="16" s="1"/>
  <c r="J144" i="16"/>
  <c r="K144" i="16" s="1"/>
  <c r="J149" i="16"/>
  <c r="K149" i="16" s="1"/>
  <c r="J154" i="16"/>
  <c r="K154" i="16" s="1"/>
  <c r="J159" i="16"/>
  <c r="K159" i="16" s="1"/>
  <c r="J125" i="16"/>
  <c r="K125" i="16" s="1"/>
  <c r="J145" i="16"/>
  <c r="K145" i="16" s="1"/>
  <c r="J158" i="16"/>
  <c r="K158" i="16" s="1"/>
  <c r="K6" i="14"/>
  <c r="J6" i="14"/>
  <c r="I6" i="14"/>
  <c r="K5" i="7"/>
  <c r="I5" i="7"/>
  <c r="P5" i="7" s="1"/>
  <c r="T5" i="7" s="1"/>
  <c r="J5" i="7"/>
  <c r="Q5" i="7" s="1"/>
  <c r="U5" i="7" s="1"/>
  <c r="L168" i="20" l="1"/>
  <c r="M168" i="20"/>
  <c r="J211" i="16"/>
  <c r="J217" i="16"/>
  <c r="J237" i="16"/>
  <c r="J219" i="16"/>
  <c r="J209" i="16"/>
  <c r="J213" i="16"/>
  <c r="J214" i="16"/>
  <c r="J225" i="16"/>
  <c r="J227" i="16"/>
  <c r="J241" i="16"/>
  <c r="J216" i="16"/>
  <c r="J229" i="16"/>
  <c r="J208" i="16"/>
  <c r="J226" i="16"/>
  <c r="J215" i="16"/>
  <c r="J235" i="16"/>
  <c r="J218" i="16"/>
  <c r="J223" i="16"/>
  <c r="J238" i="16"/>
  <c r="J221" i="16"/>
  <c r="J220" i="16"/>
  <c r="J224" i="16"/>
  <c r="J207" i="16"/>
  <c r="J234" i="16"/>
  <c r="J232" i="16"/>
  <c r="J228" i="16"/>
  <c r="J210" i="16"/>
  <c r="J222" i="16"/>
  <c r="J233" i="16"/>
  <c r="J239" i="16"/>
  <c r="J231" i="16"/>
  <c r="J206" i="16"/>
  <c r="J240" i="16"/>
  <c r="J212" i="16"/>
  <c r="L152" i="16"/>
  <c r="L125" i="16"/>
  <c r="J138" i="16"/>
  <c r="K138" i="16" s="1"/>
  <c r="L138" i="16" s="1"/>
  <c r="L155" i="16"/>
  <c r="L157" i="16"/>
  <c r="J156" i="16"/>
  <c r="K156" i="16" s="1"/>
  <c r="L156" i="16" s="1"/>
  <c r="J137" i="16"/>
  <c r="K137" i="16" s="1"/>
  <c r="L137" i="16" s="1"/>
  <c r="J133" i="16"/>
  <c r="K133" i="16" s="1"/>
  <c r="L133" i="16" s="1"/>
  <c r="L146" i="16"/>
  <c r="L132" i="16"/>
  <c r="L130" i="16"/>
  <c r="L143" i="16"/>
  <c r="L153" i="16"/>
  <c r="L144" i="16"/>
  <c r="J156" i="20"/>
  <c r="K156" i="20" s="1"/>
  <c r="L156" i="20" s="1"/>
  <c r="L147" i="16"/>
  <c r="L159" i="16"/>
  <c r="L129" i="16"/>
  <c r="R5" i="7"/>
  <c r="V5" i="7" s="1"/>
  <c r="L151" i="16"/>
  <c r="L150" i="16"/>
  <c r="L135" i="16"/>
  <c r="L149" i="16"/>
  <c r="L127" i="16"/>
  <c r="L154" i="16"/>
  <c r="Q124" i="20"/>
  <c r="D79" i="20" s="1"/>
  <c r="D17" i="20" s="1"/>
  <c r="D19" i="20" s="1"/>
  <c r="D25" i="20" s="1"/>
  <c r="L140" i="16"/>
  <c r="L131" i="16"/>
  <c r="L158" i="16"/>
  <c r="L145" i="16"/>
  <c r="L148" i="16"/>
  <c r="O6" i="14"/>
  <c r="I129" i="14" s="1"/>
  <c r="O5" i="7"/>
  <c r="F124" i="20" s="1"/>
  <c r="H124" i="20" s="1"/>
  <c r="I124" i="20" s="1"/>
  <c r="N205" i="16" l="1"/>
  <c r="E18" i="16" s="1"/>
  <c r="E8" i="1" s="1"/>
  <c r="M205" i="16"/>
  <c r="D18" i="16" s="1"/>
  <c r="D8" i="1" s="1"/>
  <c r="O124" i="16"/>
  <c r="D79" i="16" s="1"/>
  <c r="D17" i="16" s="1"/>
  <c r="D7" i="1" s="1"/>
  <c r="J124" i="20"/>
  <c r="K124" i="20" s="1"/>
  <c r="L124" i="20" s="1"/>
  <c r="R124" i="20"/>
  <c r="E79" i="20" s="1"/>
  <c r="E17" i="20" s="1"/>
  <c r="E19" i="20" s="1"/>
  <c r="E25" i="20" s="1"/>
  <c r="S5" i="7"/>
  <c r="F36" i="20"/>
  <c r="I36" i="20" s="1"/>
  <c r="J36" i="20" s="1"/>
  <c r="F36" i="16"/>
  <c r="J36" i="16" s="1"/>
  <c r="F124" i="16"/>
  <c r="P124" i="16"/>
  <c r="E79" i="16" s="1"/>
  <c r="E17" i="16" s="1"/>
  <c r="E7" i="1" s="1"/>
  <c r="W5" i="7"/>
  <c r="I128" i="7"/>
  <c r="K128" i="7" s="1"/>
  <c r="E19" i="16" l="1"/>
  <c r="D19" i="16"/>
  <c r="C31" i="20"/>
  <c r="C16" i="20" s="1"/>
  <c r="C31" i="16"/>
  <c r="C16" i="16" s="1"/>
  <c r="C6" i="1" s="1"/>
  <c r="P124" i="20"/>
  <c r="C79" i="20" s="1"/>
  <c r="C17" i="20" s="1"/>
  <c r="E168" i="20"/>
  <c r="H168" i="20" s="1"/>
  <c r="E205" i="16"/>
  <c r="G205" i="16" s="1"/>
  <c r="J124" i="16"/>
  <c r="K124" i="16" s="1"/>
  <c r="I205" i="16" l="1"/>
  <c r="J205" i="16" s="1"/>
  <c r="K168" i="20"/>
  <c r="C18" i="20" s="1"/>
  <c r="C19" i="20"/>
  <c r="C25" i="20" s="1"/>
  <c r="B25" i="20" s="1"/>
  <c r="L124" i="16"/>
  <c r="N124" i="16" s="1"/>
  <c r="C79" i="16" s="1"/>
  <c r="C17" i="16" s="1"/>
  <c r="C7" i="1" s="1"/>
  <c r="F6" i="1"/>
  <c r="L205" i="16" l="1"/>
  <c r="C18" i="16" s="1"/>
  <c r="C8" i="1" s="1"/>
  <c r="C19" i="16" l="1"/>
  <c r="C14" i="1" l="1"/>
  <c r="D14" i="1"/>
  <c r="C5" i="1"/>
  <c r="E5" i="1" l="1"/>
  <c r="E14" i="1"/>
  <c r="F14" i="1"/>
  <c r="D5" i="1"/>
  <c r="F7" i="1"/>
  <c r="F8" i="1" l="1"/>
  <c r="F5" i="1"/>
  <c r="F11" i="1"/>
  <c r="C18" i="1"/>
  <c r="D9" i="1" l="1"/>
  <c r="F20" i="1"/>
  <c r="C24" i="16"/>
  <c r="C25" i="16" s="1"/>
  <c r="E9" i="1" l="1"/>
  <c r="D24" i="16"/>
  <c r="D25" i="16" s="1"/>
  <c r="C9" i="1"/>
  <c r="E24" i="16"/>
  <c r="E25" i="16" s="1"/>
  <c r="E18" i="1"/>
  <c r="F12" i="1" l="1"/>
  <c r="B25" i="16"/>
  <c r="F9" i="1"/>
  <c r="B4" i="1" s="1"/>
  <c r="F21" i="1"/>
  <c r="F18" i="1" s="1"/>
  <c r="B13" i="1" s="1"/>
  <c r="D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Crash Davis</author>
  </authors>
  <commentList>
    <comment ref="C5" authorId="0" shapeId="0" xr:uid="{745B6000-D1E5-EB42-9FE5-744825259210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Determined by taking the the estimated peak %'s per day and averaging those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Crash Davis</author>
  </authors>
  <commentList>
    <comment ref="B7" authorId="0" shapeId="0" xr:uid="{40C424A5-A443-7941-AB6F-C6A0F7ED06A8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assumes a total square footage based on a per-rack sf estimate
</t>
        </r>
        <r>
          <rPr>
            <sz val="10"/>
            <color rgb="FF000000"/>
            <rFont val="Tahoma"/>
            <family val="2"/>
          </rPr>
          <t xml:space="preserve">For a Tier I/II, assume additional 25% space; lease is for 2-year advance to provide room to build out next expansion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88B7E89E-070C-E945-A7F4-F1A20B0E677D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Uptime Institute figure of 23801 per kW of IT Load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For a Tier II, these costs are approx. 50% of Tier III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11" authorId="0" shapeId="0" xr:uid="{CDA94142-0B15-3545-BF96-BD9AAEE634EB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Interest on the Construction and Land Costs @ 2% real discount rate (assumed)</t>
        </r>
      </text>
    </comment>
    <comment ref="B12" authorId="0" shapeId="0" xr:uid="{7C5D2C6D-B64A-7746-B5F4-97B43E013A2D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Assumed at 5% of infrastructure and facility costs
</t>
        </r>
      </text>
    </comment>
    <comment ref="B13" authorId="0" shapeId="0" xr:uid="{F5DB38FF-83E1-5643-95E3-3F9EF9F94704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is a first year cost, since it is expensive to lay additional fiber later
</t>
        </r>
      </text>
    </comment>
    <comment ref="B18" authorId="0" shapeId="0" xr:uid="{E5566FE4-53E2-9949-A453-16109D2FA440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is just an approximation; too many variables to establish a basis estimate
</t>
        </r>
      </text>
    </comment>
    <comment ref="B20" authorId="0" shapeId="0" xr:uid="{C2564092-134C-6C4A-A459-5A41E9C5065B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Estimated at the equivalent of $65/sf of electrically active space
</t>
        </r>
      </text>
    </comment>
    <comment ref="B21" authorId="0" shapeId="0" xr:uid="{1BCF2885-D517-7F4B-BD5F-5BB3ABC010F1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Estimated at $50/sf of electrically active area
</t>
        </r>
      </text>
    </comment>
    <comment ref="B27" authorId="0" shapeId="0" xr:uid="{2F09DC00-B40F-6646-8011-13D6B2F022B8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Equal to the IT Load
</t>
        </r>
        <r>
          <rPr>
            <sz val="10"/>
            <color rgb="FF000000"/>
            <rFont val="Tahoma"/>
            <family val="2"/>
          </rPr>
          <t>(conservation of energy)</t>
        </r>
      </text>
    </comment>
    <comment ref="B30" authorId="0" shapeId="0" xr:uid="{4AE4B5D9-D21F-0A4B-9BF5-CA2FC48E62AC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is calculated by taking the BW at year-end-BW at start and dividing by 2 as an approximate average bandwidth over the year, then multiplying by the IP transit cost (Mbps/month)
</t>
        </r>
      </text>
    </comment>
    <comment ref="B31" authorId="0" shapeId="0" xr:uid="{1446D936-B246-0844-B3B2-CD443AD82F59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% of the cost of prior year total capacity (servers and routers)
</t>
        </r>
      </text>
    </comment>
    <comment ref="B32" authorId="0" shapeId="0" xr:uid="{21BA5879-007A-CC4A-BA95-DBA98226D30F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tax on total cabling, infrastructure and equipment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34" authorId="0" shapeId="0" xr:uid="{25403C13-87C0-6D40-92D2-6E08657EE652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3% per annum COLA; Maintenance grows to 4 in year 3 due to increased capacity
</t>
        </r>
      </text>
    </comment>
    <comment ref="B38" authorId="0" shapeId="0" xr:uid="{120BEE9E-7B3D-B64D-BBAE-E4BBB236D5DA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included in lease
</t>
        </r>
      </text>
    </comment>
    <comment ref="B39" authorId="0" shapeId="0" xr:uid="{E420E1D6-20F9-F141-9213-4FC7418D5E2E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included in lease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Crash Davis</author>
  </authors>
  <commentList>
    <comment ref="F24" authorId="0" shapeId="0" xr:uid="{582B766E-D060-7F45-A288-1AE831D59AE5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Server BW based on 1:1 redundancy, so total bandwidth is halved then limited to 75% efficiency
</t>
        </r>
      </text>
    </comment>
    <comment ref="T24" authorId="0" shapeId="0" xr:uid="{3C11FE55-E6DA-E441-A9BE-BBC0C920A7D7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is the rounded DOWN minimum between power-based and RU-based calculations at each level
</t>
        </r>
      </text>
    </comment>
    <comment ref="D33" authorId="0" shapeId="0" xr:uid="{D382873E-E8CF-1840-BCFB-CDD76252B5EE}">
      <text>
        <r>
          <rPr>
            <b/>
            <sz val="10"/>
            <color rgb="FF000000"/>
            <rFont val="Tahoma"/>
            <family val="2"/>
          </rPr>
          <t>Crash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Total slots are 32; however, 4 are reserved for inter-shelf connectivity for redundancy/availability
</t>
        </r>
      </text>
    </comment>
  </commentList>
</comments>
</file>

<file path=xl/sharedStrings.xml><?xml version="1.0" encoding="utf-8"?>
<sst xmlns="http://schemas.openxmlformats.org/spreadsheetml/2006/main" count="639" uniqueCount="365">
  <si>
    <t>Memory</t>
  </si>
  <si>
    <t>Song Duration (s)</t>
  </si>
  <si>
    <t>Low Rate</t>
  </si>
  <si>
    <t>Kbps</t>
  </si>
  <si>
    <t>% of stream</t>
  </si>
  <si>
    <t>Streaming Music</t>
  </si>
  <si>
    <t>Song Rates</t>
  </si>
  <si>
    <t>Low</t>
  </si>
  <si>
    <t>High</t>
  </si>
  <si>
    <t>Bandwidth Calculations</t>
  </si>
  <si>
    <t>Song Size (Kb)</t>
  </si>
  <si>
    <t>Standard</t>
  </si>
  <si>
    <t>Downloading Music</t>
  </si>
  <si>
    <t>Downloads/Hr/Active User</t>
  </si>
  <si>
    <t>Requests/Hr/Active User</t>
  </si>
  <si>
    <t>Playback Authorization (Request-Respond)</t>
  </si>
  <si>
    <t>Total Number of Songs in Library</t>
  </si>
  <si>
    <t>Similar to Spotify and iTunes; remains consistent (new songs replace old songs)</t>
  </si>
  <si>
    <t>Streaming Storage</t>
  </si>
  <si>
    <t>Low Bit-Rate</t>
  </si>
  <si>
    <t>Standard Bit-Rate</t>
  </si>
  <si>
    <t>Duration (s)</t>
  </si>
  <si>
    <t>High Bit-Rate</t>
  </si>
  <si>
    <t>Song Size (GB)</t>
  </si>
  <si>
    <t>Download Storage</t>
  </si>
  <si>
    <t>Bit Rate (Kbps)</t>
  </si>
  <si>
    <t>Storage Calculations</t>
  </si>
  <si>
    <t>CPU</t>
  </si>
  <si>
    <t>Disk</t>
  </si>
  <si>
    <t>Bandwidth</t>
  </si>
  <si>
    <t>Large</t>
  </si>
  <si>
    <t>#RUs</t>
  </si>
  <si>
    <t>General Purpose Server Specifications</t>
  </si>
  <si>
    <t>40% CPU</t>
  </si>
  <si>
    <t>60% CPU</t>
  </si>
  <si>
    <t>80% CPU</t>
  </si>
  <si>
    <t>100% CPU</t>
  </si>
  <si>
    <t>Power Consumption (kW)</t>
  </si>
  <si>
    <t>Cost ($)</t>
  </si>
  <si>
    <t>Xlarge</t>
  </si>
  <si>
    <t># Cores</t>
  </si>
  <si>
    <t>General Notes on Architecture</t>
  </si>
  <si>
    <t>Storage</t>
  </si>
  <si>
    <t>Storage (GB)</t>
  </si>
  <si>
    <t>Year 1</t>
  </si>
  <si>
    <t>Year 2</t>
  </si>
  <si>
    <t>Year 3</t>
  </si>
  <si>
    <t>Power Cost ($/kwh)</t>
  </si>
  <si>
    <t>Servers/Rack</t>
  </si>
  <si>
    <t>HW/IT Support (% of original cost)</t>
  </si>
  <si>
    <t>Download</t>
  </si>
  <si>
    <t>Permission Storage</t>
  </si>
  <si>
    <t>Data Constants</t>
  </si>
  <si>
    <t>Permission Request Service</t>
  </si>
  <si>
    <t># Songs in Library</t>
  </si>
  <si>
    <t>Active Users</t>
  </si>
  <si>
    <t>Streaming</t>
  </si>
  <si>
    <t>Server Limits</t>
  </si>
  <si>
    <t>Permission Percent of Requests</t>
  </si>
  <si>
    <t>Total Cost Summary</t>
  </si>
  <si>
    <t>Assume active rate is consistent over entire day 24x7x365</t>
  </si>
  <si>
    <t>Routers</t>
  </si>
  <si>
    <t>Router/Switch Specifications</t>
  </si>
  <si>
    <t>Shelf Cost</t>
  </si>
  <si>
    <t>Shelf RUs</t>
  </si>
  <si>
    <t>Line Cards</t>
  </si>
  <si>
    <t>Gig-E</t>
  </si>
  <si>
    <t>Cost</t>
  </si>
  <si>
    <t>OC-48</t>
  </si>
  <si>
    <t>OC-192</t>
  </si>
  <si>
    <t>Ports/Card</t>
  </si>
  <si>
    <t>Power (kW)</t>
  </si>
  <si>
    <t xml:space="preserve">Total </t>
  </si>
  <si>
    <t>Assumed to be a percentage of original purchase cost from year 2 on (1st year support included in purchase price)</t>
  </si>
  <si>
    <t>Data Center Cost Constants</t>
  </si>
  <si>
    <t>Square Feet per rack</t>
  </si>
  <si>
    <t>Gig-E Ports</t>
  </si>
  <si>
    <t>Racks</t>
  </si>
  <si>
    <t>Labor</t>
  </si>
  <si>
    <t>Usable RAM (GB)</t>
  </si>
  <si>
    <t>Usable Disk (GB)</t>
  </si>
  <si>
    <t>Usable BW (Gbps)</t>
  </si>
  <si>
    <t>Assumption: All songs in library available for streaming and download</t>
  </si>
  <si>
    <t>No significant storage;  requests and responses are assumed fire and forget; nothing stored (all in-memory processing)</t>
  </si>
  <si>
    <t>Units/Rack</t>
  </si>
  <si>
    <t xml:space="preserve">#RUs </t>
  </si>
  <si>
    <t>Rack Constants (these are maximums)</t>
  </si>
  <si>
    <t>Cost (est)</t>
  </si>
  <si>
    <t>% Total Reqs</t>
  </si>
  <si>
    <t>Low Bit Rate (kbps)</t>
  </si>
  <si>
    <t>Std Bit Rate (kbps)</t>
  </si>
  <si>
    <t>High Bit Rate (kbps)</t>
  </si>
  <si>
    <t>% Std 
Bit Rate</t>
  </si>
  <si>
    <t>% High 
Bit Rate</t>
  </si>
  <si>
    <t>% Low 
Bit Rate</t>
  </si>
  <si>
    <t>Requests
(/user/hr)</t>
  </si>
  <si>
    <t>Total Requests/User</t>
  </si>
  <si>
    <t>Per Hour</t>
  </si>
  <si>
    <t>Per Second</t>
  </si>
  <si>
    <t>Streaming Service Constants</t>
  </si>
  <si>
    <t>Download Service Constants</t>
  </si>
  <si>
    <t>Request Size (GB)</t>
  </si>
  <si>
    <t>Total Needed Bandwidth (Gbps)</t>
  </si>
  <si>
    <t>Peak-to-Average Ratio</t>
  </si>
  <si>
    <t>Peak Hrs/day</t>
  </si>
  <si>
    <t>Average peak percent of activity/day</t>
  </si>
  <si>
    <t>Average percent of activity/day</t>
  </si>
  <si>
    <t>Equivalent Peak Hours</t>
  </si>
  <si>
    <t>TPS</t>
  </si>
  <si>
    <t>Permission</t>
  </si>
  <si>
    <t>Total</t>
  </si>
  <si>
    <t>CPU (Active Workload) Calculations</t>
  </si>
  <si>
    <t>Transactions per Second (Workload)</t>
  </si>
  <si>
    <t>Max Active Users (Capacity)</t>
  </si>
  <si>
    <t>Request Rates (per User/per Hour)</t>
  </si>
  <si>
    <t>NOTE: Based on playback curve in graph</t>
  </si>
  <si>
    <t>User Profile Calculations</t>
  </si>
  <si>
    <t>TPS by Bit Rate</t>
  </si>
  <si>
    <t>(1 TPS is equivalent to streaming 1 full song/sec)</t>
  </si>
  <si>
    <t>Download TPS</t>
  </si>
  <si>
    <t>Total Streaming TPS</t>
  </si>
  <si>
    <t>(1 TPS is equivalent to downloading 1 full song/sec)</t>
  </si>
  <si>
    <t>Usable Ports/Card</t>
  </si>
  <si>
    <t>For Power, assume 9W/Gbps</t>
  </si>
  <si>
    <t>Total Aggregate Bandwidth</t>
  </si>
  <si>
    <t>Usable BW (Gbps) / port</t>
  </si>
  <si>
    <t>Usable Shelf Slots</t>
  </si>
  <si>
    <t>Power</t>
  </si>
  <si>
    <t>Internet Transit Costs ($/Mbps/month)</t>
  </si>
  <si>
    <t>Number of Cables (144 strands/cable)</t>
  </si>
  <si>
    <t>Internet Fiber Run (distance, ft)</t>
  </si>
  <si>
    <t>Total Cable Length (# cables * fiber run * 110%)</t>
  </si>
  <si>
    <t>Cable Cost</t>
  </si>
  <si>
    <t>Internet Fiber Cable Cost (per foot)</t>
  </si>
  <si>
    <t>Number of Single-Mode Fiber Strands</t>
  </si>
  <si>
    <t>Installation Costs</t>
  </si>
  <si>
    <t>TOTAL Internet Last Mile</t>
  </si>
  <si>
    <t>Land Cost / acre (commercial, Dallas-area)</t>
  </si>
  <si>
    <t>Salary per person</t>
  </si>
  <si>
    <t>k$/year</t>
  </si>
  <si>
    <t>People per shift</t>
  </si>
  <si>
    <t>#</t>
  </si>
  <si>
    <t>Shifts per day</t>
  </si>
  <si>
    <t>benefits percentage</t>
  </si>
  <si>
    <t>%</t>
  </si>
  <si>
    <t>Total cost per year</t>
  </si>
  <si>
    <t>Janitorial and Landscaping Costs</t>
  </si>
  <si>
    <t>per square foot</t>
  </si>
  <si>
    <t>Acres of Land</t>
  </si>
  <si>
    <t>Fire Suppression ($/sf)</t>
  </si>
  <si>
    <t>Property Taxes</t>
  </si>
  <si>
    <t>Labor Costs</t>
  </si>
  <si>
    <t>Janitorial and landscaping</t>
  </si>
  <si>
    <t>Security</t>
  </si>
  <si>
    <t>Total Labor Costs</t>
  </si>
  <si>
    <t>kW-Related Infrastructure Costs</t>
  </si>
  <si>
    <t>Other Facility Costs</t>
  </si>
  <si>
    <t>Energy and Power Use/Costs</t>
  </si>
  <si>
    <t>Labor Estimates</t>
  </si>
  <si>
    <t>Total Consumption (kWh/yr)</t>
  </si>
  <si>
    <t>IT Load (kWh/yr)</t>
  </si>
  <si>
    <t>Cooling and Auxiliaries (kWh/yr)</t>
  </si>
  <si>
    <t>Total Electricity Use (kW)</t>
  </si>
  <si>
    <t>Interest</t>
  </si>
  <si>
    <t>Architecture/Engineering Fees</t>
  </si>
  <si>
    <t>Internet Fiber Last Mile Cost</t>
  </si>
  <si>
    <t>Fire Suppression</t>
  </si>
  <si>
    <t>Annual Energy Cost</t>
  </si>
  <si>
    <t>Annual Internet Transit Cost</t>
  </si>
  <si>
    <t>Total Annual Operating Expenses</t>
  </si>
  <si>
    <t>Internal Cabling Cost</t>
  </si>
  <si>
    <t>Total Data Center Costs</t>
  </si>
  <si>
    <t xml:space="preserve">Annual HW Vendor Support Costs </t>
  </si>
  <si>
    <t>Operating Costs</t>
  </si>
  <si>
    <t>Total Lifecycle Cost</t>
  </si>
  <si>
    <t>Total Operating Costs</t>
  </si>
  <si>
    <t>Web/App Servers</t>
  </si>
  <si>
    <t xml:space="preserve">Property Tax Rate </t>
  </si>
  <si>
    <t>NAS Specifications (Dell EMC Isilon H400)</t>
  </si>
  <si>
    <t>10 GbE Ports</t>
  </si>
  <si>
    <t>Memory Calculations</t>
  </si>
  <si>
    <t>Assume that DRM-on-the-fly is performed in memory</t>
  </si>
  <si>
    <t>Total Streaming TPS (Songs)</t>
  </si>
  <si>
    <t>High Rate Songs / sec</t>
  </si>
  <si>
    <t>Low Rate Songs / sec</t>
  </si>
  <si>
    <t>Standard Rate Songs / sec</t>
  </si>
  <si>
    <t>TPS (Songs) per Bit Rate Type</t>
  </si>
  <si>
    <t>Measure</t>
  </si>
  <si>
    <t xml:space="preserve">COST Summary </t>
  </si>
  <si>
    <t>Other Expenses</t>
  </si>
  <si>
    <t>Router Cards</t>
  </si>
  <si>
    <t>Router Shelves</t>
  </si>
  <si>
    <t>Period</t>
  </si>
  <si>
    <t>-</t>
  </si>
  <si>
    <t>Active User Growth</t>
  </si>
  <si>
    <t xml:space="preserve">
Active User Growth Rate (%)</t>
  </si>
  <si>
    <t>User 
Growth Rate (%)</t>
  </si>
  <si>
    <t xml:space="preserve">User Growth </t>
  </si>
  <si>
    <t>Total Users</t>
  </si>
  <si>
    <t>Average Active Users</t>
  </si>
  <si>
    <t xml:space="preserve">% Total Active Users </t>
  </si>
  <si>
    <t>Encryption and rate adaptation occurs on same server (at normal user capacity, since not processing transactions)</t>
  </si>
  <si>
    <t xml:space="preserve">With rate adaptation, the high-bit rate songs must be stored only;  others are adapted and stored in memory </t>
  </si>
  <si>
    <t>User Distributions Across Data Centers</t>
  </si>
  <si>
    <t>NE</t>
  </si>
  <si>
    <t>S</t>
  </si>
  <si>
    <t>W</t>
  </si>
  <si>
    <t>MW</t>
  </si>
  <si>
    <t>DC Region</t>
  </si>
  <si>
    <t>% of User Population</t>
  </si>
  <si>
    <t>Aggregate Memory Needs</t>
  </si>
  <si>
    <t>Distributed Data Center Constants</t>
  </si>
  <si>
    <t>User Density</t>
  </si>
  <si>
    <t>Traffic</t>
  </si>
  <si>
    <t>to NE</t>
  </si>
  <si>
    <t>to W</t>
  </si>
  <si>
    <t>Power Cost ($/kWh)</t>
  </si>
  <si>
    <t>Bandwidth (Gbps)</t>
  </si>
  <si>
    <t>IT Tx Cost ($/Mbps/month)</t>
  </si>
  <si>
    <t>Capital Expenses</t>
  </si>
  <si>
    <t>Industrial Space Leasing Costs</t>
  </si>
  <si>
    <t>Space Lease Cost ($/sf/mo)</t>
  </si>
  <si>
    <t>Operating Expenses</t>
  </si>
  <si>
    <t>Total Square Footage</t>
  </si>
  <si>
    <t>DC Tech</t>
  </si>
  <si>
    <t>DC Admin Labor
($/yr)</t>
  </si>
  <si>
    <t>DC Tech 
Labor
($/yr)</t>
  </si>
  <si>
    <t>modular DC price per Watt</t>
  </si>
  <si>
    <t>Tax Rate (%)</t>
  </si>
  <si>
    <t>Operations Manager</t>
  </si>
  <si>
    <t>DC  SysAdmin</t>
  </si>
  <si>
    <t>DC Operations Manager</t>
  </si>
  <si>
    <t>DC Network/System Administrator</t>
  </si>
  <si>
    <t>DC Technician</t>
  </si>
  <si>
    <t>Other Expense</t>
  </si>
  <si>
    <t>Centralized</t>
  </si>
  <si>
    <t>Distributed</t>
  </si>
  <si>
    <t>Stream/Download API Message (bits)</t>
  </si>
  <si>
    <t>(1 KB API request messagel; 0.5KB API response message)</t>
  </si>
  <si>
    <t>Cloud</t>
  </si>
  <si>
    <t>Facility/Capital</t>
  </si>
  <si>
    <t>Centralized vs Distributed vs Cloud Data Center Comparison (3-Yr Total)</t>
  </si>
  <si>
    <t>Servers/Cloud Svcs</t>
  </si>
  <si>
    <t>Space and Labor Costs</t>
  </si>
  <si>
    <t>Facility Costs</t>
  </si>
  <si>
    <t>This includes office space for DC Cloud Administration -- assumes no difference between Cloud Service Provider; uses Dallas area metrics</t>
  </si>
  <si>
    <t>Month</t>
  </si>
  <si>
    <t>Authorization</t>
  </si>
  <si>
    <t>Transactions per Day (Requests/day)</t>
  </si>
  <si>
    <t xml:space="preserve">Transactions per Second (TPS) </t>
  </si>
  <si>
    <t>Auths</t>
  </si>
  <si>
    <t>Total Needed Bandwidth (GB/d)</t>
  </si>
  <si>
    <t xml:space="preserve">Simple Storage Service (S3) </t>
  </si>
  <si>
    <t>Requests</t>
  </si>
  <si>
    <t>Data Xfers</t>
  </si>
  <si>
    <t>Volumes</t>
  </si>
  <si>
    <t>Costs</t>
  </si>
  <si>
    <t>TOTAL</t>
  </si>
  <si>
    <t>1 - stream and download requests (GETs) only; no auth requests</t>
  </si>
  <si>
    <t>Assumes Standard S3 Storage</t>
  </si>
  <si>
    <t>Data Xfers (GB)</t>
  </si>
  <si>
    <t>Volumes (per month)</t>
  </si>
  <si>
    <t>Costs (Xfer via Other AWS Service)</t>
  </si>
  <si>
    <t>Cloud Services Costs</t>
  </si>
  <si>
    <t>Facility/Capital Expenses</t>
  </si>
  <si>
    <t>Total Facility Costs</t>
  </si>
  <si>
    <t>Total Cloud Service Costs</t>
  </si>
  <si>
    <t>Costs (Yearly Totals)</t>
  </si>
  <si>
    <t>EC2 Instances</t>
  </si>
  <si>
    <t>Capacity Needs</t>
  </si>
  <si>
    <t>a1.2xlarge</t>
  </si>
  <si>
    <t>Qty</t>
  </si>
  <si>
    <t>Use smallest general server equiv to xlarge (a1.2xlarge)</t>
  </si>
  <si>
    <t>Encryption/Rate Adaptation Servers</t>
  </si>
  <si>
    <t>Total Cost</t>
  </si>
  <si>
    <t>EBS Storage</t>
  </si>
  <si>
    <t>Capacity (GB)</t>
  </si>
  <si>
    <t>Grand Total Compute Instances</t>
  </si>
  <si>
    <t>Grand Total Storage</t>
  </si>
  <si>
    <t>2 - Assumes all songs are transferred to Encryption/Rate Adaptation for delivery, so EC2's inherit the data transfer costs</t>
  </si>
  <si>
    <t>Storage (GB per instance)</t>
  </si>
  <si>
    <t>Transactions per Month (Requests/month)</t>
  </si>
  <si>
    <t>Compute Instances</t>
  </si>
  <si>
    <t>Total Instance</t>
  </si>
  <si>
    <t>Instance Costs</t>
  </si>
  <si>
    <t>Data Transfer Costs</t>
  </si>
  <si>
    <t>Uses 1 year standard reservation rates</t>
  </si>
  <si>
    <t>Assumes 75% volume discount on data transfers</t>
  </si>
  <si>
    <t>Lambda</t>
  </si>
  <si>
    <t>CloudFront Costs</t>
  </si>
  <si>
    <t>Assumes 75% volume discount</t>
  </si>
  <si>
    <r>
      <t>Requests</t>
    </r>
    <r>
      <rPr>
        <b/>
        <vertAlign val="superscript"/>
        <sz val="12"/>
        <color theme="0"/>
        <rFont val="Calibri (Body)"/>
      </rPr>
      <t>1</t>
    </r>
  </si>
  <si>
    <r>
      <t>Data Xfers (GB)</t>
    </r>
    <r>
      <rPr>
        <b/>
        <vertAlign val="superscript"/>
        <sz val="12"/>
        <color theme="0"/>
        <rFont val="Calibri (Body)"/>
      </rPr>
      <t>2</t>
    </r>
  </si>
  <si>
    <t>Capacities and costs computed monthly, since pricing model is monthly</t>
  </si>
  <si>
    <t>Storage costs are doubled in the Summary (to cover East and West Regions) - Compute Instances and Data Transfer would be split across regions at same price</t>
  </si>
  <si>
    <t>Grand Total Prices are doubled for copies in East and West Regions</t>
  </si>
  <si>
    <t>No assumed volume/sizing discount</t>
  </si>
  <si>
    <t>Number of servers differs, because server has higher net I/O (7.5 Gbps) than project 1 and 2 XL General Server (2.25 Gbps)</t>
  </si>
  <si>
    <t>Amazon Web Services</t>
  </si>
  <si>
    <t>Compute Engine</t>
  </si>
  <si>
    <t>Gibps</t>
  </si>
  <si>
    <t>GiB/day</t>
  </si>
  <si>
    <t>GiB/month</t>
  </si>
  <si>
    <t>Total Needed Bandwidth (GiB/m)</t>
  </si>
  <si>
    <t>Song Size (GiB)</t>
  </si>
  <si>
    <t>Total  (GiB)</t>
  </si>
  <si>
    <t>Bandwidth (GiB/day)</t>
  </si>
  <si>
    <t>Bandwidth (GiB/mon)</t>
  </si>
  <si>
    <t>Bandwidth (Gibps)</t>
  </si>
  <si>
    <t>GiB RAM</t>
  </si>
  <si>
    <t>Total (GiB)</t>
  </si>
  <si>
    <t>Library Storage Needs (GiB)</t>
  </si>
  <si>
    <t>n1-standard-8</t>
  </si>
  <si>
    <t>Number of servers differs, because server has higher net I/O (12 Gbps) than project 1 and 2 XL General Server (2.25 Gbps)</t>
  </si>
  <si>
    <t>Google Cloud Storage (GCS)</t>
  </si>
  <si>
    <t>Assumes storage download and high bit-rate song only</t>
  </si>
  <si>
    <t>2 - Assumes all songs are transferred to Encryption/Rate Adaptation instances for delivery, so Compute Engine instances inherit the data transfer costs</t>
  </si>
  <si>
    <t>Attached Storage</t>
  </si>
  <si>
    <t>Doesn’t include load balancing, monitoring, etc.</t>
  </si>
  <si>
    <t>+1 instances added to account for maintenance and other SLA-compliant outages</t>
  </si>
  <si>
    <t>Data Egress</t>
  </si>
  <si>
    <t>Total Instance (w/discount)</t>
  </si>
  <si>
    <r>
      <t>Operations</t>
    </r>
    <r>
      <rPr>
        <b/>
        <vertAlign val="superscript"/>
        <sz val="12"/>
        <color theme="0"/>
        <rFont val="Calibri (Body)"/>
      </rPr>
      <t>1</t>
    </r>
  </si>
  <si>
    <t>Monthly Volumetrics Summary</t>
  </si>
  <si>
    <t>Downloads</t>
  </si>
  <si>
    <t>Streams</t>
  </si>
  <si>
    <t>Authorizations</t>
  </si>
  <si>
    <t>Monthly Volumes</t>
  </si>
  <si>
    <t>Bandwidth (GiB)</t>
  </si>
  <si>
    <t>Storage (GiB)</t>
  </si>
  <si>
    <t>Uses predefined n1-standard-8 instances</t>
  </si>
  <si>
    <t>instances have 2Gibps/core * 75% usable bandwidth (ie., 2 Gbps* 8 cores * 75% = 12 Gbps)</t>
  </si>
  <si>
    <t>AWS</t>
  </si>
  <si>
    <t>Includes NAT Gateways and Data Transfer Costs</t>
  </si>
  <si>
    <t>Assumes 75% discount on transfer costs (by volume)</t>
  </si>
  <si>
    <t>4 NATs (1 per AZ, 2 AZs per region, 2 regions</t>
  </si>
  <si>
    <t>NATs</t>
  </si>
  <si>
    <t>NATs us-west-1</t>
  </si>
  <si>
    <t>Egress us-west-1</t>
  </si>
  <si>
    <t>NATs us-east1</t>
  </si>
  <si>
    <t>Assumes egress costs are split evently between regions for costing</t>
  </si>
  <si>
    <t>Egress us-east-1</t>
  </si>
  <si>
    <t>Total Costs</t>
  </si>
  <si>
    <t>Data Egress (GiB)</t>
  </si>
  <si>
    <t>Network/Data Egress</t>
  </si>
  <si>
    <t>Since so much of the quantities of servers are for redundancy, actual average use over period is 25%, so use on-demand pricing rather than reserve</t>
  </si>
  <si>
    <t>CSP</t>
  </si>
  <si>
    <t>GCP</t>
  </si>
  <si>
    <t>Cloud Service Costs</t>
  </si>
  <si>
    <t>Request Cost</t>
  </si>
  <si>
    <t>Duration Use</t>
  </si>
  <si>
    <t xml:space="preserve">CloudFront  </t>
  </si>
  <si>
    <t>Amazon VPC  (Don't Use)</t>
  </si>
  <si>
    <t>Content Delivery Network using Edges and Caching</t>
  </si>
  <si>
    <t>Asssumes no invalidation requests</t>
  </si>
  <si>
    <t>Cache misses from S3 are free</t>
  </si>
  <si>
    <t>Use 1 year reserve cost</t>
  </si>
  <si>
    <t>Doesn't include storage management, transfer acceleration, etc.</t>
  </si>
  <si>
    <t>Google CDN</t>
  </si>
  <si>
    <t>Data Storage and Operations Pricing (Data egress covered by CDN)</t>
  </si>
  <si>
    <t>All operations are considered class B ("GET"s)</t>
  </si>
  <si>
    <t>CDN Costs</t>
  </si>
  <si>
    <t>Assumes 25% sustained use discount (80% utilization)</t>
  </si>
  <si>
    <t>Cache Fill</t>
  </si>
  <si>
    <t>Assumes 100% cache fill first month then 5% thereafter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</si>
</sst>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&quot;$&quot;* #,##0_);_(&quot;$&quot;* \(#,##0\);_(&quot;$&quot;* &quot;-&quot;??_);_(@_)"/>
    <numFmt numFmtId="167" formatCode="_(&quot;$&quot;* #,##0.000_);_(&quot;$&quot;* \(#,##0.000\);_(&quot;$&quot;* &quot;-&quot;??_);_(@_)"/>
    <numFmt numFmtId="168" formatCode="0.0000000"/>
    <numFmt numFmtId="169" formatCode="0.000"/>
    <numFmt numFmtId="170" formatCode="_(* #,##0.0000_);_(* \(#,##0.0000\);_(* &quot;-&quot;??_);_(@_)"/>
    <numFmt numFmtId="171" formatCode="0.00000"/>
    <numFmt numFmtId="172" formatCode="0.0000"/>
    <numFmt numFmtId="173" formatCode="_(&quot;$&quot;* #,##0.0000_);_(&quot;$&quot;* \(#,##0.0000\);_(&quot;$&quot;* &quot;-&quot;??_);_(@_)"/>
    <numFmt numFmtId="174" formatCode="0.000%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vertAlign val="superscript"/>
      <sz val="12"/>
      <color theme="0"/>
      <name val="Calibri (Body)"/>
    </font>
    <font>
      <b/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9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/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 style="medium">
        <color rgb="FFC00000"/>
      </top>
      <bottom style="medium">
        <color rgb="FFC00000"/>
      </bottom>
      <diagonal/>
    </border>
    <border>
      <left style="thin">
        <color rgb="FF002060"/>
      </left>
      <right style="thin">
        <color rgb="FF002060"/>
      </right>
      <top style="medium">
        <color rgb="FFC00000"/>
      </top>
      <bottom style="medium">
        <color rgb="FFC00000"/>
      </bottom>
      <diagonal/>
    </border>
    <border>
      <left style="thin">
        <color rgb="FF002060"/>
      </left>
      <right style="medium">
        <color rgb="FF002060"/>
      </right>
      <top style="medium">
        <color rgb="FFC00000"/>
      </top>
      <bottom style="medium">
        <color rgb="FFC00000"/>
      </bottom>
      <diagonal/>
    </border>
    <border>
      <left style="medium">
        <color rgb="FF002060"/>
      </left>
      <right style="thin">
        <color rgb="FF002060"/>
      </right>
      <top/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/>
      <bottom style="medium">
        <color rgb="FF002060"/>
      </bottom>
      <diagonal/>
    </border>
    <border>
      <left style="thin">
        <color rgb="FF002060"/>
      </left>
      <right style="medium">
        <color rgb="FF002060"/>
      </right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7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0" fontId="2" fillId="0" borderId="0" xfId="0" applyFont="1" applyAlignment="1">
      <alignment horizontal="center" wrapText="1"/>
    </xf>
    <xf numFmtId="164" fontId="0" fillId="0" borderId="0" xfId="0" applyNumberFormat="1"/>
    <xf numFmtId="1" fontId="0" fillId="0" borderId="0" xfId="0" applyNumberFormat="1"/>
    <xf numFmtId="9" fontId="0" fillId="0" borderId="0" xfId="2" applyFont="1"/>
    <xf numFmtId="0" fontId="0" fillId="0" borderId="0" xfId="0" applyAlignment="1">
      <alignment horizontal="center"/>
    </xf>
    <xf numFmtId="164" fontId="0" fillId="0" borderId="0" xfId="0" applyNumberFormat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0" fillId="0" borderId="0" xfId="0" applyBorder="1"/>
    <xf numFmtId="17" fontId="0" fillId="0" borderId="0" xfId="0" applyNumberFormat="1" applyBorder="1" applyAlignment="1">
      <alignment horizontal="center"/>
    </xf>
    <xf numFmtId="0" fontId="0" fillId="0" borderId="0" xfId="0" applyFont="1"/>
    <xf numFmtId="43" fontId="0" fillId="0" borderId="0" xfId="0" applyNumberFormat="1" applyBorder="1"/>
    <xf numFmtId="43" fontId="2" fillId="0" borderId="0" xfId="0" applyNumberFormat="1" applyFont="1" applyBorder="1"/>
    <xf numFmtId="9" fontId="0" fillId="0" borderId="0" xfId="0" applyNumberFormat="1"/>
    <xf numFmtId="164" fontId="2" fillId="0" borderId="4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44" fontId="0" fillId="0" borderId="0" xfId="3" applyFont="1"/>
    <xf numFmtId="0" fontId="2" fillId="0" borderId="0" xfId="0" applyFont="1" applyAlignment="1">
      <alignment horizontal="left" indent="1"/>
    </xf>
    <xf numFmtId="43" fontId="0" fillId="0" borderId="0" xfId="1" applyFont="1"/>
    <xf numFmtId="164" fontId="0" fillId="0" borderId="0" xfId="1" applyNumberFormat="1" applyFont="1" applyAlignment="1">
      <alignment horizontal="center" vertical="center"/>
    </xf>
    <xf numFmtId="165" fontId="0" fillId="0" borderId="0" xfId="1" applyNumberFormat="1" applyFont="1"/>
    <xf numFmtId="0" fontId="2" fillId="0" borderId="0" xfId="0" quotePrefix="1" applyFont="1" applyAlignment="1">
      <alignment horizontal="center"/>
    </xf>
    <xf numFmtId="6" fontId="0" fillId="0" borderId="0" xfId="0" applyNumberFormat="1"/>
    <xf numFmtId="0" fontId="0" fillId="2" borderId="0" xfId="0" applyFill="1"/>
    <xf numFmtId="0" fontId="0" fillId="0" borderId="0" xfId="0" applyAlignment="1">
      <alignment horizontal="left" indent="2"/>
    </xf>
    <xf numFmtId="164" fontId="0" fillId="2" borderId="0" xfId="1" applyNumberFormat="1" applyFont="1" applyFill="1"/>
    <xf numFmtId="9" fontId="0" fillId="2" borderId="0" xfId="2" applyFont="1" applyFill="1"/>
    <xf numFmtId="0" fontId="6" fillId="0" borderId="0" xfId="0" applyFont="1"/>
    <xf numFmtId="0" fontId="7" fillId="0" borderId="0" xfId="0" applyFont="1"/>
    <xf numFmtId="1" fontId="0" fillId="2" borderId="0" xfId="0" applyNumberFormat="1" applyFill="1"/>
    <xf numFmtId="164" fontId="2" fillId="2" borderId="0" xfId="1" applyNumberFormat="1" applyFont="1" applyFill="1"/>
    <xf numFmtId="164" fontId="1" fillId="0" borderId="0" xfId="1" applyNumberFormat="1" applyFont="1" applyBorder="1"/>
    <xf numFmtId="0" fontId="0" fillId="0" borderId="0" xfId="0" applyFill="1"/>
    <xf numFmtId="0" fontId="2" fillId="0" borderId="0" xfId="0" applyFont="1" applyAlignment="1">
      <alignment horizontal="center"/>
    </xf>
    <xf numFmtId="167" fontId="0" fillId="0" borderId="0" xfId="3" applyNumberFormat="1" applyFont="1"/>
    <xf numFmtId="10" fontId="0" fillId="0" borderId="0" xfId="2" applyNumberFormat="1" applyFont="1"/>
    <xf numFmtId="0" fontId="0" fillId="0" borderId="0" xfId="0" applyFont="1" applyAlignment="1">
      <alignment horizontal="left" indent="2"/>
    </xf>
    <xf numFmtId="17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168" fontId="0" fillId="0" borderId="0" xfId="0" applyNumberFormat="1"/>
    <xf numFmtId="0" fontId="0" fillId="3" borderId="0" xfId="0" applyFill="1"/>
    <xf numFmtId="166" fontId="0" fillId="0" borderId="0" xfId="3" applyNumberFormat="1" applyFont="1"/>
    <xf numFmtId="169" fontId="0" fillId="0" borderId="0" xfId="0" applyNumberFormat="1"/>
    <xf numFmtId="0" fontId="10" fillId="0" borderId="0" xfId="0" applyFont="1"/>
    <xf numFmtId="0" fontId="0" fillId="3" borderId="0" xfId="0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0" xfId="0" quotePrefix="1" applyFont="1" applyFill="1" applyAlignment="1">
      <alignment horizontal="center"/>
    </xf>
    <xf numFmtId="164" fontId="0" fillId="4" borderId="0" xfId="1" applyNumberFormat="1" applyFont="1" applyFill="1"/>
    <xf numFmtId="165" fontId="0" fillId="4" borderId="0" xfId="1" applyNumberFormat="1" applyFont="1" applyFill="1"/>
    <xf numFmtId="1" fontId="0" fillId="4" borderId="0" xfId="0" applyNumberFormat="1" applyFill="1"/>
    <xf numFmtId="164" fontId="0" fillId="0" borderId="0" xfId="1" applyNumberFormat="1" applyFont="1" applyAlignment="1">
      <alignment wrapText="1"/>
    </xf>
    <xf numFmtId="166" fontId="0" fillId="0" borderId="0" xfId="3" applyNumberFormat="1" applyFont="1" applyAlignment="1">
      <alignment wrapText="1"/>
    </xf>
    <xf numFmtId="0" fontId="2" fillId="0" borderId="0" xfId="0" applyFont="1" applyAlignment="1">
      <alignment horizontal="left" vertical="top" indent="1"/>
    </xf>
    <xf numFmtId="170" fontId="0" fillId="2" borderId="0" xfId="1" applyNumberFormat="1" applyFont="1" applyFill="1"/>
    <xf numFmtId="170" fontId="0" fillId="2" borderId="0" xfId="1" applyNumberFormat="1" applyFont="1" applyFill="1" applyAlignment="1">
      <alignment horizontal="right"/>
    </xf>
    <xf numFmtId="17" fontId="0" fillId="0" borderId="0" xfId="0" applyNumberFormat="1" applyFill="1" applyAlignment="1">
      <alignment horizontal="center"/>
    </xf>
    <xf numFmtId="43" fontId="2" fillId="0" borderId="0" xfId="0" applyNumberFormat="1" applyFont="1" applyFill="1" applyBorder="1"/>
    <xf numFmtId="43" fontId="2" fillId="0" borderId="0" xfId="0" applyNumberFormat="1" applyFont="1"/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71" fontId="0" fillId="0" borderId="0" xfId="0" applyNumberFormat="1"/>
    <xf numFmtId="172" fontId="0" fillId="0" borderId="0" xfId="0" applyNumberFormat="1"/>
    <xf numFmtId="0" fontId="2" fillId="0" borderId="0" xfId="0" applyFont="1" applyAlignment="1"/>
    <xf numFmtId="44" fontId="0" fillId="0" borderId="0" xfId="0" applyNumberFormat="1"/>
    <xf numFmtId="0" fontId="0" fillId="0" borderId="0" xfId="0" applyFill="1" applyBorder="1"/>
    <xf numFmtId="0" fontId="0" fillId="0" borderId="0" xfId="0" applyBorder="1" applyAlignment="1"/>
    <xf numFmtId="166" fontId="0" fillId="0" borderId="0" xfId="3" applyNumberFormat="1" applyFont="1" applyFill="1" applyBorder="1"/>
    <xf numFmtId="0" fontId="11" fillId="0" borderId="0" xfId="0" applyFont="1"/>
    <xf numFmtId="0" fontId="0" fillId="0" borderId="0" xfId="0" applyAlignment="1">
      <alignment horizontal="left" indent="3"/>
    </xf>
    <xf numFmtId="44" fontId="0" fillId="0" borderId="0" xfId="0" applyNumberFormat="1" applyAlignment="1">
      <alignment wrapText="1"/>
    </xf>
    <xf numFmtId="0" fontId="2" fillId="0" borderId="0" xfId="0" applyFont="1" applyAlignment="1">
      <alignment horizontal="left" indent="3"/>
    </xf>
    <xf numFmtId="166" fontId="2" fillId="0" borderId="0" xfId="3" applyNumberFormat="1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44" fontId="2" fillId="0" borderId="0" xfId="0" applyNumberFormat="1" applyFont="1"/>
    <xf numFmtId="44" fontId="2" fillId="0" borderId="0" xfId="3" applyFont="1"/>
    <xf numFmtId="0" fontId="0" fillId="0" borderId="0" xfId="0" applyFont="1" applyAlignment="1">
      <alignment horizontal="left" indent="1"/>
    </xf>
    <xf numFmtId="166" fontId="1" fillId="0" borderId="0" xfId="3" applyNumberFormat="1" applyFont="1"/>
    <xf numFmtId="0" fontId="0" fillId="0" borderId="0" xfId="0" applyFont="1" applyAlignment="1">
      <alignment horizontal="left"/>
    </xf>
    <xf numFmtId="166" fontId="2" fillId="0" borderId="0" xfId="0" applyNumberFormat="1" applyFont="1"/>
    <xf numFmtId="166" fontId="12" fillId="0" borderId="0" xfId="3" applyNumberFormat="1" applyFont="1"/>
    <xf numFmtId="0" fontId="12" fillId="0" borderId="0" xfId="0" applyFont="1"/>
    <xf numFmtId="0" fontId="13" fillId="0" borderId="0" xfId="0" applyFont="1" applyAlignment="1">
      <alignment horizontal="left" indent="1"/>
    </xf>
    <xf numFmtId="166" fontId="13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6" fontId="12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66" fontId="12" fillId="5" borderId="6" xfId="0" applyNumberFormat="1" applyFont="1" applyFill="1" applyBorder="1" applyAlignment="1">
      <alignment horizontal="center"/>
    </xf>
    <xf numFmtId="166" fontId="12" fillId="5" borderId="7" xfId="0" applyNumberFormat="1" applyFont="1" applyFill="1" applyBorder="1" applyAlignment="1">
      <alignment horizontal="center"/>
    </xf>
    <xf numFmtId="0" fontId="14" fillId="5" borderId="0" xfId="0" applyFont="1" applyFill="1" applyBorder="1"/>
    <xf numFmtId="166" fontId="14" fillId="5" borderId="0" xfId="3" applyNumberFormat="1" applyFont="1" applyFill="1" applyBorder="1"/>
    <xf numFmtId="166" fontId="14" fillId="5" borderId="11" xfId="3" applyNumberFormat="1" applyFont="1" applyFill="1" applyBorder="1"/>
    <xf numFmtId="0" fontId="0" fillId="5" borderId="0" xfId="0" applyFill="1" applyBorder="1" applyAlignment="1">
      <alignment horizontal="left" indent="1"/>
    </xf>
    <xf numFmtId="166" fontId="0" fillId="5" borderId="0" xfId="3" applyNumberFormat="1" applyFont="1" applyFill="1" applyBorder="1"/>
    <xf numFmtId="166" fontId="0" fillId="5" borderId="11" xfId="3" applyNumberFormat="1" applyFont="1" applyFill="1" applyBorder="1"/>
    <xf numFmtId="0" fontId="14" fillId="5" borderId="0" xfId="0" applyFont="1" applyFill="1" applyBorder="1" applyAlignment="1">
      <alignment horizontal="left"/>
    </xf>
    <xf numFmtId="0" fontId="0" fillId="5" borderId="10" xfId="0" applyFill="1" applyBorder="1" applyAlignment="1">
      <alignment horizontal="left" indent="1"/>
    </xf>
    <xf numFmtId="166" fontId="0" fillId="5" borderId="10" xfId="3" applyNumberFormat="1" applyFont="1" applyFill="1" applyBorder="1"/>
    <xf numFmtId="166" fontId="0" fillId="5" borderId="12" xfId="3" applyNumberFormat="1" applyFont="1" applyFill="1" applyBorder="1"/>
    <xf numFmtId="0" fontId="15" fillId="6" borderId="0" xfId="0" applyFont="1" applyFill="1" applyAlignment="1"/>
    <xf numFmtId="0" fontId="15" fillId="6" borderId="0" xfId="0" applyFont="1" applyFill="1" applyAlignment="1">
      <alignment horizontal="center"/>
    </xf>
    <xf numFmtId="17" fontId="2" fillId="5" borderId="13" xfId="0" applyNumberFormat="1" applyFont="1" applyFill="1" applyBorder="1" applyAlignment="1">
      <alignment horizontal="center"/>
    </xf>
    <xf numFmtId="164" fontId="0" fillId="5" borderId="14" xfId="1" applyNumberFormat="1" applyFont="1" applyFill="1" applyBorder="1"/>
    <xf numFmtId="0" fontId="0" fillId="5" borderId="14" xfId="0" quotePrefix="1" applyFill="1" applyBorder="1" applyAlignment="1">
      <alignment horizontal="right" indent="1"/>
    </xf>
    <xf numFmtId="9" fontId="0" fillId="5" borderId="14" xfId="2" applyNumberFormat="1" applyFont="1" applyFill="1" applyBorder="1" applyAlignment="1">
      <alignment horizontal="center"/>
    </xf>
    <xf numFmtId="164" fontId="0" fillId="5" borderId="14" xfId="1" applyNumberFormat="1" applyFont="1" applyFill="1" applyBorder="1" applyAlignment="1">
      <alignment horizontal="right"/>
    </xf>
    <xf numFmtId="0" fontId="0" fillId="5" borderId="15" xfId="0" quotePrefix="1" applyFill="1" applyBorder="1" applyAlignment="1">
      <alignment horizontal="right" indent="1"/>
    </xf>
    <xf numFmtId="17" fontId="2" fillId="5" borderId="16" xfId="0" applyNumberFormat="1" applyFont="1" applyFill="1" applyBorder="1" applyAlignment="1">
      <alignment horizontal="center"/>
    </xf>
    <xf numFmtId="164" fontId="0" fillId="5" borderId="17" xfId="1" applyNumberFormat="1" applyFont="1" applyFill="1" applyBorder="1"/>
    <xf numFmtId="164" fontId="0" fillId="5" borderId="17" xfId="0" applyNumberFormat="1" applyFill="1" applyBorder="1" applyAlignment="1">
      <alignment horizontal="left"/>
    </xf>
    <xf numFmtId="10" fontId="0" fillId="5" borderId="17" xfId="2" applyNumberFormat="1" applyFont="1" applyFill="1" applyBorder="1" applyAlignment="1">
      <alignment horizontal="center"/>
    </xf>
    <xf numFmtId="9" fontId="0" fillId="5" borderId="17" xfId="2" applyNumberFormat="1" applyFont="1" applyFill="1" applyBorder="1" applyAlignment="1">
      <alignment horizontal="center"/>
    </xf>
    <xf numFmtId="164" fontId="0" fillId="5" borderId="17" xfId="1" applyNumberFormat="1" applyFont="1" applyFill="1" applyBorder="1" applyAlignment="1">
      <alignment horizontal="right"/>
    </xf>
    <xf numFmtId="10" fontId="0" fillId="5" borderId="18" xfId="2" applyNumberFormat="1" applyFont="1" applyFill="1" applyBorder="1" applyAlignment="1">
      <alignment horizontal="center"/>
    </xf>
    <xf numFmtId="17" fontId="2" fillId="5" borderId="22" xfId="0" applyNumberFormat="1" applyFont="1" applyFill="1" applyBorder="1" applyAlignment="1">
      <alignment horizontal="center"/>
    </xf>
    <xf numFmtId="164" fontId="0" fillId="5" borderId="23" xfId="1" applyNumberFormat="1" applyFont="1" applyFill="1" applyBorder="1"/>
    <xf numFmtId="164" fontId="0" fillId="5" borderId="23" xfId="0" applyNumberFormat="1" applyFill="1" applyBorder="1" applyAlignment="1">
      <alignment horizontal="left"/>
    </xf>
    <xf numFmtId="10" fontId="0" fillId="5" borderId="23" xfId="2" applyNumberFormat="1" applyFont="1" applyFill="1" applyBorder="1" applyAlignment="1">
      <alignment horizontal="center"/>
    </xf>
    <xf numFmtId="9" fontId="0" fillId="5" borderId="23" xfId="2" applyNumberFormat="1" applyFont="1" applyFill="1" applyBorder="1" applyAlignment="1">
      <alignment horizontal="center"/>
    </xf>
    <xf numFmtId="164" fontId="0" fillId="5" borderId="23" xfId="1" applyNumberFormat="1" applyFont="1" applyFill="1" applyBorder="1" applyAlignment="1">
      <alignment horizontal="right"/>
    </xf>
    <xf numFmtId="10" fontId="0" fillId="5" borderId="24" xfId="2" applyNumberFormat="1" applyFont="1" applyFill="1" applyBorder="1" applyAlignment="1">
      <alignment horizontal="center"/>
    </xf>
    <xf numFmtId="17" fontId="2" fillId="7" borderId="19" xfId="0" applyNumberFormat="1" applyFont="1" applyFill="1" applyBorder="1" applyAlignment="1">
      <alignment horizontal="center"/>
    </xf>
    <xf numFmtId="164" fontId="0" fillId="7" borderId="20" xfId="1" applyNumberFormat="1" applyFont="1" applyFill="1" applyBorder="1"/>
    <xf numFmtId="164" fontId="0" fillId="7" borderId="20" xfId="0" applyNumberFormat="1" applyFill="1" applyBorder="1" applyAlignment="1">
      <alignment horizontal="left"/>
    </xf>
    <xf numFmtId="10" fontId="0" fillId="7" borderId="20" xfId="2" applyNumberFormat="1" applyFont="1" applyFill="1" applyBorder="1" applyAlignment="1">
      <alignment horizontal="center"/>
    </xf>
    <xf numFmtId="9" fontId="0" fillId="7" borderId="20" xfId="2" applyNumberFormat="1" applyFont="1" applyFill="1" applyBorder="1" applyAlignment="1">
      <alignment horizontal="center"/>
    </xf>
    <xf numFmtId="164" fontId="0" fillId="7" borderId="20" xfId="1" applyNumberFormat="1" applyFont="1" applyFill="1" applyBorder="1" applyAlignment="1">
      <alignment horizontal="right"/>
    </xf>
    <xf numFmtId="10" fontId="0" fillId="7" borderId="21" xfId="2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0" fillId="0" borderId="30" xfId="1" applyNumberFormat="1" applyFont="1" applyBorder="1"/>
    <xf numFmtId="164" fontId="0" fillId="0" borderId="33" xfId="1" applyNumberFormat="1" applyFont="1" applyBorder="1"/>
    <xf numFmtId="164" fontId="0" fillId="8" borderId="28" xfId="1" applyNumberFormat="1" applyFont="1" applyFill="1" applyBorder="1"/>
    <xf numFmtId="164" fontId="0" fillId="8" borderId="30" xfId="1" applyNumberFormat="1" applyFont="1" applyFill="1" applyBorder="1"/>
    <xf numFmtId="10" fontId="0" fillId="8" borderId="36" xfId="2" applyNumberFormat="1" applyFont="1" applyFill="1" applyBorder="1" applyAlignment="1">
      <alignment horizontal="center"/>
    </xf>
    <xf numFmtId="10" fontId="0" fillId="0" borderId="37" xfId="2" applyNumberFormat="1" applyFont="1" applyBorder="1" applyAlignment="1">
      <alignment horizontal="center"/>
    </xf>
    <xf numFmtId="10" fontId="0" fillId="8" borderId="37" xfId="2" applyNumberFormat="1" applyFont="1" applyFill="1" applyBorder="1" applyAlignment="1">
      <alignment horizontal="center"/>
    </xf>
    <xf numFmtId="10" fontId="0" fillId="0" borderId="38" xfId="2" applyNumberFormat="1" applyFont="1" applyBorder="1" applyAlignment="1">
      <alignment horizontal="center"/>
    </xf>
    <xf numFmtId="164" fontId="0" fillId="8" borderId="26" xfId="1" applyNumberFormat="1" applyFont="1" applyFill="1" applyBorder="1"/>
    <xf numFmtId="164" fontId="0" fillId="0" borderId="29" xfId="1" applyNumberFormat="1" applyFont="1" applyBorder="1"/>
    <xf numFmtId="164" fontId="0" fillId="8" borderId="29" xfId="1" applyNumberFormat="1" applyFont="1" applyFill="1" applyBorder="1"/>
    <xf numFmtId="164" fontId="0" fillId="0" borderId="31" xfId="1" applyNumberFormat="1" applyFont="1" applyBorder="1"/>
    <xf numFmtId="164" fontId="0" fillId="0" borderId="39" xfId="1" applyNumberFormat="1" applyFont="1" applyBorder="1"/>
    <xf numFmtId="164" fontId="0" fillId="8" borderId="41" xfId="1" applyNumberFormat="1" applyFont="1" applyFill="1" applyBorder="1"/>
    <xf numFmtId="164" fontId="0" fillId="0" borderId="42" xfId="1" applyNumberFormat="1" applyFont="1" applyBorder="1"/>
    <xf numFmtId="164" fontId="0" fillId="0" borderId="44" xfId="1" applyNumberFormat="1" applyFont="1" applyBorder="1"/>
    <xf numFmtId="0" fontId="2" fillId="8" borderId="36" xfId="0" applyFont="1" applyFill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8" borderId="37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43" fontId="0" fillId="9" borderId="25" xfId="0" applyNumberFormat="1" applyFill="1" applyBorder="1"/>
    <xf numFmtId="43" fontId="0" fillId="9" borderId="34" xfId="1" applyFont="1" applyFill="1" applyBorder="1"/>
    <xf numFmtId="43" fontId="0" fillId="9" borderId="29" xfId="1" applyFont="1" applyFill="1" applyBorder="1"/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43" fontId="0" fillId="9" borderId="31" xfId="1" applyFont="1" applyFill="1" applyBorder="1"/>
    <xf numFmtId="10" fontId="0" fillId="0" borderId="0" xfId="2" applyNumberFormat="1" applyFont="1" applyAlignment="1">
      <alignment wrapText="1"/>
    </xf>
    <xf numFmtId="9" fontId="0" fillId="0" borderId="0" xfId="0" applyNumberFormat="1" applyAlignment="1">
      <alignment wrapText="1"/>
    </xf>
    <xf numFmtId="43" fontId="0" fillId="0" borderId="0" xfId="1" applyFont="1" applyAlignment="1">
      <alignment wrapText="1"/>
    </xf>
    <xf numFmtId="2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43" fontId="0" fillId="9" borderId="32" xfId="0" applyNumberFormat="1" applyFill="1" applyBorder="1"/>
    <xf numFmtId="0" fontId="15" fillId="3" borderId="7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5" fillId="3" borderId="8" xfId="0" applyFont="1" applyFill="1" applyBorder="1" applyAlignment="1">
      <alignment horizontal="center" wrapText="1"/>
    </xf>
    <xf numFmtId="0" fontId="15" fillId="3" borderId="11" xfId="0" applyFont="1" applyFill="1" applyBorder="1" applyAlignment="1">
      <alignment horizontal="center" wrapText="1"/>
    </xf>
    <xf numFmtId="0" fontId="15" fillId="3" borderId="0" xfId="0" applyFont="1" applyFill="1" applyBorder="1" applyAlignment="1">
      <alignment horizontal="center" wrapText="1"/>
    </xf>
    <xf numFmtId="0" fontId="15" fillId="3" borderId="52" xfId="0" applyFont="1" applyFill="1" applyBorder="1" applyAlignment="1">
      <alignment horizontal="center" wrapText="1"/>
    </xf>
    <xf numFmtId="0" fontId="15" fillId="3" borderId="53" xfId="0" applyFont="1" applyFill="1" applyBorder="1" applyAlignment="1">
      <alignment horizontal="center" wrapText="1"/>
    </xf>
    <xf numFmtId="0" fontId="15" fillId="3" borderId="54" xfId="0" applyFont="1" applyFill="1" applyBorder="1" applyAlignment="1">
      <alignment horizontal="center" wrapText="1"/>
    </xf>
    <xf numFmtId="0" fontId="15" fillId="3" borderId="5" xfId="0" applyFont="1" applyFill="1" applyBorder="1" applyAlignment="1">
      <alignment horizontal="center" wrapText="1"/>
    </xf>
    <xf numFmtId="0" fontId="15" fillId="3" borderId="6" xfId="0" applyFont="1" applyFill="1" applyBorder="1" applyAlignment="1">
      <alignment horizontal="center" wrapText="1"/>
    </xf>
    <xf numFmtId="0" fontId="0" fillId="0" borderId="0" xfId="0" applyFont="1" applyFill="1" applyAlignment="1">
      <alignment horizontal="left" indent="1"/>
    </xf>
    <xf numFmtId="166" fontId="1" fillId="0" borderId="0" xfId="3" applyNumberFormat="1" applyFont="1" applyFill="1"/>
    <xf numFmtId="166" fontId="1" fillId="10" borderId="0" xfId="3" applyNumberFormat="1" applyFont="1" applyFill="1"/>
    <xf numFmtId="44" fontId="2" fillId="10" borderId="0" xfId="3" applyFont="1" applyFill="1"/>
    <xf numFmtId="0" fontId="2" fillId="0" borderId="0" xfId="0" applyFont="1" applyFill="1" applyAlignment="1">
      <alignment horizontal="center" wrapText="1"/>
    </xf>
    <xf numFmtId="44" fontId="0" fillId="0" borderId="0" xfId="3" applyFont="1" applyFill="1"/>
    <xf numFmtId="44" fontId="0" fillId="0" borderId="0" xfId="3" applyFont="1" applyFill="1" applyAlignment="1">
      <alignment wrapText="1"/>
    </xf>
    <xf numFmtId="173" fontId="0" fillId="0" borderId="0" xfId="3" applyNumberFormat="1" applyFont="1" applyFill="1" applyAlignment="1">
      <alignment wrapText="1"/>
    </xf>
    <xf numFmtId="0" fontId="0" fillId="0" borderId="0" xfId="0" applyFont="1" applyFill="1" applyAlignment="1">
      <alignment horizontal="left" indent="3"/>
    </xf>
    <xf numFmtId="0" fontId="0" fillId="0" borderId="0" xfId="0" applyFont="1" applyFill="1" applyAlignment="1">
      <alignment horizontal="left"/>
    </xf>
    <xf numFmtId="166" fontId="0" fillId="0" borderId="0" xfId="3" applyNumberFormat="1" applyFont="1" applyFill="1"/>
    <xf numFmtId="174" fontId="0" fillId="0" borderId="0" xfId="2" applyNumberFormat="1" applyFont="1" applyFill="1"/>
    <xf numFmtId="166" fontId="2" fillId="0" borderId="0" xfId="0" applyNumberFormat="1" applyFont="1" applyAlignment="1">
      <alignment horizontal="left" indent="3"/>
    </xf>
    <xf numFmtId="0" fontId="18" fillId="0" borderId="25" xfId="0" applyFont="1" applyFill="1" applyBorder="1"/>
    <xf numFmtId="9" fontId="18" fillId="0" borderId="25" xfId="0" applyNumberFormat="1" applyFont="1" applyFill="1" applyBorder="1"/>
    <xf numFmtId="0" fontId="17" fillId="3" borderId="25" xfId="0" applyFont="1" applyFill="1" applyBorder="1" applyAlignment="1">
      <alignment wrapText="1"/>
    </xf>
    <xf numFmtId="0" fontId="17" fillId="3" borderId="25" xfId="0" applyFont="1" applyFill="1" applyBorder="1"/>
    <xf numFmtId="0" fontId="0" fillId="0" borderId="0" xfId="0" applyFill="1" applyBorder="1" applyAlignment="1">
      <alignment horizontal="left" indent="1"/>
    </xf>
    <xf numFmtId="0" fontId="0" fillId="0" borderId="0" xfId="0" applyFill="1" applyBorder="1" applyAlignment="1">
      <alignment horizontal="left"/>
    </xf>
    <xf numFmtId="0" fontId="19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Fill="1" applyBorder="1"/>
    <xf numFmtId="166" fontId="14" fillId="0" borderId="0" xfId="3" applyNumberFormat="1" applyFont="1" applyFill="1" applyBorder="1"/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43" fontId="2" fillId="0" borderId="0" xfId="1" applyFont="1"/>
    <xf numFmtId="164" fontId="0" fillId="0" borderId="30" xfId="0" applyNumberFormat="1" applyBorder="1"/>
    <xf numFmtId="164" fontId="0" fillId="0" borderId="33" xfId="0" applyNumberFormat="1" applyBorder="1"/>
    <xf numFmtId="43" fontId="15" fillId="3" borderId="59" xfId="1" applyFont="1" applyFill="1" applyBorder="1" applyAlignment="1">
      <alignment horizontal="center"/>
    </xf>
    <xf numFmtId="0" fontId="15" fillId="3" borderId="59" xfId="0" applyFont="1" applyFill="1" applyBorder="1" applyAlignment="1">
      <alignment horizontal="center"/>
    </xf>
    <xf numFmtId="0" fontId="15" fillId="3" borderId="60" xfId="0" applyFont="1" applyFill="1" applyBorder="1" applyAlignment="1">
      <alignment horizontal="center"/>
    </xf>
    <xf numFmtId="0" fontId="15" fillId="3" borderId="56" xfId="0" applyFont="1" applyFill="1" applyBorder="1" applyAlignment="1"/>
    <xf numFmtId="0" fontId="15" fillId="3" borderId="66" xfId="0" applyFont="1" applyFill="1" applyBorder="1" applyAlignment="1">
      <alignment horizontal="center"/>
    </xf>
    <xf numFmtId="0" fontId="15" fillId="3" borderId="67" xfId="0" applyFont="1" applyFill="1" applyBorder="1" applyAlignment="1">
      <alignment horizontal="center" wrapText="1"/>
    </xf>
    <xf numFmtId="0" fontId="15" fillId="3" borderId="67" xfId="0" applyFont="1" applyFill="1" applyBorder="1" applyAlignment="1">
      <alignment horizontal="center"/>
    </xf>
    <xf numFmtId="0" fontId="15" fillId="3" borderId="68" xfId="0" applyFont="1" applyFill="1" applyBorder="1" applyAlignment="1">
      <alignment horizontal="center" wrapText="1"/>
    </xf>
    <xf numFmtId="1" fontId="2" fillId="11" borderId="61" xfId="0" applyNumberFormat="1" applyFont="1" applyFill="1" applyBorder="1" applyAlignment="1">
      <alignment horizontal="center"/>
    </xf>
    <xf numFmtId="43" fontId="0" fillId="11" borderId="36" xfId="1" applyFont="1" applyFill="1" applyBorder="1"/>
    <xf numFmtId="43" fontId="0" fillId="11" borderId="26" xfId="0" applyNumberFormat="1" applyFill="1" applyBorder="1"/>
    <xf numFmtId="43" fontId="0" fillId="11" borderId="27" xfId="0" applyNumberFormat="1" applyFill="1" applyBorder="1"/>
    <xf numFmtId="43" fontId="0" fillId="11" borderId="28" xfId="0" applyNumberFormat="1" applyFill="1" applyBorder="1"/>
    <xf numFmtId="43" fontId="2" fillId="11" borderId="36" xfId="0" applyNumberFormat="1" applyFont="1" applyFill="1" applyBorder="1"/>
    <xf numFmtId="164" fontId="0" fillId="11" borderId="26" xfId="0" applyNumberFormat="1" applyFill="1" applyBorder="1"/>
    <xf numFmtId="164" fontId="0" fillId="11" borderId="27" xfId="0" applyNumberFormat="1" applyFill="1" applyBorder="1"/>
    <xf numFmtId="43" fontId="2" fillId="11" borderId="28" xfId="0" applyNumberFormat="1" applyFont="1" applyFill="1" applyBorder="1"/>
    <xf numFmtId="1" fontId="2" fillId="11" borderId="62" xfId="0" applyNumberFormat="1" applyFont="1" applyFill="1" applyBorder="1" applyAlignment="1">
      <alignment horizontal="center"/>
    </xf>
    <xf numFmtId="43" fontId="0" fillId="11" borderId="37" xfId="1" applyFont="1" applyFill="1" applyBorder="1"/>
    <xf numFmtId="43" fontId="0" fillId="11" borderId="29" xfId="0" applyNumberFormat="1" applyFill="1" applyBorder="1"/>
    <xf numFmtId="43" fontId="0" fillId="11" borderId="25" xfId="0" applyNumberFormat="1" applyFill="1" applyBorder="1"/>
    <xf numFmtId="43" fontId="0" fillId="11" borderId="30" xfId="0" applyNumberFormat="1" applyFill="1" applyBorder="1"/>
    <xf numFmtId="43" fontId="2" fillId="11" borderId="37" xfId="0" applyNumberFormat="1" applyFont="1" applyFill="1" applyBorder="1"/>
    <xf numFmtId="164" fontId="0" fillId="11" borderId="29" xfId="0" applyNumberFormat="1" applyFill="1" applyBorder="1"/>
    <xf numFmtId="164" fontId="0" fillId="11" borderId="25" xfId="0" applyNumberFormat="1" applyFill="1" applyBorder="1"/>
    <xf numFmtId="43" fontId="2" fillId="11" borderId="30" xfId="0" applyNumberFormat="1" applyFont="1" applyFill="1" applyBorder="1"/>
    <xf numFmtId="1" fontId="2" fillId="11" borderId="63" xfId="0" applyNumberFormat="1" applyFont="1" applyFill="1" applyBorder="1" applyAlignment="1">
      <alignment horizontal="center"/>
    </xf>
    <xf numFmtId="43" fontId="0" fillId="11" borderId="38" xfId="1" applyFont="1" applyFill="1" applyBorder="1"/>
    <xf numFmtId="43" fontId="0" fillId="11" borderId="31" xfId="0" applyNumberFormat="1" applyFill="1" applyBorder="1"/>
    <xf numFmtId="43" fontId="0" fillId="11" borderId="32" xfId="0" applyNumberFormat="1" applyFill="1" applyBorder="1"/>
    <xf numFmtId="43" fontId="0" fillId="11" borderId="33" xfId="0" applyNumberFormat="1" applyFill="1" applyBorder="1"/>
    <xf numFmtId="43" fontId="2" fillId="11" borderId="38" xfId="0" applyNumberFormat="1" applyFont="1" applyFill="1" applyBorder="1"/>
    <xf numFmtId="164" fontId="0" fillId="11" borderId="31" xfId="0" applyNumberFormat="1" applyFill="1" applyBorder="1"/>
    <xf numFmtId="164" fontId="0" fillId="11" borderId="32" xfId="0" applyNumberFormat="1" applyFill="1" applyBorder="1"/>
    <xf numFmtId="43" fontId="2" fillId="11" borderId="33" xfId="0" applyNumberFormat="1" applyFont="1" applyFill="1" applyBorder="1"/>
    <xf numFmtId="0" fontId="15" fillId="3" borderId="74" xfId="0" applyFont="1" applyFill="1" applyBorder="1" applyAlignment="1"/>
    <xf numFmtId="0" fontId="15" fillId="3" borderId="76" xfId="0" applyFont="1" applyFill="1" applyBorder="1" applyAlignment="1">
      <alignment horizontal="center" wrapText="1"/>
    </xf>
    <xf numFmtId="43" fontId="2" fillId="11" borderId="45" xfId="0" applyNumberFormat="1" applyFont="1" applyFill="1" applyBorder="1"/>
    <xf numFmtId="43" fontId="0" fillId="0" borderId="0" xfId="1" applyFont="1" applyFill="1" applyBorder="1"/>
    <xf numFmtId="43" fontId="0" fillId="11" borderId="36" xfId="1" applyNumberFormat="1" applyFont="1" applyFill="1" applyBorder="1"/>
    <xf numFmtId="43" fontId="0" fillId="11" borderId="37" xfId="1" applyNumberFormat="1" applyFont="1" applyFill="1" applyBorder="1"/>
    <xf numFmtId="43" fontId="0" fillId="11" borderId="38" xfId="1" applyNumberFormat="1" applyFont="1" applyFill="1" applyBorder="1"/>
    <xf numFmtId="0" fontId="15" fillId="3" borderId="75" xfId="0" applyFont="1" applyFill="1" applyBorder="1" applyAlignment="1">
      <alignment horizontal="center"/>
    </xf>
    <xf numFmtId="0" fontId="20" fillId="0" borderId="0" xfId="0" applyFont="1"/>
    <xf numFmtId="0" fontId="17" fillId="3" borderId="77" xfId="0" applyFont="1" applyFill="1" applyBorder="1"/>
    <xf numFmtId="0" fontId="15" fillId="3" borderId="78" xfId="0" applyFont="1" applyFill="1" applyBorder="1" applyAlignment="1">
      <alignment horizontal="center"/>
    </xf>
    <xf numFmtId="0" fontId="15" fillId="3" borderId="66" xfId="0" applyFont="1" applyFill="1" applyBorder="1" applyAlignment="1">
      <alignment horizontal="center" wrapText="1"/>
    </xf>
    <xf numFmtId="43" fontId="0" fillId="11" borderId="47" xfId="0" applyNumberFormat="1" applyFill="1" applyBorder="1"/>
    <xf numFmtId="43" fontId="0" fillId="11" borderId="48" xfId="0" applyNumberFormat="1" applyFill="1" applyBorder="1"/>
    <xf numFmtId="43" fontId="0" fillId="11" borderId="46" xfId="0" applyNumberFormat="1" applyFill="1" applyBorder="1"/>
    <xf numFmtId="43" fontId="0" fillId="11" borderId="40" xfId="0" applyNumberFormat="1" applyFill="1" applyBorder="1"/>
    <xf numFmtId="43" fontId="0" fillId="11" borderId="79" xfId="0" applyNumberFormat="1" applyFill="1" applyBorder="1"/>
    <xf numFmtId="43" fontId="0" fillId="11" borderId="51" xfId="0" applyNumberFormat="1" applyFill="1" applyBorder="1"/>
    <xf numFmtId="43" fontId="2" fillId="11" borderId="4" xfId="0" applyNumberFormat="1" applyFont="1" applyFill="1" applyBorder="1"/>
    <xf numFmtId="0" fontId="15" fillId="3" borderId="74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17" fontId="0" fillId="0" borderId="0" xfId="0" applyNumberFormat="1" applyFill="1" applyBorder="1"/>
    <xf numFmtId="43" fontId="2" fillId="11" borderId="36" xfId="1" applyFont="1" applyFill="1" applyBorder="1"/>
    <xf numFmtId="43" fontId="2" fillId="11" borderId="37" xfId="1" applyFont="1" applyFill="1" applyBorder="1"/>
    <xf numFmtId="43" fontId="2" fillId="11" borderId="38" xfId="1" applyFont="1" applyFill="1" applyBorder="1"/>
    <xf numFmtId="164" fontId="2" fillId="0" borderId="36" xfId="1" applyNumberFormat="1" applyFont="1" applyBorder="1" applyAlignment="1">
      <alignment horizontal="center"/>
    </xf>
    <xf numFmtId="164" fontId="2" fillId="0" borderId="37" xfId="0" applyNumberFormat="1" applyFont="1" applyBorder="1" applyAlignment="1">
      <alignment horizontal="right"/>
    </xf>
    <xf numFmtId="164" fontId="2" fillId="0" borderId="38" xfId="0" applyNumberFormat="1" applyFont="1" applyBorder="1" applyAlignment="1">
      <alignment horizontal="right"/>
    </xf>
    <xf numFmtId="164" fontId="0" fillId="11" borderId="25" xfId="1" applyNumberFormat="1" applyFont="1" applyFill="1" applyBorder="1"/>
    <xf numFmtId="164" fontId="0" fillId="11" borderId="30" xfId="1" applyNumberFormat="1" applyFont="1" applyFill="1" applyBorder="1"/>
    <xf numFmtId="164" fontId="0" fillId="11" borderId="32" xfId="1" applyNumberFormat="1" applyFont="1" applyFill="1" applyBorder="1"/>
    <xf numFmtId="164" fontId="0" fillId="11" borderId="33" xfId="1" applyNumberFormat="1" applyFont="1" applyFill="1" applyBorder="1"/>
    <xf numFmtId="0" fontId="0" fillId="11" borderId="37" xfId="0" applyFill="1" applyBorder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62" xfId="0" applyFill="1" applyBorder="1" applyAlignment="1">
      <alignment horizontal="center"/>
    </xf>
    <xf numFmtId="0" fontId="0" fillId="11" borderId="63" xfId="0" applyFill="1" applyBorder="1" applyAlignment="1">
      <alignment horizontal="center"/>
    </xf>
    <xf numFmtId="0" fontId="0" fillId="11" borderId="80" xfId="0" applyFill="1" applyBorder="1" applyAlignment="1">
      <alignment horizontal="center"/>
    </xf>
    <xf numFmtId="164" fontId="0" fillId="0" borderId="46" xfId="1" applyNumberFormat="1" applyFont="1" applyBorder="1"/>
    <xf numFmtId="164" fontId="0" fillId="0" borderId="48" xfId="0" applyNumberFormat="1" applyBorder="1"/>
    <xf numFmtId="44" fontId="0" fillId="0" borderId="46" xfId="3" applyFont="1" applyBorder="1"/>
    <xf numFmtId="44" fontId="0" fillId="0" borderId="29" xfId="3" applyFont="1" applyBorder="1"/>
    <xf numFmtId="44" fontId="0" fillId="0" borderId="31" xfId="3" applyFont="1" applyBorder="1"/>
    <xf numFmtId="43" fontId="20" fillId="0" borderId="0" xfId="0" applyNumberFormat="1" applyFont="1"/>
    <xf numFmtId="44" fontId="0" fillId="0" borderId="0" xfId="3" applyFont="1" applyBorder="1"/>
    <xf numFmtId="0" fontId="0" fillId="0" borderId="0" xfId="0" applyFill="1" applyBorder="1" applyAlignment="1">
      <alignment horizontal="center"/>
    </xf>
    <xf numFmtId="43" fontId="0" fillId="0" borderId="0" xfId="1" applyFont="1" applyFill="1"/>
    <xf numFmtId="43" fontId="0" fillId="0" borderId="0" xfId="0" applyNumberFormat="1" applyFill="1"/>
    <xf numFmtId="44" fontId="0" fillId="0" borderId="0" xfId="3" applyFont="1" applyFill="1" applyBorder="1"/>
    <xf numFmtId="0" fontId="0" fillId="11" borderId="45" xfId="0" applyFill="1" applyBorder="1" applyAlignment="1">
      <alignment horizontal="center"/>
    </xf>
    <xf numFmtId="0" fontId="15" fillId="3" borderId="81" xfId="0" applyFont="1" applyFill="1" applyBorder="1" applyAlignment="1">
      <alignment horizontal="center"/>
    </xf>
    <xf numFmtId="44" fontId="0" fillId="0" borderId="50" xfId="3" applyFont="1" applyBorder="1"/>
    <xf numFmtId="44" fontId="0" fillId="0" borderId="42" xfId="3" applyFont="1" applyBorder="1"/>
    <xf numFmtId="44" fontId="0" fillId="0" borderId="43" xfId="3" applyFont="1" applyBorder="1"/>
    <xf numFmtId="166" fontId="2" fillId="0" borderId="0" xfId="3" applyNumberFormat="1" applyFont="1" applyBorder="1"/>
    <xf numFmtId="166" fontId="2" fillId="0" borderId="0" xfId="0" applyNumberFormat="1" applyFont="1" applyBorder="1"/>
    <xf numFmtId="43" fontId="0" fillId="11" borderId="36" xfId="1" applyNumberFormat="1" applyFont="1" applyFill="1" applyBorder="1" applyAlignment="1">
      <alignment horizontal="left" indent="2"/>
    </xf>
    <xf numFmtId="0" fontId="15" fillId="3" borderId="67" xfId="0" applyFont="1" applyFill="1" applyBorder="1" applyAlignment="1"/>
    <xf numFmtId="0" fontId="15" fillId="3" borderId="67" xfId="0" applyFont="1" applyFill="1" applyBorder="1" applyAlignment="1">
      <alignment horizontal="center"/>
    </xf>
    <xf numFmtId="166" fontId="2" fillId="0" borderId="47" xfId="3" applyNumberFormat="1" applyFont="1" applyBorder="1"/>
    <xf numFmtId="166" fontId="2" fillId="0" borderId="47" xfId="0" applyNumberFormat="1" applyFont="1" applyBorder="1"/>
    <xf numFmtId="0" fontId="15" fillId="3" borderId="82" xfId="0" applyFont="1" applyFill="1" applyBorder="1" applyAlignment="1">
      <alignment horizontal="center"/>
    </xf>
    <xf numFmtId="44" fontId="0" fillId="0" borderId="36" xfId="0" applyNumberFormat="1" applyBorder="1"/>
    <xf numFmtId="44" fontId="0" fillId="0" borderId="37" xfId="0" applyNumberFormat="1" applyBorder="1"/>
    <xf numFmtId="44" fontId="0" fillId="0" borderId="38" xfId="0" applyNumberFormat="1" applyBorder="1"/>
    <xf numFmtId="43" fontId="0" fillId="9" borderId="26" xfId="1" applyFont="1" applyFill="1" applyBorder="1"/>
    <xf numFmtId="43" fontId="0" fillId="9" borderId="27" xfId="0" applyNumberFormat="1" applyFill="1" applyBorder="1"/>
    <xf numFmtId="0" fontId="0" fillId="9" borderId="28" xfId="0" applyFill="1" applyBorder="1"/>
    <xf numFmtId="44" fontId="0" fillId="9" borderId="48" xfId="3" applyFont="1" applyFill="1" applyBorder="1"/>
    <xf numFmtId="43" fontId="0" fillId="9" borderId="49" xfId="1" applyFont="1" applyFill="1" applyBorder="1"/>
    <xf numFmtId="44" fontId="0" fillId="9" borderId="50" xfId="3" applyFont="1" applyFill="1" applyBorder="1"/>
    <xf numFmtId="44" fontId="0" fillId="9" borderId="36" xfId="3" applyFont="1" applyFill="1" applyBorder="1"/>
    <xf numFmtId="164" fontId="0" fillId="9" borderId="46" xfId="1" applyNumberFormat="1" applyFont="1" applyFill="1" applyBorder="1"/>
    <xf numFmtId="0" fontId="0" fillId="9" borderId="30" xfId="0" applyFill="1" applyBorder="1"/>
    <xf numFmtId="0" fontId="0" fillId="9" borderId="34" xfId="0" applyFill="1" applyBorder="1"/>
    <xf numFmtId="44" fontId="0" fillId="9" borderId="30" xfId="3" applyFont="1" applyFill="1" applyBorder="1"/>
    <xf numFmtId="44" fontId="0" fillId="9" borderId="42" xfId="3" applyFont="1" applyFill="1" applyBorder="1"/>
    <xf numFmtId="44" fontId="0" fillId="9" borderId="37" xfId="3" applyFont="1" applyFill="1" applyBorder="1"/>
    <xf numFmtId="164" fontId="0" fillId="9" borderId="29" xfId="1" applyNumberFormat="1" applyFont="1" applyFill="1" applyBorder="1"/>
    <xf numFmtId="0" fontId="0" fillId="9" borderId="33" xfId="0" applyFill="1" applyBorder="1"/>
    <xf numFmtId="0" fontId="0" fillId="9" borderId="35" xfId="0" applyFill="1" applyBorder="1"/>
    <xf numFmtId="44" fontId="0" fillId="9" borderId="33" xfId="3" applyFont="1" applyFill="1" applyBorder="1"/>
    <xf numFmtId="43" fontId="0" fillId="9" borderId="35" xfId="1" applyFont="1" applyFill="1" applyBorder="1"/>
    <xf numFmtId="44" fontId="0" fillId="9" borderId="43" xfId="3" applyFont="1" applyFill="1" applyBorder="1"/>
    <xf numFmtId="44" fontId="0" fillId="9" borderId="38" xfId="3" applyFont="1" applyFill="1" applyBorder="1"/>
    <xf numFmtId="164" fontId="0" fillId="9" borderId="31" xfId="1" applyNumberFormat="1" applyFont="1" applyFill="1" applyBorder="1"/>
    <xf numFmtId="164" fontId="0" fillId="9" borderId="47" xfId="1" applyNumberFormat="1" applyFont="1" applyFill="1" applyBorder="1"/>
    <xf numFmtId="164" fontId="0" fillId="9" borderId="48" xfId="0" applyNumberFormat="1" applyFill="1" applyBorder="1"/>
    <xf numFmtId="44" fontId="0" fillId="9" borderId="46" xfId="3" applyFont="1" applyFill="1" applyBorder="1"/>
    <xf numFmtId="44" fontId="0" fillId="9" borderId="47" xfId="3" applyFont="1" applyFill="1" applyBorder="1"/>
    <xf numFmtId="44" fontId="2" fillId="9" borderId="48" xfId="0" applyNumberFormat="1" applyFont="1" applyFill="1" applyBorder="1"/>
    <xf numFmtId="164" fontId="0" fillId="9" borderId="25" xfId="1" applyNumberFormat="1" applyFont="1" applyFill="1" applyBorder="1"/>
    <xf numFmtId="164" fontId="0" fillId="9" borderId="30" xfId="0" applyNumberFormat="1" applyFill="1" applyBorder="1"/>
    <xf numFmtId="44" fontId="0" fillId="9" borderId="29" xfId="3" applyFont="1" applyFill="1" applyBorder="1"/>
    <xf numFmtId="44" fontId="0" fillId="9" borderId="25" xfId="3" applyFont="1" applyFill="1" applyBorder="1"/>
    <xf numFmtId="44" fontId="2" fillId="9" borderId="30" xfId="0" applyNumberFormat="1" applyFont="1" applyFill="1" applyBorder="1"/>
    <xf numFmtId="164" fontId="0" fillId="9" borderId="32" xfId="1" applyNumberFormat="1" applyFont="1" applyFill="1" applyBorder="1"/>
    <xf numFmtId="164" fontId="0" fillId="9" borderId="33" xfId="0" applyNumberFormat="1" applyFill="1" applyBorder="1"/>
    <xf numFmtId="44" fontId="0" fillId="9" borderId="31" xfId="3" applyFont="1" applyFill="1" applyBorder="1"/>
    <xf numFmtId="44" fontId="0" fillId="9" borderId="32" xfId="3" applyFont="1" applyFill="1" applyBorder="1"/>
    <xf numFmtId="44" fontId="2" fillId="9" borderId="33" xfId="0" applyNumberFormat="1" applyFont="1" applyFill="1" applyBorder="1"/>
    <xf numFmtId="164" fontId="0" fillId="9" borderId="34" xfId="1" applyNumberFormat="1" applyFont="1" applyFill="1" applyBorder="1"/>
    <xf numFmtId="164" fontId="0" fillId="9" borderId="35" xfId="1" applyNumberFormat="1" applyFont="1" applyFill="1" applyBorder="1"/>
    <xf numFmtId="164" fontId="0" fillId="9" borderId="49" xfId="1" applyNumberFormat="1" applyFont="1" applyFill="1" applyBorder="1"/>
    <xf numFmtId="0" fontId="0" fillId="0" borderId="0" xfId="0" quotePrefix="1"/>
    <xf numFmtId="0" fontId="12" fillId="5" borderId="5" xfId="0" applyFont="1" applyFill="1" applyBorder="1" applyAlignment="1">
      <alignment horizontal="center" vertical="top" wrapText="1"/>
    </xf>
    <xf numFmtId="0" fontId="12" fillId="5" borderId="8" xfId="0" applyFont="1" applyFill="1" applyBorder="1" applyAlignment="1">
      <alignment horizontal="center" vertical="top" wrapText="1"/>
    </xf>
    <xf numFmtId="0" fontId="12" fillId="5" borderId="9" xfId="0" applyFont="1" applyFill="1" applyBorder="1" applyAlignment="1">
      <alignment horizontal="center" vertical="top" wrapText="1"/>
    </xf>
    <xf numFmtId="0" fontId="15" fillId="3" borderId="2" xfId="0" applyFont="1" applyFill="1" applyBorder="1" applyAlignment="1">
      <alignment horizontal="center" wrapText="1"/>
    </xf>
    <xf numFmtId="0" fontId="15" fillId="3" borderId="3" xfId="0" applyFont="1" applyFill="1" applyBorder="1" applyAlignment="1">
      <alignment horizontal="center" wrapText="1"/>
    </xf>
    <xf numFmtId="0" fontId="15" fillId="3" borderId="55" xfId="0" applyFont="1" applyFill="1" applyBorder="1" applyAlignment="1">
      <alignment horizontal="center"/>
    </xf>
    <xf numFmtId="0" fontId="15" fillId="3" borderId="58" xfId="0" applyFont="1" applyFill="1" applyBorder="1" applyAlignment="1">
      <alignment horizontal="center"/>
    </xf>
    <xf numFmtId="0" fontId="15" fillId="3" borderId="56" xfId="0" applyFont="1" applyFill="1" applyBorder="1" applyAlignment="1">
      <alignment horizontal="center"/>
    </xf>
    <xf numFmtId="0" fontId="15" fillId="3" borderId="59" xfId="0" applyFont="1" applyFill="1" applyBorder="1" applyAlignment="1">
      <alignment horizontal="center"/>
    </xf>
    <xf numFmtId="43" fontId="15" fillId="3" borderId="56" xfId="1" applyFont="1" applyFill="1" applyBorder="1" applyAlignment="1">
      <alignment horizontal="center"/>
    </xf>
    <xf numFmtId="0" fontId="15" fillId="3" borderId="57" xfId="0" applyFont="1" applyFill="1" applyBorder="1" applyAlignment="1">
      <alignment horizontal="center"/>
    </xf>
    <xf numFmtId="0" fontId="15" fillId="3" borderId="73" xfId="0" applyFont="1" applyFill="1" applyBorder="1" applyAlignment="1">
      <alignment horizontal="center"/>
    </xf>
    <xf numFmtId="0" fontId="15" fillId="3" borderId="64" xfId="0" applyFont="1" applyFill="1" applyBorder="1" applyAlignment="1">
      <alignment horizontal="center"/>
    </xf>
    <xf numFmtId="0" fontId="15" fillId="3" borderId="65" xfId="0" applyFont="1" applyFill="1" applyBorder="1" applyAlignment="1">
      <alignment horizontal="center"/>
    </xf>
    <xf numFmtId="0" fontId="15" fillId="3" borderId="69" xfId="0" applyFont="1" applyFill="1" applyBorder="1" applyAlignment="1">
      <alignment horizontal="center"/>
    </xf>
    <xf numFmtId="0" fontId="15" fillId="3" borderId="70" xfId="0" applyFont="1" applyFill="1" applyBorder="1" applyAlignment="1">
      <alignment horizontal="center"/>
    </xf>
    <xf numFmtId="0" fontId="15" fillId="3" borderId="71" xfId="0" applyFont="1" applyFill="1" applyBorder="1" applyAlignment="1">
      <alignment horizontal="center" wrapText="1"/>
    </xf>
    <xf numFmtId="0" fontId="15" fillId="3" borderId="72" xfId="0" applyFont="1" applyFill="1" applyBorder="1" applyAlignment="1">
      <alignment horizontal="center" wrapText="1"/>
    </xf>
    <xf numFmtId="0" fontId="15" fillId="3" borderId="83" xfId="0" applyFont="1" applyFill="1" applyBorder="1" applyAlignment="1">
      <alignment horizontal="center"/>
    </xf>
    <xf numFmtId="0" fontId="15" fillId="3" borderId="84" xfId="0" applyFont="1" applyFill="1" applyBorder="1" applyAlignment="1">
      <alignment horizontal="center"/>
    </xf>
    <xf numFmtId="0" fontId="15" fillId="3" borderId="66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1" fillId="0" borderId="25" xfId="1" applyNumberFormat="1" applyFont="1" applyBorder="1" applyAlignment="1">
      <alignment horizontal="center"/>
    </xf>
    <xf numFmtId="164" fontId="0" fillId="0" borderId="25" xfId="0" applyNumberFormat="1" applyBorder="1"/>
    <xf numFmtId="0" fontId="15" fillId="3" borderId="27" xfId="0" applyFont="1" applyFill="1" applyBorder="1" applyAlignment="1">
      <alignment horizontal="center"/>
    </xf>
    <xf numFmtId="0" fontId="15" fillId="3" borderId="28" xfId="0" applyFont="1" applyFill="1" applyBorder="1" applyAlignment="1">
      <alignment horizontal="center"/>
    </xf>
    <xf numFmtId="0" fontId="2" fillId="12" borderId="29" xfId="0" applyFont="1" applyFill="1" applyBorder="1" applyAlignment="1">
      <alignment horizontal="center"/>
    </xf>
    <xf numFmtId="0" fontId="2" fillId="12" borderId="31" xfId="0" applyFont="1" applyFill="1" applyBorder="1" applyAlignment="1">
      <alignment horizontal="center"/>
    </xf>
    <xf numFmtId="164" fontId="1" fillId="0" borderId="32" xfId="1" applyNumberFormat="1" applyFont="1" applyBorder="1" applyAlignment="1">
      <alignment horizontal="center"/>
    </xf>
    <xf numFmtId="164" fontId="0" fillId="0" borderId="32" xfId="0" applyNumberFormat="1" applyBorder="1"/>
    <xf numFmtId="0" fontId="2" fillId="12" borderId="46" xfId="0" applyFont="1" applyFill="1" applyBorder="1" applyAlignment="1">
      <alignment horizontal="center"/>
    </xf>
    <xf numFmtId="164" fontId="1" fillId="0" borderId="47" xfId="1" applyNumberFormat="1" applyFont="1" applyBorder="1" applyAlignment="1">
      <alignment horizontal="center"/>
    </xf>
    <xf numFmtId="164" fontId="0" fillId="0" borderId="47" xfId="0" applyNumberFormat="1" applyBorder="1"/>
    <xf numFmtId="164" fontId="0" fillId="0" borderId="48" xfId="1" applyNumberFormat="1" applyFont="1" applyBorder="1"/>
    <xf numFmtId="0" fontId="15" fillId="3" borderId="32" xfId="0" applyFont="1" applyFill="1" applyBorder="1"/>
    <xf numFmtId="0" fontId="15" fillId="3" borderId="33" xfId="0" applyFont="1" applyFill="1" applyBorder="1"/>
    <xf numFmtId="0" fontId="15" fillId="3" borderId="31" xfId="0" applyFont="1" applyFill="1" applyBorder="1" applyAlignment="1">
      <alignment horizontal="center"/>
    </xf>
    <xf numFmtId="0" fontId="15" fillId="3" borderId="26" xfId="0" applyFont="1" applyFill="1" applyBorder="1" applyAlignment="1"/>
    <xf numFmtId="1" fontId="0" fillId="9" borderId="34" xfId="0" applyNumberFormat="1" applyFill="1" applyBorder="1"/>
    <xf numFmtId="166" fontId="2" fillId="0" borderId="0" xfId="3" applyNumberFormat="1" applyFont="1" applyFill="1" applyBorder="1"/>
    <xf numFmtId="166" fontId="2" fillId="0" borderId="0" xfId="0" applyNumberFormat="1" applyFont="1" applyFill="1" applyBorder="1"/>
    <xf numFmtId="0" fontId="2" fillId="0" borderId="0" xfId="0" applyFont="1" applyFill="1" applyBorder="1"/>
    <xf numFmtId="0" fontId="15" fillId="13" borderId="55" xfId="0" applyFont="1" applyFill="1" applyBorder="1" applyAlignment="1">
      <alignment horizontal="center"/>
    </xf>
    <xf numFmtId="0" fontId="15" fillId="13" borderId="66" xfId="0" applyFont="1" applyFill="1" applyBorder="1" applyAlignment="1">
      <alignment horizontal="center"/>
    </xf>
    <xf numFmtId="0" fontId="15" fillId="13" borderId="67" xfId="0" applyFont="1" applyFill="1" applyBorder="1" applyAlignment="1">
      <alignment horizontal="center"/>
    </xf>
    <xf numFmtId="0" fontId="15" fillId="13" borderId="74" xfId="0" applyFont="1" applyFill="1" applyBorder="1" applyAlignment="1">
      <alignment horizontal="center"/>
    </xf>
    <xf numFmtId="0" fontId="15" fillId="13" borderId="75" xfId="0" applyFont="1" applyFill="1" applyBorder="1" applyAlignment="1">
      <alignment horizontal="center"/>
    </xf>
    <xf numFmtId="0" fontId="22" fillId="0" borderId="0" xfId="0" applyFont="1"/>
    <xf numFmtId="0" fontId="15" fillId="3" borderId="85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15" fillId="3" borderId="68" xfId="0" applyFont="1" applyFill="1" applyBorder="1" applyAlignment="1">
      <alignment horizontal="center"/>
    </xf>
    <xf numFmtId="164" fontId="0" fillId="0" borderId="25" xfId="1" applyNumberFormat="1" applyFont="1" applyFill="1" applyBorder="1"/>
    <xf numFmtId="164" fontId="0" fillId="0" borderId="25" xfId="0" applyNumberFormat="1" applyFill="1" applyBorder="1"/>
    <xf numFmtId="43" fontId="0" fillId="0" borderId="25" xfId="0" applyNumberFormat="1" applyFill="1" applyBorder="1"/>
    <xf numFmtId="44" fontId="0" fillId="0" borderId="25" xfId="3" applyFont="1" applyFill="1" applyBorder="1"/>
    <xf numFmtId="43" fontId="0" fillId="0" borderId="30" xfId="0" applyNumberFormat="1" applyFill="1" applyBorder="1"/>
    <xf numFmtId="164" fontId="0" fillId="0" borderId="32" xfId="1" applyNumberFormat="1" applyFont="1" applyFill="1" applyBorder="1"/>
    <xf numFmtId="164" fontId="0" fillId="0" borderId="32" xfId="0" applyNumberFormat="1" applyFill="1" applyBorder="1"/>
    <xf numFmtId="43" fontId="0" fillId="0" borderId="32" xfId="0" applyNumberFormat="1" applyFill="1" applyBorder="1"/>
    <xf numFmtId="44" fontId="0" fillId="0" borderId="32" xfId="3" applyFont="1" applyFill="1" applyBorder="1"/>
    <xf numFmtId="43" fontId="0" fillId="0" borderId="33" xfId="0" applyNumberFormat="1" applyFill="1" applyBorder="1"/>
    <xf numFmtId="164" fontId="0" fillId="0" borderId="47" xfId="1" applyNumberFormat="1" applyFont="1" applyFill="1" applyBorder="1"/>
    <xf numFmtId="164" fontId="0" fillId="0" borderId="47" xfId="0" applyNumberFormat="1" applyFill="1" applyBorder="1"/>
    <xf numFmtId="43" fontId="0" fillId="0" borderId="47" xfId="0" applyNumberFormat="1" applyFill="1" applyBorder="1"/>
    <xf numFmtId="44" fontId="0" fillId="0" borderId="47" xfId="3" applyFont="1" applyFill="1" applyBorder="1"/>
    <xf numFmtId="43" fontId="0" fillId="0" borderId="48" xfId="0" applyNumberFormat="1" applyFill="1" applyBorder="1"/>
    <xf numFmtId="0" fontId="15" fillId="3" borderId="76" xfId="0" applyFont="1" applyFill="1" applyBorder="1" applyAlignment="1">
      <alignment horizontal="center"/>
    </xf>
    <xf numFmtId="166" fontId="2" fillId="0" borderId="51" xfId="3" applyNumberFormat="1" applyFont="1" applyBorder="1"/>
    <xf numFmtId="166" fontId="2" fillId="0" borderId="40" xfId="3" applyNumberFormat="1" applyFont="1" applyBorder="1"/>
    <xf numFmtId="166" fontId="2" fillId="0" borderId="79" xfId="0" applyNumberFormat="1" applyFont="1" applyBorder="1"/>
    <xf numFmtId="0" fontId="0" fillId="0" borderId="0" xfId="0" applyFill="1" applyAlignment="1">
      <alignment wrapText="1"/>
    </xf>
    <xf numFmtId="44" fontId="0" fillId="0" borderId="87" xfId="3" applyFont="1" applyBorder="1"/>
    <xf numFmtId="44" fontId="0" fillId="0" borderId="88" xfId="3" applyFont="1" applyBorder="1"/>
    <xf numFmtId="44" fontId="0" fillId="0" borderId="89" xfId="3" applyFont="1" applyBorder="1"/>
    <xf numFmtId="0" fontId="15" fillId="13" borderId="56" xfId="0" applyFont="1" applyFill="1" applyBorder="1" applyAlignment="1"/>
    <xf numFmtId="0" fontId="15" fillId="13" borderId="73" xfId="0" applyFont="1" applyFill="1" applyBorder="1" applyAlignment="1">
      <alignment horizontal="center"/>
    </xf>
    <xf numFmtId="0" fontId="15" fillId="13" borderId="64" xfId="0" applyFont="1" applyFill="1" applyBorder="1" applyAlignment="1">
      <alignment horizontal="center"/>
    </xf>
    <xf numFmtId="0" fontId="23" fillId="0" borderId="0" xfId="0" applyFont="1" applyFill="1"/>
    <xf numFmtId="0" fontId="23" fillId="0" borderId="0" xfId="0" applyFont="1" applyFill="1" applyBorder="1"/>
    <xf numFmtId="0" fontId="15" fillId="13" borderId="65" xfId="0" applyFont="1" applyFill="1" applyBorder="1" applyAlignment="1">
      <alignment horizontal="center"/>
    </xf>
    <xf numFmtId="0" fontId="15" fillId="13" borderId="68" xfId="0" applyFont="1" applyFill="1" applyBorder="1" applyAlignment="1">
      <alignment horizontal="center"/>
    </xf>
    <xf numFmtId="0" fontId="15" fillId="13" borderId="76" xfId="0" applyFont="1" applyFill="1" applyBorder="1" applyAlignment="1">
      <alignment horizontal="center"/>
    </xf>
    <xf numFmtId="0" fontId="15" fillId="3" borderId="86" xfId="0" applyFont="1" applyFill="1" applyBorder="1" applyAlignment="1">
      <alignment horizontal="center"/>
    </xf>
    <xf numFmtId="0" fontId="15" fillId="3" borderId="57" xfId="0" applyFont="1" applyFill="1" applyBorder="1" applyAlignment="1">
      <alignment horizontal="center" wrapText="1"/>
    </xf>
    <xf numFmtId="0" fontId="15" fillId="3" borderId="68" xfId="0" applyFont="1" applyFill="1" applyBorder="1" applyAlignment="1">
      <alignment horizontal="center" wrapText="1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9" defaultPivotStyle="PivotStyleMedium7"/>
  <colors>
    <mruColors>
      <color rgb="FF7A81FF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DC Architecture Comparison - Total Resources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Summary!$B$27</c:f>
              <c:strCache>
                <c:ptCount val="1"/>
                <c:pt idx="0">
                  <c:v>Servers/Cloud Svcs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Summary!$C$26:$E$26</c:f>
              <c:strCache>
                <c:ptCount val="3"/>
                <c:pt idx="0">
                  <c:v> Centralized </c:v>
                </c:pt>
                <c:pt idx="1">
                  <c:v> Distributed </c:v>
                </c:pt>
                <c:pt idx="2">
                  <c:v> Cloud </c:v>
                </c:pt>
              </c:strCache>
            </c:strRef>
          </c:cat>
          <c:val>
            <c:numRef>
              <c:f>Summary!$C$27:$E$27</c:f>
              <c:numCache>
                <c:formatCode>_(* #,##0_);_(* \(#,##0\);_(* "-"??_);_(@_)</c:formatCode>
                <c:ptCount val="3"/>
                <c:pt idx="0">
                  <c:v>1754</c:v>
                </c:pt>
                <c:pt idx="1">
                  <c:v>2438</c:v>
                </c:pt>
                <c:pt idx="2" formatCode="_(&quot;$&quot;* #,##0_);_(&quot;$&quot;* \(#,##0\);_(&quot;$&quot;* &quot;-&quot;??_);_(@_)">
                  <c:v>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D-9D45-99E3-C71304C5D28D}"/>
            </c:ext>
          </c:extLst>
        </c:ser>
        <c:ser>
          <c:idx val="1"/>
          <c:order val="1"/>
          <c:tx>
            <c:strRef>
              <c:f>Summary!$B$28</c:f>
              <c:strCache>
                <c:ptCount val="1"/>
                <c:pt idx="0">
                  <c:v>Router Cards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Summary!$C$26:$E$26</c:f>
              <c:strCache>
                <c:ptCount val="3"/>
                <c:pt idx="0">
                  <c:v> Centralized </c:v>
                </c:pt>
                <c:pt idx="1">
                  <c:v> Distributed </c:v>
                </c:pt>
                <c:pt idx="2">
                  <c:v> Cloud </c:v>
                </c:pt>
              </c:strCache>
            </c:strRef>
          </c:cat>
          <c:val>
            <c:numRef>
              <c:f>Summary!$C$28:$D$28</c:f>
              <c:numCache>
                <c:formatCode>_(* #,##0_);_(* \(#,##0\);_(* "-"??_);_(@_)</c:formatCode>
                <c:ptCount val="2"/>
                <c:pt idx="0">
                  <c:v>1256</c:v>
                </c:pt>
                <c:pt idx="1">
                  <c:v>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4D-9D45-99E3-C71304C5D28D}"/>
            </c:ext>
          </c:extLst>
        </c:ser>
        <c:ser>
          <c:idx val="2"/>
          <c:order val="2"/>
          <c:tx>
            <c:strRef>
              <c:f>Summary!$B$29</c:f>
              <c:strCache>
                <c:ptCount val="1"/>
                <c:pt idx="0">
                  <c:v>Router Shelves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Summary!$C$26:$E$26</c:f>
              <c:strCache>
                <c:ptCount val="3"/>
                <c:pt idx="0">
                  <c:v> Centralized </c:v>
                </c:pt>
                <c:pt idx="1">
                  <c:v> Distributed </c:v>
                </c:pt>
                <c:pt idx="2">
                  <c:v> Cloud </c:v>
                </c:pt>
              </c:strCache>
            </c:strRef>
          </c:cat>
          <c:val>
            <c:numRef>
              <c:f>Summary!$C$29:$D$29</c:f>
              <c:numCache>
                <c:formatCode>_(* #,##0_);_(* \(#,##0\);_(* "-"??_);_(@_)</c:formatCode>
                <c:ptCount val="2"/>
                <c:pt idx="0">
                  <c:v>40</c:v>
                </c:pt>
                <c:pt idx="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4D-9D45-99E3-C71304C5D28D}"/>
            </c:ext>
          </c:extLst>
        </c:ser>
        <c:ser>
          <c:idx val="3"/>
          <c:order val="3"/>
          <c:tx>
            <c:strRef>
              <c:f>Summary!$B$30</c:f>
              <c:strCache>
                <c:ptCount val="1"/>
                <c:pt idx="0">
                  <c:v>Racks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Summary!$C$26:$E$26</c:f>
              <c:strCache>
                <c:ptCount val="3"/>
                <c:pt idx="0">
                  <c:v> Centralized </c:v>
                </c:pt>
                <c:pt idx="1">
                  <c:v> Distributed </c:v>
                </c:pt>
                <c:pt idx="2">
                  <c:v> Cloud </c:v>
                </c:pt>
              </c:strCache>
            </c:strRef>
          </c:cat>
          <c:val>
            <c:numRef>
              <c:f>Summary!$C$30:$D$30</c:f>
              <c:numCache>
                <c:formatCode>_(* #,##0_);_(* \(#,##0\);_(* "-"??_);_(@_)</c:formatCode>
                <c:ptCount val="2"/>
                <c:pt idx="0">
                  <c:v>294</c:v>
                </c:pt>
                <c:pt idx="1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4D-9D45-99E3-C71304C5D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4322239"/>
        <c:axId val="1772873951"/>
      </c:barChart>
      <c:catAx>
        <c:axId val="129432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73951"/>
        <c:crosses val="autoZero"/>
        <c:auto val="1"/>
        <c:lblAlgn val="ctr"/>
        <c:lblOffset val="100"/>
        <c:noMultiLvlLbl val="0"/>
      </c:catAx>
      <c:valAx>
        <c:axId val="177287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30000"/>
                </a:srgb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22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rgbClr val="002060">
                <a:alpha val="54000"/>
              </a:srgb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rgbClr val="00206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bg2">
            <a:lumMod val="90000"/>
          </a:schemeClr>
        </a:gs>
        <a:gs pos="83000">
          <a:schemeClr val="bg2">
            <a:lumMod val="90000"/>
          </a:schemeClr>
        </a:gs>
        <a:gs pos="100000">
          <a:schemeClr val="bg2">
            <a:lumMod val="90000"/>
          </a:schemeClr>
        </a:gs>
      </a:gsLst>
      <a:lin ang="5400000" scaled="1"/>
      <a:tileRect/>
    </a:gradFill>
    <a:ln>
      <a:solidFill>
        <a:srgbClr val="002060"/>
      </a:solidFill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DC Architecture Comparison </a:t>
            </a:r>
            <a:r>
              <a:rPr lang="en-US" baseline="0"/>
              <a:t>- Total Costs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Summary!$B$34</c:f>
              <c:strCache>
                <c:ptCount val="1"/>
                <c:pt idx="0">
                  <c:v>Servers/Cloud Svcs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Summary!$C$33:$E$33</c:f>
              <c:strCache>
                <c:ptCount val="3"/>
                <c:pt idx="0">
                  <c:v> Centralized </c:v>
                </c:pt>
                <c:pt idx="1">
                  <c:v> Distributed </c:v>
                </c:pt>
                <c:pt idx="2">
                  <c:v>Cloud</c:v>
                </c:pt>
              </c:strCache>
            </c:strRef>
          </c:cat>
          <c:val>
            <c:numRef>
              <c:f>Summary!$C$34:$E$34</c:f>
              <c:numCache>
                <c:formatCode>_("$"* #,##0_);_("$"* \(#,##0\);_("$"* "-"??_);_(@_)</c:formatCode>
                <c:ptCount val="3"/>
                <c:pt idx="0">
                  <c:v>4205626.74</c:v>
                </c:pt>
                <c:pt idx="1">
                  <c:v>5828530.1600000001</c:v>
                </c:pt>
                <c:pt idx="2">
                  <c:v>44184159.558222115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3-1942-90F9-0E6DE444F419}"/>
            </c:ext>
          </c:extLst>
        </c:ser>
        <c:ser>
          <c:idx val="1"/>
          <c:order val="1"/>
          <c:tx>
            <c:strRef>
              <c:f>Summary!$B$35</c:f>
              <c:strCache>
                <c:ptCount val="1"/>
                <c:pt idx="0">
                  <c:v>Routers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Summary!$C$33:$E$33</c:f>
              <c:strCache>
                <c:ptCount val="3"/>
                <c:pt idx="0">
                  <c:v> Centralized </c:v>
                </c:pt>
                <c:pt idx="1">
                  <c:v> Distributed </c:v>
                </c:pt>
                <c:pt idx="2">
                  <c:v>Cloud</c:v>
                </c:pt>
              </c:strCache>
            </c:strRef>
          </c:cat>
          <c:val>
            <c:numRef>
              <c:f>Summary!$C$35:$E$35</c:f>
              <c:numCache>
                <c:formatCode>_("$"* #,##0_);_("$"* \(#,##0\);_("$"* "-"??_);_(@_)</c:formatCode>
                <c:ptCount val="3"/>
                <c:pt idx="0">
                  <c:v>7800000</c:v>
                </c:pt>
                <c:pt idx="1">
                  <c:v>9258000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93-1942-90F9-0E6DE444F419}"/>
            </c:ext>
          </c:extLst>
        </c:ser>
        <c:ser>
          <c:idx val="2"/>
          <c:order val="2"/>
          <c:tx>
            <c:strRef>
              <c:f>Summary!$B$36</c:f>
              <c:strCache>
                <c:ptCount val="1"/>
                <c:pt idx="0">
                  <c:v>Racks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Summary!$C$33:$E$33</c:f>
              <c:strCache>
                <c:ptCount val="3"/>
                <c:pt idx="0">
                  <c:v> Centralized </c:v>
                </c:pt>
                <c:pt idx="1">
                  <c:v> Distributed </c:v>
                </c:pt>
                <c:pt idx="2">
                  <c:v>Cloud</c:v>
                </c:pt>
              </c:strCache>
            </c:strRef>
          </c:cat>
          <c:val>
            <c:numRef>
              <c:f>Summary!$C$36:$E$36</c:f>
              <c:numCache>
                <c:formatCode>_("$"* #,##0_);_("$"* \(#,##0\);_("$"* "-"??_);_(@_)</c:formatCode>
                <c:ptCount val="3"/>
                <c:pt idx="0">
                  <c:v>1470000</c:v>
                </c:pt>
                <c:pt idx="1">
                  <c:v>2050000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93-1942-90F9-0E6DE444F419}"/>
            </c:ext>
          </c:extLst>
        </c:ser>
        <c:ser>
          <c:idx val="3"/>
          <c:order val="3"/>
          <c:tx>
            <c:strRef>
              <c:f>Summary!$B$37</c:f>
              <c:strCache>
                <c:ptCount val="1"/>
                <c:pt idx="0">
                  <c:v>Power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Summary!$C$33:$E$33</c:f>
              <c:strCache>
                <c:ptCount val="3"/>
                <c:pt idx="0">
                  <c:v> Centralized </c:v>
                </c:pt>
                <c:pt idx="1">
                  <c:v> Distributed </c:v>
                </c:pt>
                <c:pt idx="2">
                  <c:v>Cloud</c:v>
                </c:pt>
              </c:strCache>
            </c:strRef>
          </c:cat>
          <c:val>
            <c:numRef>
              <c:f>Summary!$C$37:$E$37</c:f>
              <c:numCache>
                <c:formatCode>_("$"* #,##0_);_("$"* \(#,##0\);_("$"* "-"??_);_(@_)</c:formatCode>
                <c:ptCount val="3"/>
                <c:pt idx="0">
                  <c:v>2249664.9988000002</c:v>
                </c:pt>
                <c:pt idx="1">
                  <c:v>2189894.5054500001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93-1942-90F9-0E6DE444F419}"/>
            </c:ext>
          </c:extLst>
        </c:ser>
        <c:ser>
          <c:idx val="4"/>
          <c:order val="4"/>
          <c:tx>
            <c:strRef>
              <c:f>Summary!$B$38</c:f>
              <c:strCache>
                <c:ptCount val="1"/>
                <c:pt idx="0">
                  <c:v>Labor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Summary!$C$33:$E$33</c:f>
              <c:strCache>
                <c:ptCount val="3"/>
                <c:pt idx="0">
                  <c:v> Centralized </c:v>
                </c:pt>
                <c:pt idx="1">
                  <c:v> Distributed </c:v>
                </c:pt>
                <c:pt idx="2">
                  <c:v>Cloud</c:v>
                </c:pt>
              </c:strCache>
            </c:strRef>
          </c:cat>
          <c:val>
            <c:numRef>
              <c:f>Summary!$C$38:$E$38</c:f>
              <c:numCache>
                <c:formatCode>_("$"* #,##0_);_("$"* \(#,##0\);_("$"* "-"??_);_(@_)</c:formatCode>
                <c:ptCount val="3"/>
                <c:pt idx="0">
                  <c:v>2500093.0104</c:v>
                </c:pt>
                <c:pt idx="1">
                  <c:v>2752829.7215999998</c:v>
                </c:pt>
                <c:pt idx="2">
                  <c:v>3005566.4328000001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93-1942-90F9-0E6DE444F419}"/>
            </c:ext>
          </c:extLst>
        </c:ser>
        <c:ser>
          <c:idx val="5"/>
          <c:order val="5"/>
          <c:tx>
            <c:strRef>
              <c:f>Summary!$B$39</c:f>
              <c:strCache>
                <c:ptCount val="1"/>
                <c:pt idx="0">
                  <c:v>Facility/Capital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Summary!$C$33:$E$33</c:f>
              <c:strCache>
                <c:ptCount val="3"/>
                <c:pt idx="0">
                  <c:v> Centralized </c:v>
                </c:pt>
                <c:pt idx="1">
                  <c:v> Distributed </c:v>
                </c:pt>
                <c:pt idx="2">
                  <c:v>Cloud</c:v>
                </c:pt>
              </c:strCache>
            </c:strRef>
          </c:cat>
          <c:val>
            <c:numRef>
              <c:f>Summary!$C$39:$E$39</c:f>
              <c:numCache>
                <c:formatCode>_("$"* #,##0_);_("$"* \(#,##0\);_("$"* "-"??_);_(@_)</c:formatCode>
                <c:ptCount val="3"/>
                <c:pt idx="0">
                  <c:v>28106240.595496573</c:v>
                </c:pt>
                <c:pt idx="1">
                  <c:v>18648449.013095036</c:v>
                </c:pt>
                <c:pt idx="2">
                  <c:v>473220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93-1942-90F9-0E6DE444F419}"/>
            </c:ext>
          </c:extLst>
        </c:ser>
        <c:ser>
          <c:idx val="6"/>
          <c:order val="6"/>
          <c:tx>
            <c:strRef>
              <c:f>Summary!$B$40</c:f>
              <c:strCache>
                <c:ptCount val="1"/>
                <c:pt idx="0">
                  <c:v>Other Expense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Summary!$C$33:$E$33</c:f>
              <c:strCache>
                <c:ptCount val="3"/>
                <c:pt idx="0">
                  <c:v> Centralized </c:v>
                </c:pt>
                <c:pt idx="1">
                  <c:v> Distributed </c:v>
                </c:pt>
                <c:pt idx="2">
                  <c:v>Cloud</c:v>
                </c:pt>
              </c:strCache>
            </c:strRef>
          </c:cat>
          <c:val>
            <c:numRef>
              <c:f>Summary!$C$40:$E$40</c:f>
              <c:numCache>
                <c:formatCode>_("$"* #,##0_);_("$"* \(#,##0\);_("$"* "-"??_);_(@_)</c:formatCode>
                <c:ptCount val="3"/>
                <c:pt idx="0">
                  <c:v>7443645.5767638711</c:v>
                </c:pt>
                <c:pt idx="1">
                  <c:v>12237715.4134981</c:v>
                </c:pt>
                <c:pt idx="2">
                  <c:v>28499.040000000001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93-1942-90F9-0E6DE444F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0298623"/>
        <c:axId val="1300373183"/>
      </c:barChart>
      <c:catAx>
        <c:axId val="130029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373183"/>
        <c:crosses val="autoZero"/>
        <c:auto val="1"/>
        <c:lblAlgn val="ctr"/>
        <c:lblOffset val="100"/>
        <c:noMultiLvlLbl val="0"/>
      </c:catAx>
      <c:valAx>
        <c:axId val="130037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30000"/>
                </a:srgb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98623"/>
        <c:crosses val="autoZero"/>
        <c:crossBetween val="between"/>
      </c:valAx>
      <c:spPr>
        <a:noFill/>
        <a:ln>
          <a:solidFill>
            <a:schemeClr val="accent5">
              <a:lumMod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bg2">
            <a:lumMod val="90000"/>
          </a:schemeClr>
        </a:gs>
        <a:gs pos="83000">
          <a:schemeClr val="bg2">
            <a:lumMod val="90000"/>
          </a:schemeClr>
        </a:gs>
        <a:gs pos="100000">
          <a:schemeClr val="bg2">
            <a:lumMod val="90000"/>
          </a:schemeClr>
        </a:gs>
      </a:gsLst>
      <a:lin ang="5400000" scaled="1"/>
      <a:tileRect/>
    </a:gradFill>
    <a:ln>
      <a:solidFill>
        <a:srgbClr val="002060"/>
      </a:solidFill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Song Streams (per Month)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Song Streams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Summary!$D$53:$D$89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Summary!$F$53:$F$89</c:f>
              <c:numCache>
                <c:formatCode>_(* #,##0_);_(* \(#,##0\);_(* "-"??_);_(@_)</c:formatCode>
                <c:ptCount val="37"/>
                <c:pt idx="0">
                  <c:v>8261775000</c:v>
                </c:pt>
                <c:pt idx="1">
                  <c:v>8721680475</c:v>
                </c:pt>
                <c:pt idx="2">
                  <c:v>9181585950</c:v>
                </c:pt>
                <c:pt idx="3">
                  <c:v>9641491425</c:v>
                </c:pt>
                <c:pt idx="4">
                  <c:v>10101396900</c:v>
                </c:pt>
                <c:pt idx="5">
                  <c:v>10561302375</c:v>
                </c:pt>
                <c:pt idx="6">
                  <c:v>11021207850</c:v>
                </c:pt>
                <c:pt idx="7">
                  <c:v>12856698862.5</c:v>
                </c:pt>
                <c:pt idx="8">
                  <c:v>14692189875</c:v>
                </c:pt>
                <c:pt idx="9">
                  <c:v>16527680887.5</c:v>
                </c:pt>
                <c:pt idx="10">
                  <c:v>18363171900</c:v>
                </c:pt>
                <c:pt idx="11">
                  <c:v>20198662912.5</c:v>
                </c:pt>
                <c:pt idx="12">
                  <c:v>22034153925</c:v>
                </c:pt>
                <c:pt idx="13">
                  <c:v>23256896625</c:v>
                </c:pt>
                <c:pt idx="14">
                  <c:v>24479639325</c:v>
                </c:pt>
                <c:pt idx="15">
                  <c:v>25702382025</c:v>
                </c:pt>
                <c:pt idx="16">
                  <c:v>26925124725</c:v>
                </c:pt>
                <c:pt idx="17">
                  <c:v>28147867425</c:v>
                </c:pt>
                <c:pt idx="18">
                  <c:v>29370610125</c:v>
                </c:pt>
                <c:pt idx="19">
                  <c:v>33177911437.5</c:v>
                </c:pt>
                <c:pt idx="20">
                  <c:v>36985212750</c:v>
                </c:pt>
                <c:pt idx="21">
                  <c:v>40792514062.5</c:v>
                </c:pt>
                <c:pt idx="22">
                  <c:v>44599815375</c:v>
                </c:pt>
                <c:pt idx="23">
                  <c:v>48407116687.5</c:v>
                </c:pt>
                <c:pt idx="24">
                  <c:v>52214418000</c:v>
                </c:pt>
                <c:pt idx="25">
                  <c:v>55117054950</c:v>
                </c:pt>
                <c:pt idx="26">
                  <c:v>58019691900</c:v>
                </c:pt>
                <c:pt idx="27">
                  <c:v>60922328850</c:v>
                </c:pt>
                <c:pt idx="28">
                  <c:v>63824965800</c:v>
                </c:pt>
                <c:pt idx="29">
                  <c:v>66727602750</c:v>
                </c:pt>
                <c:pt idx="30">
                  <c:v>69630239700</c:v>
                </c:pt>
                <c:pt idx="31">
                  <c:v>73496750400</c:v>
                </c:pt>
                <c:pt idx="32">
                  <c:v>77363261100</c:v>
                </c:pt>
                <c:pt idx="33">
                  <c:v>81229771800</c:v>
                </c:pt>
                <c:pt idx="34">
                  <c:v>85096282500</c:v>
                </c:pt>
                <c:pt idx="35">
                  <c:v>88962793200</c:v>
                </c:pt>
                <c:pt idx="36">
                  <c:v>92829303900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178-4A44-AC5E-9FA15612D3DF}"/>
            </c:ext>
          </c:extLst>
        </c:ser>
        <c:ser>
          <c:idx val="3"/>
          <c:order val="1"/>
          <c:tx>
            <c:v>Song Streams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Summary!$D$53:$D$89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Summary!$F$53:$F$89</c:f>
              <c:numCache>
                <c:formatCode>_(* #,##0_);_(* \(#,##0\);_(* "-"??_);_(@_)</c:formatCode>
                <c:ptCount val="37"/>
                <c:pt idx="0">
                  <c:v>8261775000</c:v>
                </c:pt>
                <c:pt idx="1">
                  <c:v>8721680475</c:v>
                </c:pt>
                <c:pt idx="2">
                  <c:v>9181585950</c:v>
                </c:pt>
                <c:pt idx="3">
                  <c:v>9641491425</c:v>
                </c:pt>
                <c:pt idx="4">
                  <c:v>10101396900</c:v>
                </c:pt>
                <c:pt idx="5">
                  <c:v>10561302375</c:v>
                </c:pt>
                <c:pt idx="6">
                  <c:v>11021207850</c:v>
                </c:pt>
                <c:pt idx="7">
                  <c:v>12856698862.5</c:v>
                </c:pt>
                <c:pt idx="8">
                  <c:v>14692189875</c:v>
                </c:pt>
                <c:pt idx="9">
                  <c:v>16527680887.5</c:v>
                </c:pt>
                <c:pt idx="10">
                  <c:v>18363171900</c:v>
                </c:pt>
                <c:pt idx="11">
                  <c:v>20198662912.5</c:v>
                </c:pt>
                <c:pt idx="12">
                  <c:v>22034153925</c:v>
                </c:pt>
                <c:pt idx="13">
                  <c:v>23256896625</c:v>
                </c:pt>
                <c:pt idx="14">
                  <c:v>24479639325</c:v>
                </c:pt>
                <c:pt idx="15">
                  <c:v>25702382025</c:v>
                </c:pt>
                <c:pt idx="16">
                  <c:v>26925124725</c:v>
                </c:pt>
                <c:pt idx="17">
                  <c:v>28147867425</c:v>
                </c:pt>
                <c:pt idx="18">
                  <c:v>29370610125</c:v>
                </c:pt>
                <c:pt idx="19">
                  <c:v>33177911437.5</c:v>
                </c:pt>
                <c:pt idx="20">
                  <c:v>36985212750</c:v>
                </c:pt>
                <c:pt idx="21">
                  <c:v>40792514062.5</c:v>
                </c:pt>
                <c:pt idx="22">
                  <c:v>44599815375</c:v>
                </c:pt>
                <c:pt idx="23">
                  <c:v>48407116687.5</c:v>
                </c:pt>
                <c:pt idx="24">
                  <c:v>52214418000</c:v>
                </c:pt>
                <c:pt idx="25">
                  <c:v>55117054950</c:v>
                </c:pt>
                <c:pt idx="26">
                  <c:v>58019691900</c:v>
                </c:pt>
                <c:pt idx="27">
                  <c:v>60922328850</c:v>
                </c:pt>
                <c:pt idx="28">
                  <c:v>63824965800</c:v>
                </c:pt>
                <c:pt idx="29">
                  <c:v>66727602750</c:v>
                </c:pt>
                <c:pt idx="30">
                  <c:v>69630239700</c:v>
                </c:pt>
                <c:pt idx="31">
                  <c:v>73496750400</c:v>
                </c:pt>
                <c:pt idx="32">
                  <c:v>77363261100</c:v>
                </c:pt>
                <c:pt idx="33">
                  <c:v>81229771800</c:v>
                </c:pt>
                <c:pt idx="34">
                  <c:v>85096282500</c:v>
                </c:pt>
                <c:pt idx="35">
                  <c:v>88962793200</c:v>
                </c:pt>
                <c:pt idx="36">
                  <c:v>92829303900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178-4A44-AC5E-9FA15612D3DF}"/>
            </c:ext>
          </c:extLst>
        </c:ser>
        <c:ser>
          <c:idx val="1"/>
          <c:order val="2"/>
          <c:tx>
            <c:v>Song Streams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Summary!$D$53:$D$89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Summary!$F$53:$F$89</c:f>
              <c:numCache>
                <c:formatCode>_(* #,##0_);_(* \(#,##0\);_(* "-"??_);_(@_)</c:formatCode>
                <c:ptCount val="37"/>
                <c:pt idx="0">
                  <c:v>8261775000</c:v>
                </c:pt>
                <c:pt idx="1">
                  <c:v>8721680475</c:v>
                </c:pt>
                <c:pt idx="2">
                  <c:v>9181585950</c:v>
                </c:pt>
                <c:pt idx="3">
                  <c:v>9641491425</c:v>
                </c:pt>
                <c:pt idx="4">
                  <c:v>10101396900</c:v>
                </c:pt>
                <c:pt idx="5">
                  <c:v>10561302375</c:v>
                </c:pt>
                <c:pt idx="6">
                  <c:v>11021207850</c:v>
                </c:pt>
                <c:pt idx="7">
                  <c:v>12856698862.5</c:v>
                </c:pt>
                <c:pt idx="8">
                  <c:v>14692189875</c:v>
                </c:pt>
                <c:pt idx="9">
                  <c:v>16527680887.5</c:v>
                </c:pt>
                <c:pt idx="10">
                  <c:v>18363171900</c:v>
                </c:pt>
                <c:pt idx="11">
                  <c:v>20198662912.5</c:v>
                </c:pt>
                <c:pt idx="12">
                  <c:v>22034153925</c:v>
                </c:pt>
                <c:pt idx="13">
                  <c:v>23256896625</c:v>
                </c:pt>
                <c:pt idx="14">
                  <c:v>24479639325</c:v>
                </c:pt>
                <c:pt idx="15">
                  <c:v>25702382025</c:v>
                </c:pt>
                <c:pt idx="16">
                  <c:v>26925124725</c:v>
                </c:pt>
                <c:pt idx="17">
                  <c:v>28147867425</c:v>
                </c:pt>
                <c:pt idx="18">
                  <c:v>29370610125</c:v>
                </c:pt>
                <c:pt idx="19">
                  <c:v>33177911437.5</c:v>
                </c:pt>
                <c:pt idx="20">
                  <c:v>36985212750</c:v>
                </c:pt>
                <c:pt idx="21">
                  <c:v>40792514062.5</c:v>
                </c:pt>
                <c:pt idx="22">
                  <c:v>44599815375</c:v>
                </c:pt>
                <c:pt idx="23">
                  <c:v>48407116687.5</c:v>
                </c:pt>
                <c:pt idx="24">
                  <c:v>52214418000</c:v>
                </c:pt>
                <c:pt idx="25">
                  <c:v>55117054950</c:v>
                </c:pt>
                <c:pt idx="26">
                  <c:v>58019691900</c:v>
                </c:pt>
                <c:pt idx="27">
                  <c:v>60922328850</c:v>
                </c:pt>
                <c:pt idx="28">
                  <c:v>63824965800</c:v>
                </c:pt>
                <c:pt idx="29">
                  <c:v>66727602750</c:v>
                </c:pt>
                <c:pt idx="30">
                  <c:v>69630239700</c:v>
                </c:pt>
                <c:pt idx="31">
                  <c:v>73496750400</c:v>
                </c:pt>
                <c:pt idx="32">
                  <c:v>77363261100</c:v>
                </c:pt>
                <c:pt idx="33">
                  <c:v>81229771800</c:v>
                </c:pt>
                <c:pt idx="34">
                  <c:v>85096282500</c:v>
                </c:pt>
                <c:pt idx="35">
                  <c:v>88962793200</c:v>
                </c:pt>
                <c:pt idx="36">
                  <c:v>92829303900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78-4A44-AC5E-9FA15612D3DF}"/>
            </c:ext>
          </c:extLst>
        </c:ser>
        <c:ser>
          <c:idx val="0"/>
          <c:order val="3"/>
          <c:tx>
            <c:v>Song Streams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Summary!$D$53:$D$89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Summary!$F$53:$F$89</c:f>
              <c:numCache>
                <c:formatCode>_(* #,##0_);_(* \(#,##0\);_(* "-"??_);_(@_)</c:formatCode>
                <c:ptCount val="37"/>
                <c:pt idx="0">
                  <c:v>8261775000</c:v>
                </c:pt>
                <c:pt idx="1">
                  <c:v>8721680475</c:v>
                </c:pt>
                <c:pt idx="2">
                  <c:v>9181585950</c:v>
                </c:pt>
                <c:pt idx="3">
                  <c:v>9641491425</c:v>
                </c:pt>
                <c:pt idx="4">
                  <c:v>10101396900</c:v>
                </c:pt>
                <c:pt idx="5">
                  <c:v>10561302375</c:v>
                </c:pt>
                <c:pt idx="6">
                  <c:v>11021207850</c:v>
                </c:pt>
                <c:pt idx="7">
                  <c:v>12856698862.5</c:v>
                </c:pt>
                <c:pt idx="8">
                  <c:v>14692189875</c:v>
                </c:pt>
                <c:pt idx="9">
                  <c:v>16527680887.5</c:v>
                </c:pt>
                <c:pt idx="10">
                  <c:v>18363171900</c:v>
                </c:pt>
                <c:pt idx="11">
                  <c:v>20198662912.5</c:v>
                </c:pt>
                <c:pt idx="12">
                  <c:v>22034153925</c:v>
                </c:pt>
                <c:pt idx="13">
                  <c:v>23256896625</c:v>
                </c:pt>
                <c:pt idx="14">
                  <c:v>24479639325</c:v>
                </c:pt>
                <c:pt idx="15">
                  <c:v>25702382025</c:v>
                </c:pt>
                <c:pt idx="16">
                  <c:v>26925124725</c:v>
                </c:pt>
                <c:pt idx="17">
                  <c:v>28147867425</c:v>
                </c:pt>
                <c:pt idx="18">
                  <c:v>29370610125</c:v>
                </c:pt>
                <c:pt idx="19">
                  <c:v>33177911437.5</c:v>
                </c:pt>
                <c:pt idx="20">
                  <c:v>36985212750</c:v>
                </c:pt>
                <c:pt idx="21">
                  <c:v>40792514062.5</c:v>
                </c:pt>
                <c:pt idx="22">
                  <c:v>44599815375</c:v>
                </c:pt>
                <c:pt idx="23">
                  <c:v>48407116687.5</c:v>
                </c:pt>
                <c:pt idx="24">
                  <c:v>52214418000</c:v>
                </c:pt>
                <c:pt idx="25">
                  <c:v>55117054950</c:v>
                </c:pt>
                <c:pt idx="26">
                  <c:v>58019691900</c:v>
                </c:pt>
                <c:pt idx="27">
                  <c:v>60922328850</c:v>
                </c:pt>
                <c:pt idx="28">
                  <c:v>63824965800</c:v>
                </c:pt>
                <c:pt idx="29">
                  <c:v>66727602750</c:v>
                </c:pt>
                <c:pt idx="30">
                  <c:v>69630239700</c:v>
                </c:pt>
                <c:pt idx="31">
                  <c:v>73496750400</c:v>
                </c:pt>
                <c:pt idx="32">
                  <c:v>77363261100</c:v>
                </c:pt>
                <c:pt idx="33">
                  <c:v>81229771800</c:v>
                </c:pt>
                <c:pt idx="34">
                  <c:v>85096282500</c:v>
                </c:pt>
                <c:pt idx="35">
                  <c:v>88962793200</c:v>
                </c:pt>
                <c:pt idx="36">
                  <c:v>92829303900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78-4A44-AC5E-9FA15612D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077487"/>
        <c:axId val="340178287"/>
      </c:lineChart>
      <c:catAx>
        <c:axId val="42107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78287"/>
        <c:crosses val="autoZero"/>
        <c:auto val="1"/>
        <c:lblAlgn val="ctr"/>
        <c:lblOffset val="100"/>
        <c:noMultiLvlLbl val="0"/>
      </c:catAx>
      <c:valAx>
        <c:axId val="3401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30000"/>
                </a:srgb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77487"/>
        <c:crosses val="autoZero"/>
        <c:crossBetween val="between"/>
      </c:valAx>
      <c:spPr>
        <a:noFill/>
        <a:ln>
          <a:solidFill>
            <a:srgbClr val="002060"/>
          </a:solidFill>
        </a:ln>
        <a:effectLst/>
      </c:spPr>
    </c:plotArea>
    <c:plotVisOnly val="1"/>
    <c:dispBlanksAs val="gap"/>
    <c:showDLblsOverMax val="0"/>
    <c:extLst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bg2">
            <a:lumMod val="90000"/>
          </a:schemeClr>
        </a:gs>
        <a:gs pos="83000">
          <a:schemeClr val="bg2">
            <a:lumMod val="90000"/>
          </a:schemeClr>
        </a:gs>
        <a:gs pos="100000">
          <a:schemeClr val="bg2">
            <a:lumMod val="90000"/>
          </a:schemeClr>
        </a:gs>
      </a:gsLst>
      <a:lin ang="5400000" scaled="1"/>
    </a:gra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Song Downloads (per Month)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Song Downloads</c:v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Summary!$D$53:$D$89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Summary!$G$53:$G$89</c:f>
              <c:numCache>
                <c:formatCode>_(* #,##0_);_(* \(#,##0\);_(* "-"??_);_(@_)</c:formatCode>
                <c:ptCount val="37"/>
                <c:pt idx="0">
                  <c:v>1376962500</c:v>
                </c:pt>
                <c:pt idx="1">
                  <c:v>1453613412.5</c:v>
                </c:pt>
                <c:pt idx="2">
                  <c:v>1530264325</c:v>
                </c:pt>
                <c:pt idx="3">
                  <c:v>1606915237.5</c:v>
                </c:pt>
                <c:pt idx="4">
                  <c:v>1683566150</c:v>
                </c:pt>
                <c:pt idx="5">
                  <c:v>1760217062.5</c:v>
                </c:pt>
                <c:pt idx="6">
                  <c:v>1836867975</c:v>
                </c:pt>
                <c:pt idx="7">
                  <c:v>2142783143.75</c:v>
                </c:pt>
                <c:pt idx="8">
                  <c:v>2448698312.5</c:v>
                </c:pt>
                <c:pt idx="9">
                  <c:v>2754613481.25</c:v>
                </c:pt>
                <c:pt idx="10">
                  <c:v>3060528650</c:v>
                </c:pt>
                <c:pt idx="11">
                  <c:v>3366443818.75</c:v>
                </c:pt>
                <c:pt idx="12">
                  <c:v>3672358987.5</c:v>
                </c:pt>
                <c:pt idx="13">
                  <c:v>3876149437.5</c:v>
                </c:pt>
                <c:pt idx="14">
                  <c:v>4079939887.5</c:v>
                </c:pt>
                <c:pt idx="15">
                  <c:v>4283730337.5</c:v>
                </c:pt>
                <c:pt idx="16">
                  <c:v>4487520787.5</c:v>
                </c:pt>
                <c:pt idx="17">
                  <c:v>4691311237.5</c:v>
                </c:pt>
                <c:pt idx="18">
                  <c:v>4895101687.5</c:v>
                </c:pt>
                <c:pt idx="19">
                  <c:v>5529651906.25</c:v>
                </c:pt>
                <c:pt idx="20">
                  <c:v>6164202125</c:v>
                </c:pt>
                <c:pt idx="21">
                  <c:v>6798752343.75</c:v>
                </c:pt>
                <c:pt idx="22">
                  <c:v>7433302562.5</c:v>
                </c:pt>
                <c:pt idx="23">
                  <c:v>8067852781.25</c:v>
                </c:pt>
                <c:pt idx="24">
                  <c:v>8702403000</c:v>
                </c:pt>
                <c:pt idx="25">
                  <c:v>9186175825</c:v>
                </c:pt>
                <c:pt idx="26">
                  <c:v>9669948650</c:v>
                </c:pt>
                <c:pt idx="27">
                  <c:v>10153721475</c:v>
                </c:pt>
                <c:pt idx="28">
                  <c:v>10637494300</c:v>
                </c:pt>
                <c:pt idx="29">
                  <c:v>11121267125</c:v>
                </c:pt>
                <c:pt idx="30">
                  <c:v>11605039950</c:v>
                </c:pt>
                <c:pt idx="31">
                  <c:v>12249458400</c:v>
                </c:pt>
                <c:pt idx="32">
                  <c:v>12893876850</c:v>
                </c:pt>
                <c:pt idx="33">
                  <c:v>13538295300</c:v>
                </c:pt>
                <c:pt idx="34">
                  <c:v>14182713750</c:v>
                </c:pt>
                <c:pt idx="35">
                  <c:v>14827132200</c:v>
                </c:pt>
                <c:pt idx="36">
                  <c:v>15471550650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8-C548-817F-D69623E55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077487"/>
        <c:axId val="340178287"/>
      </c:lineChart>
      <c:catAx>
        <c:axId val="42107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78287"/>
        <c:crosses val="autoZero"/>
        <c:auto val="1"/>
        <c:lblAlgn val="ctr"/>
        <c:lblOffset val="100"/>
        <c:noMultiLvlLbl val="0"/>
      </c:catAx>
      <c:valAx>
        <c:axId val="3401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30000"/>
                </a:srgb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77487"/>
        <c:crosses val="autoZero"/>
        <c:crossBetween val="between"/>
      </c:valAx>
      <c:spPr>
        <a:noFill/>
        <a:ln>
          <a:solidFill>
            <a:srgbClr val="002060"/>
          </a:solidFill>
        </a:ln>
        <a:effectLst/>
      </c:spPr>
    </c:plotArea>
    <c:plotVisOnly val="1"/>
    <c:dispBlanksAs val="gap"/>
    <c:showDLblsOverMax val="0"/>
    <c:extLst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bg2">
            <a:lumMod val="90000"/>
          </a:schemeClr>
        </a:gs>
        <a:gs pos="83000">
          <a:schemeClr val="bg2">
            <a:lumMod val="90000"/>
          </a:schemeClr>
        </a:gs>
        <a:gs pos="100000">
          <a:schemeClr val="bg2">
            <a:lumMod val="90000"/>
          </a:schemeClr>
        </a:gs>
      </a:gsLst>
      <a:lin ang="5400000" scaled="1"/>
    </a:gra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Authorizations (per Month)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Authorizations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Summary!$D$53:$D$89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Summary!$H$53:$H$89</c:f>
              <c:numCache>
                <c:formatCode>_(* #,##0_);_(* \(#,##0\);_(* "-"??_);_(@_)</c:formatCode>
                <c:ptCount val="37"/>
                <c:pt idx="0">
                  <c:v>5507850000</c:v>
                </c:pt>
                <c:pt idx="1">
                  <c:v>5814453650</c:v>
                </c:pt>
                <c:pt idx="2">
                  <c:v>6121057300</c:v>
                </c:pt>
                <c:pt idx="3">
                  <c:v>6427660950</c:v>
                </c:pt>
                <c:pt idx="4">
                  <c:v>6734264600</c:v>
                </c:pt>
                <c:pt idx="5">
                  <c:v>7040868250</c:v>
                </c:pt>
                <c:pt idx="6">
                  <c:v>7347471900</c:v>
                </c:pt>
                <c:pt idx="7">
                  <c:v>8571132575</c:v>
                </c:pt>
                <c:pt idx="8">
                  <c:v>9794793250</c:v>
                </c:pt>
                <c:pt idx="9">
                  <c:v>11018453925</c:v>
                </c:pt>
                <c:pt idx="10">
                  <c:v>12242114600</c:v>
                </c:pt>
                <c:pt idx="11">
                  <c:v>13465775275</c:v>
                </c:pt>
                <c:pt idx="12">
                  <c:v>14689435950</c:v>
                </c:pt>
                <c:pt idx="13">
                  <c:v>15504597750</c:v>
                </c:pt>
                <c:pt idx="14">
                  <c:v>16319759550</c:v>
                </c:pt>
                <c:pt idx="15">
                  <c:v>17134921350</c:v>
                </c:pt>
                <c:pt idx="16">
                  <c:v>17950083150</c:v>
                </c:pt>
                <c:pt idx="17">
                  <c:v>18765244950</c:v>
                </c:pt>
                <c:pt idx="18">
                  <c:v>19580406750</c:v>
                </c:pt>
                <c:pt idx="19">
                  <c:v>22118607625</c:v>
                </c:pt>
                <c:pt idx="20">
                  <c:v>24656808500</c:v>
                </c:pt>
                <c:pt idx="21">
                  <c:v>27195009375</c:v>
                </c:pt>
                <c:pt idx="22">
                  <c:v>29733210250</c:v>
                </c:pt>
                <c:pt idx="23">
                  <c:v>32271411125</c:v>
                </c:pt>
                <c:pt idx="24">
                  <c:v>34809612000</c:v>
                </c:pt>
                <c:pt idx="25">
                  <c:v>36744703300</c:v>
                </c:pt>
                <c:pt idx="26">
                  <c:v>38679794600</c:v>
                </c:pt>
                <c:pt idx="27">
                  <c:v>40614885900</c:v>
                </c:pt>
                <c:pt idx="28">
                  <c:v>42549977200</c:v>
                </c:pt>
                <c:pt idx="29">
                  <c:v>44485068500</c:v>
                </c:pt>
                <c:pt idx="30">
                  <c:v>46420159800</c:v>
                </c:pt>
                <c:pt idx="31">
                  <c:v>48997833600</c:v>
                </c:pt>
                <c:pt idx="32">
                  <c:v>51575507400</c:v>
                </c:pt>
                <c:pt idx="33">
                  <c:v>54153181200</c:v>
                </c:pt>
                <c:pt idx="34">
                  <c:v>56730855000</c:v>
                </c:pt>
                <c:pt idx="35">
                  <c:v>59308528800</c:v>
                </c:pt>
                <c:pt idx="36">
                  <c:v>61886202600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33-DA40-9DFE-413074CBEAA2}"/>
            </c:ext>
          </c:extLst>
        </c:ser>
        <c:ser>
          <c:idx val="0"/>
          <c:order val="1"/>
          <c:tx>
            <c:v>Authorizations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Summary!$D$53:$D$89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Summary!$H$53:$H$89</c:f>
              <c:numCache>
                <c:formatCode>_(* #,##0_);_(* \(#,##0\);_(* "-"??_);_(@_)</c:formatCode>
                <c:ptCount val="37"/>
                <c:pt idx="0">
                  <c:v>5507850000</c:v>
                </c:pt>
                <c:pt idx="1">
                  <c:v>5814453650</c:v>
                </c:pt>
                <c:pt idx="2">
                  <c:v>6121057300</c:v>
                </c:pt>
                <c:pt idx="3">
                  <c:v>6427660950</c:v>
                </c:pt>
                <c:pt idx="4">
                  <c:v>6734264600</c:v>
                </c:pt>
                <c:pt idx="5">
                  <c:v>7040868250</c:v>
                </c:pt>
                <c:pt idx="6">
                  <c:v>7347471900</c:v>
                </c:pt>
                <c:pt idx="7">
                  <c:v>8571132575</c:v>
                </c:pt>
                <c:pt idx="8">
                  <c:v>9794793250</c:v>
                </c:pt>
                <c:pt idx="9">
                  <c:v>11018453925</c:v>
                </c:pt>
                <c:pt idx="10">
                  <c:v>12242114600</c:v>
                </c:pt>
                <c:pt idx="11">
                  <c:v>13465775275</c:v>
                </c:pt>
                <c:pt idx="12">
                  <c:v>14689435950</c:v>
                </c:pt>
                <c:pt idx="13">
                  <c:v>15504597750</c:v>
                </c:pt>
                <c:pt idx="14">
                  <c:v>16319759550</c:v>
                </c:pt>
                <c:pt idx="15">
                  <c:v>17134921350</c:v>
                </c:pt>
                <c:pt idx="16">
                  <c:v>17950083150</c:v>
                </c:pt>
                <c:pt idx="17">
                  <c:v>18765244950</c:v>
                </c:pt>
                <c:pt idx="18">
                  <c:v>19580406750</c:v>
                </c:pt>
                <c:pt idx="19">
                  <c:v>22118607625</c:v>
                </c:pt>
                <c:pt idx="20">
                  <c:v>24656808500</c:v>
                </c:pt>
                <c:pt idx="21">
                  <c:v>27195009375</c:v>
                </c:pt>
                <c:pt idx="22">
                  <c:v>29733210250</c:v>
                </c:pt>
                <c:pt idx="23">
                  <c:v>32271411125</c:v>
                </c:pt>
                <c:pt idx="24">
                  <c:v>34809612000</c:v>
                </c:pt>
                <c:pt idx="25">
                  <c:v>36744703300</c:v>
                </c:pt>
                <c:pt idx="26">
                  <c:v>38679794600</c:v>
                </c:pt>
                <c:pt idx="27">
                  <c:v>40614885900</c:v>
                </c:pt>
                <c:pt idx="28">
                  <c:v>42549977200</c:v>
                </c:pt>
                <c:pt idx="29">
                  <c:v>44485068500</c:v>
                </c:pt>
                <c:pt idx="30">
                  <c:v>46420159800</c:v>
                </c:pt>
                <c:pt idx="31">
                  <c:v>48997833600</c:v>
                </c:pt>
                <c:pt idx="32">
                  <c:v>51575507400</c:v>
                </c:pt>
                <c:pt idx="33">
                  <c:v>54153181200</c:v>
                </c:pt>
                <c:pt idx="34">
                  <c:v>56730855000</c:v>
                </c:pt>
                <c:pt idx="35">
                  <c:v>59308528800</c:v>
                </c:pt>
                <c:pt idx="36">
                  <c:v>61886202600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33-DA40-9DFE-413074CBE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077487"/>
        <c:axId val="340178287"/>
      </c:lineChart>
      <c:catAx>
        <c:axId val="42107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78287"/>
        <c:crosses val="autoZero"/>
        <c:auto val="1"/>
        <c:lblAlgn val="ctr"/>
        <c:lblOffset val="100"/>
        <c:noMultiLvlLbl val="0"/>
      </c:catAx>
      <c:valAx>
        <c:axId val="3401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30000"/>
                </a:srgb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77487"/>
        <c:crosses val="autoZero"/>
        <c:crossBetween val="between"/>
      </c:valAx>
      <c:spPr>
        <a:noFill/>
        <a:ln>
          <a:solidFill>
            <a:srgbClr val="002060"/>
          </a:solidFill>
        </a:ln>
        <a:effectLst/>
      </c:spPr>
    </c:plotArea>
    <c:plotVisOnly val="1"/>
    <c:dispBlanksAs val="gap"/>
    <c:showDLblsOverMax val="0"/>
    <c:extLst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bg2">
            <a:lumMod val="90000"/>
          </a:schemeClr>
        </a:gs>
        <a:gs pos="83000">
          <a:schemeClr val="bg2">
            <a:lumMod val="90000"/>
          </a:schemeClr>
        </a:gs>
        <a:gs pos="100000">
          <a:schemeClr val="bg2">
            <a:lumMod val="90000"/>
          </a:schemeClr>
        </a:gs>
      </a:gsLst>
      <a:lin ang="5400000" scaled="1"/>
    </a:gra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Total Data Delivery (GiB/Month)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Bandwidth</c:v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Summary!$D$53:$D$89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Summary!$I$53:$I$89</c:f>
              <c:numCache>
                <c:formatCode>_(* #,##0_);_(* \(#,##0\);_(* "-"??_);_(@_)</c:formatCode>
                <c:ptCount val="37"/>
                <c:pt idx="0">
                  <c:v>45853927.001953132</c:v>
                </c:pt>
                <c:pt idx="1">
                  <c:v>48406462.271728516</c:v>
                </c:pt>
                <c:pt idx="2">
                  <c:v>50958997.541503906</c:v>
                </c:pt>
                <c:pt idx="3">
                  <c:v>53511532.811279297</c:v>
                </c:pt>
                <c:pt idx="4">
                  <c:v>56064068.081054688</c:v>
                </c:pt>
                <c:pt idx="5">
                  <c:v>58616603.350830078</c:v>
                </c:pt>
                <c:pt idx="6">
                  <c:v>61169138.620605461</c:v>
                </c:pt>
                <c:pt idx="7">
                  <c:v>71356352.73620604</c:v>
                </c:pt>
                <c:pt idx="8">
                  <c:v>81543566.851806626</c:v>
                </c:pt>
                <c:pt idx="9">
                  <c:v>91730780.967407227</c:v>
                </c:pt>
                <c:pt idx="10">
                  <c:v>101917995.08300781</c:v>
                </c:pt>
                <c:pt idx="11">
                  <c:v>112105209.1986084</c:v>
                </c:pt>
                <c:pt idx="12">
                  <c:v>122292423.31420897</c:v>
                </c:pt>
                <c:pt idx="13">
                  <c:v>129078804.51049803</c:v>
                </c:pt>
                <c:pt idx="14">
                  <c:v>135865185.70678705</c:v>
                </c:pt>
                <c:pt idx="15">
                  <c:v>142651566.90307614</c:v>
                </c:pt>
                <c:pt idx="16">
                  <c:v>149437948.0993652</c:v>
                </c:pt>
                <c:pt idx="17">
                  <c:v>156224329.2956543</c:v>
                </c:pt>
                <c:pt idx="18">
                  <c:v>163010710.49194333</c:v>
                </c:pt>
                <c:pt idx="19">
                  <c:v>184141728.51867676</c:v>
                </c:pt>
                <c:pt idx="20">
                  <c:v>205272746.54541019</c:v>
                </c:pt>
                <c:pt idx="21">
                  <c:v>226403764.57214355</c:v>
                </c:pt>
                <c:pt idx="22">
                  <c:v>247534782.59887695</c:v>
                </c:pt>
                <c:pt idx="23">
                  <c:v>268665800.62561035</c:v>
                </c:pt>
                <c:pt idx="24">
                  <c:v>289796818.65234363</c:v>
                </c:pt>
                <c:pt idx="25">
                  <c:v>305906831.67236334</c:v>
                </c:pt>
                <c:pt idx="26">
                  <c:v>322016844.69238275</c:v>
                </c:pt>
                <c:pt idx="27">
                  <c:v>338126857.71240234</c:v>
                </c:pt>
                <c:pt idx="28">
                  <c:v>354236870.73242182</c:v>
                </c:pt>
                <c:pt idx="29">
                  <c:v>370346883.75244135</c:v>
                </c:pt>
                <c:pt idx="30">
                  <c:v>386456896.77246094</c:v>
                </c:pt>
                <c:pt idx="31">
                  <c:v>407916534.609375</c:v>
                </c:pt>
                <c:pt idx="32">
                  <c:v>429376172.44628912</c:v>
                </c:pt>
                <c:pt idx="33">
                  <c:v>450835810.28320312</c:v>
                </c:pt>
                <c:pt idx="34">
                  <c:v>472295448.12011713</c:v>
                </c:pt>
                <c:pt idx="35">
                  <c:v>493755085.95703119</c:v>
                </c:pt>
                <c:pt idx="36">
                  <c:v>515214723.79394525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1C-0E49-B526-BE4F49B13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077487"/>
        <c:axId val="340178287"/>
      </c:lineChart>
      <c:catAx>
        <c:axId val="42107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78287"/>
        <c:crosses val="autoZero"/>
        <c:auto val="1"/>
        <c:lblAlgn val="ctr"/>
        <c:lblOffset val="100"/>
        <c:noMultiLvlLbl val="0"/>
      </c:catAx>
      <c:valAx>
        <c:axId val="3401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30000"/>
                </a:srgb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77487"/>
        <c:crosses val="autoZero"/>
        <c:crossBetween val="between"/>
      </c:valAx>
      <c:spPr>
        <a:noFill/>
        <a:ln>
          <a:solidFill>
            <a:srgbClr val="002060"/>
          </a:solidFill>
        </a:ln>
        <a:effectLst/>
      </c:spPr>
    </c:plotArea>
    <c:plotVisOnly val="1"/>
    <c:dispBlanksAs val="gap"/>
    <c:showDLblsOverMax val="0"/>
    <c:extLst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bg2">
            <a:lumMod val="90000"/>
          </a:schemeClr>
        </a:gs>
        <a:gs pos="83000">
          <a:schemeClr val="bg2">
            <a:lumMod val="90000"/>
          </a:schemeClr>
        </a:gs>
        <a:gs pos="100000">
          <a:schemeClr val="bg2">
            <a:lumMod val="90000"/>
          </a:schemeClr>
        </a:gs>
      </a:gsLst>
      <a:lin ang="5400000" scaled="1"/>
    </a:gra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/>
              <a:t>Musify Total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Profile'!$B$4</c:f>
              <c:strCache>
                <c:ptCount val="1"/>
                <c:pt idx="0">
                  <c:v>Total Users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'User Profile'!$A$5:$A$11</c:f>
              <c:numCache>
                <c:formatCode>mmm.yy</c:formatCode>
                <c:ptCount val="7"/>
                <c:pt idx="0">
                  <c:v>44197</c:v>
                </c:pt>
                <c:pt idx="1">
                  <c:v>44378</c:v>
                </c:pt>
                <c:pt idx="2">
                  <c:v>44562</c:v>
                </c:pt>
                <c:pt idx="3">
                  <c:v>44743</c:v>
                </c:pt>
                <c:pt idx="4">
                  <c:v>44927</c:v>
                </c:pt>
                <c:pt idx="5">
                  <c:v>45108</c:v>
                </c:pt>
                <c:pt idx="6">
                  <c:v>45292</c:v>
                </c:pt>
              </c:numCache>
            </c:numRef>
          </c:cat>
          <c:val>
            <c:numRef>
              <c:f>'User Profile'!$B$5:$B$11</c:f>
              <c:numCache>
                <c:formatCode>_(* #,##0_);_(* \(#,##0\);_(* "-"??_);_(@_)</c:formatCode>
                <c:ptCount val="7"/>
                <c:pt idx="0">
                  <c:v>5000000</c:v>
                </c:pt>
                <c:pt idx="1">
                  <c:v>6670000</c:v>
                </c:pt>
                <c:pt idx="2">
                  <c:v>8890000</c:v>
                </c:pt>
                <c:pt idx="3">
                  <c:v>11850000</c:v>
                </c:pt>
                <c:pt idx="4">
                  <c:v>15800000</c:v>
                </c:pt>
                <c:pt idx="5">
                  <c:v>21070000</c:v>
                </c:pt>
                <c:pt idx="6">
                  <c:v>28090000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1-ED40-845C-F278B732720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0228048"/>
        <c:axId val="150229728"/>
      </c:barChart>
      <c:dateAx>
        <c:axId val="150228048"/>
        <c:scaling>
          <c:orientation val="minMax"/>
        </c:scaling>
        <c:delete val="0"/>
        <c:axPos val="b"/>
        <c:numFmt formatCode="mmm.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9728"/>
        <c:crosses val="autoZero"/>
        <c:auto val="1"/>
        <c:lblOffset val="100"/>
        <c:baseTimeUnit val="months"/>
      </c:dateAx>
      <c:valAx>
        <c:axId val="1502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/>
              <a:t>Musify Active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Profile'!$F$4</c:f>
              <c:strCache>
                <c:ptCount val="1"/>
                <c:pt idx="0">
                  <c:v>Average Active Users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'User Profile'!$A$5:$A$11</c:f>
              <c:numCache>
                <c:formatCode>mmm.yy</c:formatCode>
                <c:ptCount val="7"/>
                <c:pt idx="0">
                  <c:v>44197</c:v>
                </c:pt>
                <c:pt idx="1">
                  <c:v>44378</c:v>
                </c:pt>
                <c:pt idx="2">
                  <c:v>44562</c:v>
                </c:pt>
                <c:pt idx="3">
                  <c:v>44743</c:v>
                </c:pt>
                <c:pt idx="4">
                  <c:v>44927</c:v>
                </c:pt>
                <c:pt idx="5">
                  <c:v>45108</c:v>
                </c:pt>
                <c:pt idx="6">
                  <c:v>45292</c:v>
                </c:pt>
              </c:numCache>
            </c:numRef>
          </c:cat>
          <c:val>
            <c:numRef>
              <c:f>'User Profile'!$F$5:$F$11</c:f>
              <c:numCache>
                <c:formatCode>_(* #,##0_);_(* \(#,##0\);_(* "-"??_);_(@_)</c:formatCode>
                <c:ptCount val="7"/>
                <c:pt idx="0">
                  <c:v>1500000</c:v>
                </c:pt>
                <c:pt idx="1">
                  <c:v>2001000</c:v>
                </c:pt>
                <c:pt idx="2">
                  <c:v>4000500</c:v>
                </c:pt>
                <c:pt idx="3">
                  <c:v>5332500</c:v>
                </c:pt>
                <c:pt idx="4">
                  <c:v>9480000</c:v>
                </c:pt>
                <c:pt idx="5">
                  <c:v>12642000</c:v>
                </c:pt>
                <c:pt idx="6">
                  <c:v>16854000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A-F748-9090-F164EA3D1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3677456"/>
        <c:axId val="150459072"/>
      </c:barChart>
      <c:dateAx>
        <c:axId val="133677456"/>
        <c:scaling>
          <c:orientation val="minMax"/>
        </c:scaling>
        <c:delete val="0"/>
        <c:axPos val="b"/>
        <c:numFmt formatCode="mmm.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59072"/>
        <c:crosses val="autoZero"/>
        <c:auto val="1"/>
        <c:lblOffset val="100"/>
        <c:baseTimeUnit val="months"/>
      </c:dateAx>
      <c:valAx>
        <c:axId val="1504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2060"/>
                </a:solidFill>
              </a:rPr>
              <a:t>Active Users by Region (per Year)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'User Profile'!$A$18</c:f>
              <c:strCache>
                <c:ptCount val="1"/>
                <c:pt idx="0">
                  <c:v>NE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('User Profile'!$C$16,'User Profile'!$E$16,'User Profile'!$G$16)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('User Profile'!$D$18,'User Profile'!$F$18,'User Profile'!$H$18)</c:f>
              <c:numCache>
                <c:formatCode>_(* #,##0_);_(* \(#,##0\);_(* "-"??_);_(@_)</c:formatCode>
                <c:ptCount val="3"/>
                <c:pt idx="0">
                  <c:v>716890</c:v>
                </c:pt>
                <c:pt idx="1">
                  <c:v>1698816</c:v>
                </c:pt>
                <c:pt idx="2">
                  <c:v>3020237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F-DD42-A279-BF1F76BAF58A}"/>
            </c:ext>
          </c:extLst>
        </c:ser>
        <c:ser>
          <c:idx val="1"/>
          <c:order val="1"/>
          <c:tx>
            <c:strRef>
              <c:f>'User Profile'!$A$19</c:f>
              <c:strCache>
                <c:ptCount val="1"/>
                <c:pt idx="0">
                  <c:v>MW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('User Profile'!$C$16,'User Profile'!$E$16,'User Profile'!$G$16)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('User Profile'!$D$19,'User Profile'!$F$19,'User Profile'!$H$19)</c:f>
              <c:numCache>
                <c:formatCode>_(* #,##0_);_(* \(#,##0\);_(* "-"??_);_(@_)</c:formatCode>
                <c:ptCount val="3"/>
                <c:pt idx="0">
                  <c:v>867308</c:v>
                </c:pt>
                <c:pt idx="1">
                  <c:v>2055264</c:v>
                </c:pt>
                <c:pt idx="2">
                  <c:v>3653947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7F-DD42-A279-BF1F76BAF58A}"/>
            </c:ext>
          </c:extLst>
        </c:ser>
        <c:ser>
          <c:idx val="2"/>
          <c:order val="2"/>
          <c:tx>
            <c:strRef>
              <c:f>'User Profile'!$A$20</c:f>
              <c:strCache>
                <c:ptCount val="1"/>
                <c:pt idx="0">
                  <c:v>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('User Profile'!$C$16,'User Profile'!$E$16,'User Profile'!$G$16)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('User Profile'!$D$20,'User Profile'!$F$20,'User Profile'!$H$20)</c:f>
              <c:numCache>
                <c:formatCode>_(* #,##0_);_(* \(#,##0\);_(* "-"??_);_(@_)</c:formatCode>
                <c:ptCount val="3"/>
                <c:pt idx="0">
                  <c:v>1484186</c:v>
                </c:pt>
                <c:pt idx="1">
                  <c:v>3517080</c:v>
                </c:pt>
                <c:pt idx="2">
                  <c:v>6252834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7F-DD42-A279-BF1F76BAF58A}"/>
            </c:ext>
          </c:extLst>
        </c:ser>
        <c:ser>
          <c:idx val="3"/>
          <c:order val="3"/>
          <c:tx>
            <c:strRef>
              <c:f>'User Profile'!$A$21</c:f>
              <c:strCache>
                <c:ptCount val="1"/>
                <c:pt idx="0">
                  <c:v>W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('User Profile'!$C$16,'User Profile'!$E$16,'User Profile'!$G$16)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('User Profile'!$D$21,'User Profile'!$F$21,'User Profile'!$H$21)</c:f>
              <c:numCache>
                <c:formatCode>_(* #,##0_);_(* \(#,##0\);_(* "-"??_);_(@_)</c:formatCode>
                <c:ptCount val="3"/>
                <c:pt idx="0">
                  <c:v>932117</c:v>
                </c:pt>
                <c:pt idx="1">
                  <c:v>2208840</c:v>
                </c:pt>
                <c:pt idx="2">
                  <c:v>3926982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7F-DD42-A279-BF1F76BAF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3183679"/>
        <c:axId val="1773185359"/>
      </c:barChart>
      <c:catAx>
        <c:axId val="177318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185359"/>
        <c:crosses val="autoZero"/>
        <c:auto val="1"/>
        <c:lblAlgn val="ctr"/>
        <c:lblOffset val="100"/>
        <c:noMultiLvlLbl val="0"/>
      </c:catAx>
      <c:valAx>
        <c:axId val="177318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30000"/>
                </a:srgb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183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rgbClr val="002060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rgbClr val="00206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bg2">
            <a:lumMod val="90000"/>
          </a:schemeClr>
        </a:gs>
        <a:gs pos="83000">
          <a:schemeClr val="bg2">
            <a:lumMod val="90000"/>
          </a:schemeClr>
        </a:gs>
        <a:gs pos="100000">
          <a:schemeClr val="bg2">
            <a:lumMod val="90000"/>
          </a:schemeClr>
        </a:gs>
      </a:gsLst>
      <a:lin ang="5400000" scaled="1"/>
      <a:tileRect/>
    </a:gradFill>
    <a:ln>
      <a:solidFill>
        <a:srgbClr val="00206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2060"/>
                </a:solidFill>
              </a:rPr>
              <a:t>AWS - Annual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AWS!$B$16</c:f>
              <c:strCache>
                <c:ptCount val="1"/>
                <c:pt idx="0">
                  <c:v>Storage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AWS!$C$15:$E$15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AWS!$C$16:$E$16</c:f>
              <c:numCache>
                <c:formatCode>_("$"* #,##0_);_("$"* \(#,##0\);_("$"* "-"??_);_(@_)</c:formatCode>
                <c:ptCount val="3"/>
                <c:pt idx="0">
                  <c:v>224259.33412000001</c:v>
                </c:pt>
                <c:pt idx="1">
                  <c:v>326073.86441250006</c:v>
                </c:pt>
                <c:pt idx="2">
                  <c:v>540348.78228000004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4-4441-B3EE-FDA506FF345C}"/>
            </c:ext>
          </c:extLst>
        </c:ser>
        <c:ser>
          <c:idx val="1"/>
          <c:order val="1"/>
          <c:tx>
            <c:strRef>
              <c:f>AWS!$B$17</c:f>
              <c:strCache>
                <c:ptCount val="1"/>
                <c:pt idx="0">
                  <c:v>Compute Instances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AWS!$C$15:$E$15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AWS!$C$17:$E$17</c:f>
              <c:numCache>
                <c:formatCode>_("$"* #,##0_);_("$"* \(#,##0\);_("$"* "-"??_);_(@_)</c:formatCode>
                <c:ptCount val="3"/>
                <c:pt idx="0">
                  <c:v>145300.02000000002</c:v>
                </c:pt>
                <c:pt idx="1">
                  <c:v>344543.76</c:v>
                </c:pt>
                <c:pt idx="2">
                  <c:v>722149.79999999993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4-4441-B3EE-FDA506FF345C}"/>
            </c:ext>
          </c:extLst>
        </c:ser>
        <c:ser>
          <c:idx val="2"/>
          <c:order val="2"/>
          <c:tx>
            <c:strRef>
              <c:f>AWS!$B$18</c:f>
              <c:strCache>
                <c:ptCount val="1"/>
                <c:pt idx="0">
                  <c:v>Network/Data Egress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AWS!$C$15:$E$15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AWS!$C$18:$E$18</c:f>
              <c:numCache>
                <c:formatCode>_("$"* #,##0_);_("$"* \(#,##0\);_("$"* "-"??_);_(@_)</c:formatCode>
                <c:ptCount val="3"/>
                <c:pt idx="0">
                  <c:v>5028462.1814128505</c:v>
                </c:pt>
                <c:pt idx="1">
                  <c:v>11897525.491066948</c:v>
                </c:pt>
                <c:pt idx="2">
                  <c:v>24955496.324929811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C4-4441-B3EE-FDA506FF345C}"/>
            </c:ext>
          </c:extLst>
        </c:ser>
        <c:ser>
          <c:idx val="4"/>
          <c:order val="3"/>
          <c:tx>
            <c:strRef>
              <c:f>AWS!$B$21</c:f>
              <c:strCache>
                <c:ptCount val="1"/>
                <c:pt idx="0">
                  <c:v>Labor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AWS!$C$15:$E$15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AWS!$C$21:$E$21</c:f>
              <c:numCache>
                <c:formatCode>_("$"* #,##0_);_("$"* \(#,##0\);_("$"* "-"??_);_(@_)</c:formatCode>
                <c:ptCount val="3"/>
                <c:pt idx="0">
                  <c:v>972392</c:v>
                </c:pt>
                <c:pt idx="1">
                  <c:v>1001563.76</c:v>
                </c:pt>
                <c:pt idx="2">
                  <c:v>1031610.6728000001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C4-4441-B3EE-FDA506FF345C}"/>
            </c:ext>
          </c:extLst>
        </c:ser>
        <c:ser>
          <c:idx val="6"/>
          <c:order val="4"/>
          <c:tx>
            <c:strRef>
              <c:f>AWS!$B$22</c:f>
              <c:strCache>
                <c:ptCount val="1"/>
                <c:pt idx="0">
                  <c:v>Facility/Capital Expenses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AWS!$C$22:$E$22</c:f>
              <c:numCache>
                <c:formatCode>_("$"* #,##0_);_("$"* \(#,##0\);_("$"* "-"??_);_(@_)</c:formatCode>
                <c:ptCount val="3"/>
                <c:pt idx="0">
                  <c:v>232020</c:v>
                </c:pt>
                <c:pt idx="1">
                  <c:v>120600</c:v>
                </c:pt>
                <c:pt idx="2">
                  <c:v>120600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9B4F-B0C0-7212007CD2A9}"/>
            </c:ext>
          </c:extLst>
        </c:ser>
        <c:ser>
          <c:idx val="5"/>
          <c:order val="5"/>
          <c:tx>
            <c:strRef>
              <c:f>AWS!$B$23</c:f>
              <c:strCache>
                <c:ptCount val="1"/>
                <c:pt idx="0">
                  <c:v>Other Expenses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AWS!$C$15:$E$15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AWS!$C$23:$E$23</c:f>
              <c:numCache>
                <c:formatCode>_("$"* #,##0_);_("$"* \(#,##0\);_("$"* "-"??_);_(@_)</c:formatCode>
                <c:ptCount val="3"/>
                <c:pt idx="0">
                  <c:v>9499.68</c:v>
                </c:pt>
                <c:pt idx="1">
                  <c:v>9499.68</c:v>
                </c:pt>
                <c:pt idx="2">
                  <c:v>9499.68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C4-4441-B3EE-FDA506FF3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499968"/>
        <c:axId val="686465488"/>
      </c:barChart>
      <c:catAx>
        <c:axId val="66149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65488"/>
        <c:crosses val="autoZero"/>
        <c:auto val="1"/>
        <c:lblAlgn val="ctr"/>
        <c:lblOffset val="100"/>
        <c:noMultiLvlLbl val="0"/>
      </c:catAx>
      <c:valAx>
        <c:axId val="6864654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29000"/>
                </a:srgb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999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rgbClr val="00206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bg2">
            <a:lumMod val="90000"/>
          </a:schemeClr>
        </a:gs>
        <a:gs pos="83000">
          <a:schemeClr val="bg2">
            <a:lumMod val="90000"/>
          </a:schemeClr>
        </a:gs>
        <a:gs pos="100000">
          <a:schemeClr val="bg2">
            <a:lumMod val="90000"/>
          </a:schemeClr>
        </a:gs>
      </a:gsLst>
      <a:lin ang="5400000" scaled="1"/>
    </a:gradFill>
    <a:ln w="952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2060"/>
                </a:solidFill>
              </a:rPr>
              <a:t>GCP - Annual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GCP!$B$16</c:f>
              <c:strCache>
                <c:ptCount val="1"/>
                <c:pt idx="0">
                  <c:v>Storage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GCP!$C$15:$E$15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GCP!$C$16:$E$16</c:f>
              <c:numCache>
                <c:formatCode>_("$"* #,##0_);_("$"* \(#,##0\);_("$"* "-"??_);_(@_)</c:formatCode>
                <c:ptCount val="3"/>
                <c:pt idx="0">
                  <c:v>249672.81068250001</c:v>
                </c:pt>
                <c:pt idx="1">
                  <c:v>349532.45816250006</c:v>
                </c:pt>
                <c:pt idx="2">
                  <c:v>563807.37603000004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B-3740-8AFD-05191AEF05B0}"/>
            </c:ext>
          </c:extLst>
        </c:ser>
        <c:ser>
          <c:idx val="1"/>
          <c:order val="1"/>
          <c:tx>
            <c:strRef>
              <c:f>GCP!$B$17</c:f>
              <c:strCache>
                <c:ptCount val="1"/>
                <c:pt idx="0">
                  <c:v>Compute Instances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GCP!$C$15:$E$15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GCP!$C$17:$E$17</c:f>
              <c:numCache>
                <c:formatCode>_("$"* #,##0_);_("$"* \(#,##0\);_("$"* "-"??_);_(@_)</c:formatCode>
                <c:ptCount val="3"/>
                <c:pt idx="0">
                  <c:v>107595.522</c:v>
                </c:pt>
                <c:pt idx="1">
                  <c:v>252573.17399999997</c:v>
                </c:pt>
                <c:pt idx="2">
                  <c:v>527900.68799999997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B-3740-8AFD-05191AEF05B0}"/>
            </c:ext>
          </c:extLst>
        </c:ser>
        <c:ser>
          <c:idx val="2"/>
          <c:order val="2"/>
          <c:tx>
            <c:strRef>
              <c:f>GCP!$B$18</c:f>
              <c:strCache>
                <c:ptCount val="1"/>
                <c:pt idx="0">
                  <c:v>Data Egress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GCP!$C$15:$E$15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GCP!$C$18:$E$18</c:f>
              <c:numCache>
                <c:formatCode>_("$"* #,##0_);_("$"* \(#,##0\);_("$"* "-"??_);_(@_)</c:formatCode>
                <c:ptCount val="3"/>
                <c:pt idx="0">
                  <c:v>4894367.4042045157</c:v>
                </c:pt>
                <c:pt idx="1">
                  <c:v>11681716.007420287</c:v>
                </c:pt>
                <c:pt idx="2">
                  <c:v>24581556.31257686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BB-3740-8AFD-05191AEF05B0}"/>
            </c:ext>
          </c:extLst>
        </c:ser>
        <c:ser>
          <c:idx val="4"/>
          <c:order val="3"/>
          <c:tx>
            <c:strRef>
              <c:f>GCP!$B$21</c:f>
              <c:strCache>
                <c:ptCount val="1"/>
                <c:pt idx="0">
                  <c:v>Labor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GCP!$C$15:$E$15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GCP!$C$21:$E$21</c:f>
              <c:numCache>
                <c:formatCode>_("$"* #,##0_);_("$"* \(#,##0\);_("$"* "-"??_);_(@_)</c:formatCode>
                <c:ptCount val="3"/>
                <c:pt idx="0">
                  <c:v>972392</c:v>
                </c:pt>
                <c:pt idx="1">
                  <c:v>1001563.76</c:v>
                </c:pt>
                <c:pt idx="2">
                  <c:v>1031610.6728000001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BB-3740-8AFD-05191AEF05B0}"/>
            </c:ext>
          </c:extLst>
        </c:ser>
        <c:ser>
          <c:idx val="6"/>
          <c:order val="4"/>
          <c:tx>
            <c:strRef>
              <c:f>GCP!$B$22</c:f>
              <c:strCache>
                <c:ptCount val="1"/>
                <c:pt idx="0">
                  <c:v>Facility/Capital Expenses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GCP!$C$22:$E$22</c:f>
              <c:numCache>
                <c:formatCode>_("$"* #,##0_);_("$"* \(#,##0\);_("$"* "-"??_);_(@_)</c:formatCode>
                <c:ptCount val="3"/>
                <c:pt idx="0">
                  <c:v>232020</c:v>
                </c:pt>
                <c:pt idx="1">
                  <c:v>120600</c:v>
                </c:pt>
                <c:pt idx="2">
                  <c:v>120600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BB-3740-8AFD-05191AEF05B0}"/>
            </c:ext>
          </c:extLst>
        </c:ser>
        <c:ser>
          <c:idx val="5"/>
          <c:order val="5"/>
          <c:tx>
            <c:strRef>
              <c:f>GCP!$B$23</c:f>
              <c:strCache>
                <c:ptCount val="1"/>
                <c:pt idx="0">
                  <c:v>Other Expenses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GCP!$C$15:$E$15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GCP!$C$23:$E$23</c:f>
              <c:numCache>
                <c:formatCode>_("$"* #,##0_);_("$"* \(#,##0\);_("$"* "-"??_);_(@_)</c:formatCode>
                <c:ptCount val="3"/>
                <c:pt idx="0">
                  <c:v>9499.68</c:v>
                </c:pt>
                <c:pt idx="1">
                  <c:v>9499.68</c:v>
                </c:pt>
                <c:pt idx="2">
                  <c:v>9499.68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BB-3740-8AFD-05191AEF0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499968"/>
        <c:axId val="686465488"/>
      </c:barChart>
      <c:catAx>
        <c:axId val="66149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65488"/>
        <c:crosses val="autoZero"/>
        <c:auto val="1"/>
        <c:lblAlgn val="ctr"/>
        <c:lblOffset val="100"/>
        <c:noMultiLvlLbl val="0"/>
      </c:catAx>
      <c:valAx>
        <c:axId val="6864654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29000"/>
                </a:srgb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999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rgbClr val="00206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bg2">
            <a:lumMod val="90000"/>
          </a:schemeClr>
        </a:gs>
        <a:gs pos="83000">
          <a:schemeClr val="bg2">
            <a:lumMod val="90000"/>
          </a:schemeClr>
        </a:gs>
        <a:gs pos="100000">
          <a:schemeClr val="bg2">
            <a:lumMod val="90000"/>
          </a:schemeClr>
        </a:gs>
      </a:gsLst>
      <a:lin ang="5400000" scaled="1"/>
    </a:gradFill>
    <a:ln w="952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1289050</xdr:colOff>
      <xdr:row>23</xdr:row>
      <xdr:rowOff>298448</xdr:rowOff>
    </xdr:from>
    <xdr:to>
      <xdr:col>13</xdr:col>
      <xdr:colOff>577850</xdr:colOff>
      <xdr:row>44</xdr:row>
      <xdr:rowOff>6348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4449E-6B17-D848-9B77-D3D694750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971550</xdr:colOff>
      <xdr:row>23</xdr:row>
      <xdr:rowOff>285750</xdr:rowOff>
    </xdr:from>
    <xdr:to>
      <xdr:col>22</xdr:col>
      <xdr:colOff>158750</xdr:colOff>
      <xdr:row>43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8F0408-8E6D-694F-AC56-89993AA2A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50</xdr:row>
      <xdr:rowOff>6350</xdr:rowOff>
    </xdr:from>
    <xdr:to>
      <xdr:col>15</xdr:col>
      <xdr:colOff>660400</xdr:colOff>
      <xdr:row>62</xdr:row>
      <xdr:rowOff>24130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836774-9793-6144-95CA-73D08E77E1B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12700</xdr:colOff>
      <xdr:row>50</xdr:row>
      <xdr:rowOff>12700</xdr:rowOff>
    </xdr:from>
    <xdr:to>
      <xdr:col>21</xdr:col>
      <xdr:colOff>0</xdr:colOff>
      <xdr:row>62</xdr:row>
      <xdr:rowOff>30480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76A256-3580-9F45-A703-9F4F4DB5389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63</xdr:row>
      <xdr:rowOff>0</xdr:rowOff>
    </xdr:from>
    <xdr:to>
      <xdr:col>15</xdr:col>
      <xdr:colOff>660400</xdr:colOff>
      <xdr:row>75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9DC67D0-D97A-804A-BC69-FA03277BD5C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63</xdr:row>
      <xdr:rowOff>12700</xdr:rowOff>
    </xdr:from>
    <xdr:to>
      <xdr:col>20</xdr:col>
      <xdr:colOff>812800</xdr:colOff>
      <xdr:row>75</xdr:row>
      <xdr:rowOff>43180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C8C06F-74A4-FD43-9BCC-814A7A9D225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17990</xdr:colOff>
      <xdr:row>3</xdr:row>
      <xdr:rowOff>13760</xdr:rowOff>
    </xdr:from>
    <xdr:to>
      <xdr:col>13</xdr:col>
      <xdr:colOff>825499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7ED485-DED8-7B42-85E4-9F3EC5C5E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13759</xdr:colOff>
      <xdr:row>3</xdr:row>
      <xdr:rowOff>9526</xdr:rowOff>
    </xdr:from>
    <xdr:to>
      <xdr:col>19</xdr:col>
      <xdr:colOff>552239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525B66-4D5B-B742-B742-8B77CBAC8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10205</xdr:colOff>
      <xdr:row>17</xdr:row>
      <xdr:rowOff>452</xdr:rowOff>
    </xdr:from>
    <xdr:to>
      <xdr:col>15</xdr:col>
      <xdr:colOff>510948</xdr:colOff>
      <xdr:row>37</xdr:row>
      <xdr:rowOff>21770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82F94B-CF96-BC4B-8DC6-7226A0F0D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12700</xdr:colOff>
      <xdr:row>1</xdr:row>
      <xdr:rowOff>16934</xdr:rowOff>
    </xdr:from>
    <xdr:to>
      <xdr:col>21</xdr:col>
      <xdr:colOff>975816</xdr:colOff>
      <xdr:row>18</xdr:row>
      <xdr:rowOff>80434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D38EFE-7901-9C41-867E-27ED482F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62967" y="321734"/>
          <a:ext cx="5916116" cy="3551767"/>
        </a:xfrm>
        <a:prstGeom prst="rect">
          <a:avLst/>
        </a:prstGeom>
        <a:ln>
          <a:solidFill>
            <a:srgbClr val="00206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0</xdr:row>
      <xdr:rowOff>298450</xdr:rowOff>
    </xdr:from>
    <xdr:to>
      <xdr:col>11</xdr:col>
      <xdr:colOff>733425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5D95B-66C6-B149-BCCE-3F5C50897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0</xdr:row>
      <xdr:rowOff>298450</xdr:rowOff>
    </xdr:from>
    <xdr:to>
      <xdr:col>11</xdr:col>
      <xdr:colOff>733425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3F8A0-F377-AF43-A002-132E225BC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rash Davis" id="{0D009E1C-9E4C-C645-AAB2-5601F039B27D}" userId="Crash Davi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zoomScaleNormal="100" workbookViewId="0">
      <selection activeCell="L21" sqref="L21"/>
    </sheetView>
  </sheetViews>
  <sheetFormatPr baseColWidth="10" defaultRowHeight="16"/>
  <cols>
    <col min="1" max="1" width="10.5" style="7" customWidth="1"/>
    <col min="2" max="2" width="23.33203125" bestFit="1" customWidth="1"/>
    <col min="3" max="3" width="15.1640625" customWidth="1"/>
    <col min="4" max="4" width="15" bestFit="1" customWidth="1"/>
    <col min="5" max="5" width="15.5" bestFit="1" customWidth="1"/>
    <col min="6" max="6" width="16.6640625" bestFit="1" customWidth="1"/>
    <col min="7" max="7" width="17.1640625" bestFit="1" customWidth="1"/>
    <col min="8" max="8" width="16.6640625" bestFit="1" customWidth="1"/>
    <col min="9" max="9" width="14.83203125" bestFit="1" customWidth="1"/>
    <col min="10" max="10" width="12.33203125" bestFit="1" customWidth="1"/>
    <col min="11" max="11" width="12.83203125" bestFit="1" customWidth="1"/>
    <col min="15" max="15" width="12.83203125" bestFit="1" customWidth="1"/>
  </cols>
  <sheetData>
    <row r="2" spans="1:15" ht="21">
      <c r="A2" s="96" t="s">
        <v>188</v>
      </c>
    </row>
    <row r="3" spans="1:15" ht="18" customHeight="1" thickBot="1">
      <c r="A3" s="110" t="s">
        <v>346</v>
      </c>
      <c r="B3" s="110" t="s">
        <v>187</v>
      </c>
      <c r="C3" s="111" t="s">
        <v>44</v>
      </c>
      <c r="D3" s="111" t="s">
        <v>45</v>
      </c>
      <c r="E3" s="111" t="s">
        <v>46</v>
      </c>
      <c r="F3" s="111" t="s">
        <v>72</v>
      </c>
      <c r="G3" s="215"/>
      <c r="H3" s="216"/>
      <c r="I3" s="216"/>
      <c r="J3" s="216"/>
      <c r="K3" s="216"/>
    </row>
    <row r="4" spans="1:15" ht="17" customHeight="1">
      <c r="A4" s="360" t="s">
        <v>332</v>
      </c>
      <c r="B4" s="98">
        <f>SUM(F5,F9)</f>
        <v>47691445.031022117</v>
      </c>
      <c r="C4" s="98"/>
      <c r="D4" s="98"/>
      <c r="E4" s="98"/>
      <c r="F4" s="99"/>
      <c r="G4" s="217"/>
      <c r="H4" s="217"/>
      <c r="I4" s="217"/>
      <c r="J4" s="217"/>
      <c r="K4" s="217"/>
    </row>
    <row r="5" spans="1:15">
      <c r="A5" s="361"/>
      <c r="B5" s="100" t="s">
        <v>348</v>
      </c>
      <c r="C5" s="101">
        <f>SUM(C6:C8)</f>
        <v>5398021.5355328508</v>
      </c>
      <c r="D5" s="101">
        <f t="shared" ref="D5" si="0">SUM(D6:D8)</f>
        <v>12568143.115479447</v>
      </c>
      <c r="E5" s="101">
        <f t="shared" ref="E5" si="1">SUM(E6:E8)</f>
        <v>26217994.90720981</v>
      </c>
      <c r="F5" s="102">
        <f t="shared" ref="F5" si="2">SUM(F6:F8)</f>
        <v>44184159.558222115</v>
      </c>
      <c r="G5" s="212"/>
      <c r="H5" s="213"/>
      <c r="I5" s="213"/>
      <c r="J5" s="213"/>
      <c r="K5" s="213"/>
    </row>
    <row r="6" spans="1:15">
      <c r="A6" s="361"/>
      <c r="B6" s="103" t="s">
        <v>42</v>
      </c>
      <c r="C6" s="104">
        <f>AWS!C16</f>
        <v>224259.33412000001</v>
      </c>
      <c r="D6" s="104">
        <f>AWS!D16</f>
        <v>326073.86441250006</v>
      </c>
      <c r="E6" s="104">
        <f>AWS!E16</f>
        <v>540348.78228000004</v>
      </c>
      <c r="F6" s="105">
        <f>SUM(C6:E6)</f>
        <v>1090681.9808125002</v>
      </c>
      <c r="G6" s="206"/>
      <c r="H6" s="74"/>
      <c r="I6" s="74"/>
      <c r="J6" s="74"/>
      <c r="K6" s="74"/>
      <c r="O6" s="42"/>
    </row>
    <row r="7" spans="1:15">
      <c r="A7" s="361"/>
      <c r="B7" s="103" t="s">
        <v>282</v>
      </c>
      <c r="C7" s="104">
        <f>AWS!C17</f>
        <v>145300.02000000002</v>
      </c>
      <c r="D7" s="104">
        <f>AWS!D17</f>
        <v>344543.76</v>
      </c>
      <c r="E7" s="104">
        <f>AWS!E17</f>
        <v>722149.79999999993</v>
      </c>
      <c r="F7" s="105">
        <f t="shared" ref="F7:F8" si="3">SUM(C7:E7)</f>
        <v>1211993.58</v>
      </c>
      <c r="G7" s="206"/>
      <c r="H7" s="74"/>
      <c r="I7" s="74"/>
      <c r="J7" s="74"/>
      <c r="K7" s="74"/>
      <c r="O7" s="42"/>
    </row>
    <row r="8" spans="1:15">
      <c r="A8" s="361"/>
      <c r="B8" s="103" t="s">
        <v>344</v>
      </c>
      <c r="C8" s="104">
        <f>AWS!C18</f>
        <v>5028462.1814128505</v>
      </c>
      <c r="D8" s="104">
        <f>AWS!D18</f>
        <v>11897525.491066948</v>
      </c>
      <c r="E8" s="104">
        <f>AWS!E18</f>
        <v>24955496.324929811</v>
      </c>
      <c r="F8" s="105">
        <f t="shared" si="3"/>
        <v>41881483.997409612</v>
      </c>
      <c r="G8" s="206"/>
      <c r="H8" s="74"/>
      <c r="I8" s="74"/>
      <c r="J8" s="74"/>
      <c r="K8" s="74"/>
      <c r="O8" s="42"/>
    </row>
    <row r="9" spans="1:15">
      <c r="A9" s="361"/>
      <c r="B9" s="106" t="s">
        <v>222</v>
      </c>
      <c r="C9" s="101">
        <f>SUM(C10:C12)</f>
        <v>1213911.68</v>
      </c>
      <c r="D9" s="101">
        <f>SUM(D10:D12)</f>
        <v>1131663.44</v>
      </c>
      <c r="E9" s="101">
        <f>SUM(E10:E12)</f>
        <v>1161710.3528</v>
      </c>
      <c r="F9" s="102">
        <f>SUM(F10:F12)</f>
        <v>3507285.4728000001</v>
      </c>
      <c r="G9" s="214"/>
      <c r="H9" s="213"/>
      <c r="I9" s="213"/>
      <c r="J9" s="213"/>
      <c r="K9" s="213"/>
      <c r="O9" s="42"/>
    </row>
    <row r="10" spans="1:15">
      <c r="A10" s="361"/>
      <c r="B10" s="103" t="s">
        <v>78</v>
      </c>
      <c r="C10" s="104">
        <f>AWS!C21</f>
        <v>972392</v>
      </c>
      <c r="D10" s="104">
        <f>AWS!D21</f>
        <v>1001563.76</v>
      </c>
      <c r="E10" s="104">
        <f>AWS!E21</f>
        <v>1031610.6728000001</v>
      </c>
      <c r="F10" s="105">
        <f t="shared" ref="F10:F11" si="4">SUM(C10:E10)</f>
        <v>3005566.4328000001</v>
      </c>
      <c r="G10" s="206"/>
      <c r="H10" s="74"/>
      <c r="I10" s="74"/>
      <c r="J10" s="74"/>
      <c r="K10" s="74"/>
    </row>
    <row r="11" spans="1:15">
      <c r="A11" s="361"/>
      <c r="B11" s="103" t="s">
        <v>264</v>
      </c>
      <c r="C11" s="104">
        <f>AWS!C22</f>
        <v>232020</v>
      </c>
      <c r="D11" s="104">
        <f>AWS!D22</f>
        <v>120600</v>
      </c>
      <c r="E11" s="104">
        <f>AWS!E22</f>
        <v>120600</v>
      </c>
      <c r="F11" s="105">
        <f t="shared" si="4"/>
        <v>473220</v>
      </c>
      <c r="G11" s="206"/>
      <c r="H11" s="74"/>
      <c r="I11" s="74"/>
      <c r="J11" s="74"/>
      <c r="K11" s="74"/>
    </row>
    <row r="12" spans="1:15" ht="17" thickBot="1">
      <c r="A12" s="362"/>
      <c r="B12" s="107" t="s">
        <v>189</v>
      </c>
      <c r="C12" s="108">
        <f>AWS!C23</f>
        <v>9499.68</v>
      </c>
      <c r="D12" s="108">
        <f>AWS!D23</f>
        <v>9499.68</v>
      </c>
      <c r="E12" s="108">
        <f>AWS!E23</f>
        <v>9499.68</v>
      </c>
      <c r="F12" s="109">
        <f>SUM(C12:E12)</f>
        <v>28499.040000000001</v>
      </c>
      <c r="G12" s="206"/>
      <c r="H12" s="74"/>
      <c r="I12" s="74"/>
      <c r="J12" s="74"/>
      <c r="K12" s="74"/>
    </row>
    <row r="13" spans="1:15" ht="17" customHeight="1">
      <c r="A13" s="360" t="s">
        <v>347</v>
      </c>
      <c r="B13" s="98">
        <f>SUM(F14,F18)</f>
        <v>46716007.225876667</v>
      </c>
      <c r="C13" s="98"/>
      <c r="D13" s="98"/>
      <c r="E13" s="98"/>
      <c r="F13" s="99"/>
      <c r="G13" s="217"/>
      <c r="H13" s="217"/>
      <c r="I13" s="217"/>
      <c r="J13" s="217"/>
      <c r="K13" s="217"/>
    </row>
    <row r="14" spans="1:15">
      <c r="A14" s="361"/>
      <c r="B14" s="100" t="s">
        <v>348</v>
      </c>
      <c r="C14" s="101">
        <f>SUM(C15:C17)</f>
        <v>5251635.7368870154</v>
      </c>
      <c r="D14" s="101">
        <f t="shared" ref="D14" si="5">SUM(D15:D17)</f>
        <v>12283821.639582787</v>
      </c>
      <c r="E14" s="101">
        <f t="shared" ref="E14:F14" si="6">SUM(E15:E17)</f>
        <v>25673264.376606859</v>
      </c>
      <c r="F14" s="102">
        <f t="shared" si="6"/>
        <v>43208721.753076665</v>
      </c>
      <c r="G14" s="212"/>
      <c r="H14" s="213"/>
      <c r="I14" s="213"/>
      <c r="J14" s="213"/>
      <c r="K14" s="213"/>
    </row>
    <row r="15" spans="1:15" ht="17" customHeight="1">
      <c r="A15" s="361"/>
      <c r="B15" s="103" t="s">
        <v>42</v>
      </c>
      <c r="C15" s="104">
        <f>GCP!C16</f>
        <v>249672.81068250001</v>
      </c>
      <c r="D15" s="104">
        <f>GCP!D16</f>
        <v>349532.45816250006</v>
      </c>
      <c r="E15" s="104">
        <f>GCP!E16</f>
        <v>563807.37603000004</v>
      </c>
      <c r="F15" s="105">
        <f>SUM(C15:E15)</f>
        <v>1163012.6448750002</v>
      </c>
      <c r="G15" s="206"/>
      <c r="H15" s="74"/>
      <c r="I15" s="74"/>
      <c r="J15" s="74"/>
      <c r="K15" s="74"/>
    </row>
    <row r="16" spans="1:15">
      <c r="A16" s="361"/>
      <c r="B16" s="103" t="s">
        <v>282</v>
      </c>
      <c r="C16" s="104">
        <f>GCP!C17</f>
        <v>107595.522</v>
      </c>
      <c r="D16" s="104">
        <f>GCP!D17</f>
        <v>252573.17399999997</v>
      </c>
      <c r="E16" s="104">
        <f>GCP!E17</f>
        <v>527900.68799999997</v>
      </c>
      <c r="F16" s="105">
        <f t="shared" ref="F16:F17" si="7">SUM(C16:E16)</f>
        <v>888069.38399999996</v>
      </c>
      <c r="G16" s="206"/>
      <c r="H16" s="74"/>
      <c r="I16" s="74"/>
      <c r="J16" s="74"/>
      <c r="K16" s="74"/>
    </row>
    <row r="17" spans="1:11">
      <c r="A17" s="361"/>
      <c r="B17" s="103" t="s">
        <v>344</v>
      </c>
      <c r="C17" s="104">
        <f>GCP!C18</f>
        <v>4894367.4042045157</v>
      </c>
      <c r="D17" s="104">
        <f>GCP!D18</f>
        <v>11681716.007420287</v>
      </c>
      <c r="E17" s="104">
        <f>GCP!E18</f>
        <v>24581556.31257686</v>
      </c>
      <c r="F17" s="105">
        <f t="shared" si="7"/>
        <v>41157639.724201664</v>
      </c>
      <c r="G17" s="206"/>
      <c r="H17" s="74"/>
      <c r="I17" s="74"/>
      <c r="J17" s="74"/>
      <c r="K17" s="74"/>
    </row>
    <row r="18" spans="1:11">
      <c r="A18" s="361"/>
      <c r="B18" s="106" t="s">
        <v>222</v>
      </c>
      <c r="C18" s="101">
        <f>SUM(C19:C21)</f>
        <v>1213911.68</v>
      </c>
      <c r="D18" s="101">
        <f>SUM(D19:D21)</f>
        <v>1131663.44</v>
      </c>
      <c r="E18" s="101">
        <f>SUM(E19:E21)</f>
        <v>1161710.3528</v>
      </c>
      <c r="F18" s="102">
        <f>SUM(F19:F21)</f>
        <v>3507285.4728000001</v>
      </c>
      <c r="G18" s="214"/>
      <c r="H18" s="213"/>
      <c r="I18" s="213"/>
      <c r="J18" s="213"/>
      <c r="K18" s="213"/>
    </row>
    <row r="19" spans="1:11" ht="18" customHeight="1">
      <c r="A19" s="361"/>
      <c r="B19" s="103" t="s">
        <v>78</v>
      </c>
      <c r="C19" s="104">
        <f>GCP!C21</f>
        <v>972392</v>
      </c>
      <c r="D19" s="104">
        <f>GCP!D21</f>
        <v>1001563.76</v>
      </c>
      <c r="E19" s="104">
        <f>GCP!E21</f>
        <v>1031610.6728000001</v>
      </c>
      <c r="F19" s="105">
        <f t="shared" ref="F19:F20" si="8">SUM(C19:E19)</f>
        <v>3005566.4328000001</v>
      </c>
      <c r="G19" s="206"/>
      <c r="H19" s="74"/>
      <c r="I19" s="74"/>
      <c r="J19" s="74"/>
      <c r="K19" s="74"/>
    </row>
    <row r="20" spans="1:11" ht="18" customHeight="1">
      <c r="A20" s="361"/>
      <c r="B20" s="103" t="s">
        <v>264</v>
      </c>
      <c r="C20" s="104">
        <f>GCP!C22</f>
        <v>232020</v>
      </c>
      <c r="D20" s="104">
        <f>GCP!D22</f>
        <v>120600</v>
      </c>
      <c r="E20" s="104">
        <f>GCP!E22</f>
        <v>120600</v>
      </c>
      <c r="F20" s="105">
        <f t="shared" si="8"/>
        <v>473220</v>
      </c>
      <c r="G20" s="206"/>
      <c r="H20" s="74"/>
      <c r="I20" s="74"/>
      <c r="J20" s="74"/>
      <c r="K20" s="74"/>
    </row>
    <row r="21" spans="1:11" ht="17" thickBot="1">
      <c r="A21" s="362"/>
      <c r="B21" s="107" t="s">
        <v>189</v>
      </c>
      <c r="C21" s="108">
        <f>GCP!C23</f>
        <v>9499.68</v>
      </c>
      <c r="D21" s="108">
        <f>GCP!D23</f>
        <v>9499.68</v>
      </c>
      <c r="E21" s="108">
        <f>GCP!E23</f>
        <v>9499.68</v>
      </c>
      <c r="F21" s="109">
        <f>SUM(C21:E21)</f>
        <v>28499.040000000001</v>
      </c>
      <c r="G21" s="206"/>
      <c r="H21" s="74"/>
      <c r="I21" s="74"/>
      <c r="J21" s="74"/>
      <c r="K21" s="74"/>
    </row>
    <row r="23" spans="1:11" ht="19">
      <c r="A23" s="97"/>
    </row>
    <row r="24" spans="1:11" ht="24">
      <c r="A24" s="208" t="s">
        <v>241</v>
      </c>
    </row>
    <row r="25" spans="1:11">
      <c r="C25" s="92"/>
      <c r="D25" s="92"/>
      <c r="E25" s="92"/>
      <c r="F25" s="92"/>
    </row>
    <row r="26" spans="1:11">
      <c r="B26" s="179"/>
      <c r="C26" s="209" t="s">
        <v>235</v>
      </c>
      <c r="D26" s="209" t="s">
        <v>236</v>
      </c>
      <c r="E26" s="209" t="s">
        <v>239</v>
      </c>
      <c r="F26" s="42"/>
    </row>
    <row r="27" spans="1:11">
      <c r="B27" s="11" t="s">
        <v>242</v>
      </c>
      <c r="C27" s="1">
        <v>1754</v>
      </c>
      <c r="D27" s="1">
        <v>2438</v>
      </c>
      <c r="E27" s="42">
        <f>AWS!$H$120+AWS!$H$160</f>
        <v>528</v>
      </c>
      <c r="F27" s="42"/>
    </row>
    <row r="28" spans="1:11">
      <c r="B28" s="11" t="s">
        <v>190</v>
      </c>
      <c r="C28" s="1">
        <v>1256</v>
      </c>
      <c r="D28" s="1">
        <v>1426</v>
      </c>
      <c r="E28" s="42">
        <v>0</v>
      </c>
      <c r="F28" s="42"/>
    </row>
    <row r="29" spans="1:11">
      <c r="B29" s="206" t="s">
        <v>191</v>
      </c>
      <c r="C29" s="1">
        <v>40</v>
      </c>
      <c r="D29" s="1">
        <v>56</v>
      </c>
      <c r="E29" s="42">
        <v>0</v>
      </c>
      <c r="F29" s="42"/>
    </row>
    <row r="30" spans="1:11">
      <c r="B30" s="206" t="s">
        <v>77</v>
      </c>
      <c r="C30" s="1">
        <v>294</v>
      </c>
      <c r="D30" s="1">
        <v>410</v>
      </c>
      <c r="E30" s="42">
        <v>0</v>
      </c>
      <c r="F30" s="42"/>
    </row>
    <row r="31" spans="1:11">
      <c r="B31" s="207"/>
      <c r="C31" s="42"/>
      <c r="D31" s="42"/>
      <c r="E31" s="42"/>
      <c r="F31" s="42"/>
    </row>
    <row r="32" spans="1:11">
      <c r="B32" s="207"/>
      <c r="C32" s="42"/>
      <c r="D32" s="42"/>
      <c r="E32" s="42"/>
      <c r="F32" s="42"/>
    </row>
    <row r="33" spans="1:6">
      <c r="B33" s="206"/>
      <c r="C33" s="209" t="s">
        <v>235</v>
      </c>
      <c r="D33" s="209" t="s">
        <v>236</v>
      </c>
      <c r="E33" s="210" t="s">
        <v>239</v>
      </c>
    </row>
    <row r="34" spans="1:6">
      <c r="B34" s="11" t="s">
        <v>242</v>
      </c>
      <c r="C34" s="48">
        <v>4205626.74</v>
      </c>
      <c r="D34" s="48">
        <v>5828530.1600000001</v>
      </c>
      <c r="E34" s="48">
        <f>F5</f>
        <v>44184159.558222115</v>
      </c>
    </row>
    <row r="35" spans="1:6">
      <c r="B35" s="11" t="s">
        <v>61</v>
      </c>
      <c r="C35" s="48">
        <v>7800000</v>
      </c>
      <c r="D35" s="48">
        <v>9258000</v>
      </c>
      <c r="E35" s="48">
        <v>0</v>
      </c>
    </row>
    <row r="36" spans="1:6">
      <c r="B36" s="11" t="s">
        <v>77</v>
      </c>
      <c r="C36" s="48">
        <v>1470000</v>
      </c>
      <c r="D36" s="48">
        <v>2050000</v>
      </c>
      <c r="E36" s="48">
        <v>0</v>
      </c>
    </row>
    <row r="37" spans="1:6">
      <c r="B37" s="11" t="s">
        <v>127</v>
      </c>
      <c r="C37" s="48">
        <v>2249664.9988000002</v>
      </c>
      <c r="D37" s="48">
        <v>2189894.5054500001</v>
      </c>
      <c r="E37" s="48">
        <v>0</v>
      </c>
    </row>
    <row r="38" spans="1:6">
      <c r="B38" s="11" t="s">
        <v>78</v>
      </c>
      <c r="C38" s="48">
        <v>2500093.0104</v>
      </c>
      <c r="D38" s="48">
        <v>2752829.7215999998</v>
      </c>
      <c r="E38" s="48">
        <f>F19</f>
        <v>3005566.4328000001</v>
      </c>
    </row>
    <row r="39" spans="1:6">
      <c r="B39" s="11" t="s">
        <v>240</v>
      </c>
      <c r="C39" s="48">
        <v>28106240.595496573</v>
      </c>
      <c r="D39" s="48">
        <v>18648449.013095036</v>
      </c>
      <c r="E39" s="48">
        <f>F20</f>
        <v>473220</v>
      </c>
    </row>
    <row r="40" spans="1:6">
      <c r="B40" s="11" t="s">
        <v>234</v>
      </c>
      <c r="C40" s="48">
        <v>7443645.5767638711</v>
      </c>
      <c r="D40" s="48">
        <v>12237715.4134981</v>
      </c>
      <c r="E40" s="48">
        <f>F21</f>
        <v>28499.040000000001</v>
      </c>
    </row>
    <row r="41" spans="1:6" ht="19">
      <c r="A41" s="97"/>
      <c r="B41" s="11" t="s">
        <v>110</v>
      </c>
      <c r="C41" s="42">
        <f>SUM(C34:C40)</f>
        <v>53775270.921460442</v>
      </c>
      <c r="D41" s="42">
        <f>SUM(D34:D40)</f>
        <v>52965418.813643143</v>
      </c>
      <c r="E41" s="42">
        <f>SUM(E34:E40)</f>
        <v>47691445.031022117</v>
      </c>
    </row>
    <row r="43" spans="1:6">
      <c r="C43" s="209"/>
      <c r="D43" s="209"/>
      <c r="E43" s="179"/>
      <c r="F43" s="179"/>
    </row>
    <row r="44" spans="1:6">
      <c r="C44" s="140"/>
      <c r="D44" s="140"/>
      <c r="E44" s="140"/>
      <c r="F44" s="140"/>
    </row>
    <row r="45" spans="1:6">
      <c r="C45" s="140"/>
      <c r="D45" s="140"/>
      <c r="E45" s="140"/>
      <c r="F45" s="140"/>
    </row>
    <row r="46" spans="1:6">
      <c r="C46" s="209"/>
      <c r="D46" s="209"/>
      <c r="E46" s="140"/>
      <c r="F46" s="140"/>
    </row>
    <row r="47" spans="1:6">
      <c r="C47" s="1"/>
      <c r="D47" s="140"/>
      <c r="E47" s="140"/>
      <c r="F47" s="140"/>
    </row>
    <row r="48" spans="1:6">
      <c r="C48" s="1"/>
      <c r="D48" s="140"/>
    </row>
    <row r="49" spans="1:10">
      <c r="C49" s="1"/>
      <c r="D49" s="140"/>
    </row>
    <row r="50" spans="1:10" ht="17" thickBot="1"/>
    <row r="51" spans="1:10">
      <c r="D51" s="398"/>
      <c r="E51" s="385" t="s">
        <v>327</v>
      </c>
      <c r="F51" s="385"/>
      <c r="G51" s="385"/>
      <c r="H51" s="385"/>
      <c r="I51" s="385"/>
      <c r="J51" s="386"/>
    </row>
    <row r="52" spans="1:10" ht="17" thickBot="1">
      <c r="A52" s="81" t="s">
        <v>323</v>
      </c>
      <c r="D52" s="397" t="s">
        <v>246</v>
      </c>
      <c r="E52" s="395" t="s">
        <v>55</v>
      </c>
      <c r="F52" s="395" t="s">
        <v>325</v>
      </c>
      <c r="G52" s="395" t="s">
        <v>324</v>
      </c>
      <c r="H52" s="395" t="s">
        <v>326</v>
      </c>
      <c r="I52" s="395" t="s">
        <v>328</v>
      </c>
      <c r="J52" s="396" t="s">
        <v>329</v>
      </c>
    </row>
    <row r="53" spans="1:10">
      <c r="C53" s="141"/>
      <c r="D53" s="391">
        <v>0</v>
      </c>
      <c r="E53" s="392">
        <f>'CPU (Workload)'!C16</f>
        <v>1500000</v>
      </c>
      <c r="F53" s="392">
        <f>'CPU (Workload)'!L16</f>
        <v>8261775000</v>
      </c>
      <c r="G53" s="392">
        <f>'CPU (Workload)'!M16</f>
        <v>1376962500</v>
      </c>
      <c r="H53" s="392">
        <f>'CPU (Workload)'!N16</f>
        <v>5507850000</v>
      </c>
      <c r="I53" s="393">
        <f>Bandwidth!K128</f>
        <v>45853927.001953132</v>
      </c>
      <c r="J53" s="394">
        <f>Storage!$E$11+Storage!$E$15</f>
        <v>500976.5625</v>
      </c>
    </row>
    <row r="54" spans="1:10">
      <c r="D54" s="387">
        <v>1</v>
      </c>
      <c r="E54" s="383">
        <f>'CPU (Workload)'!C17</f>
        <v>1583500</v>
      </c>
      <c r="F54" s="383">
        <f>'CPU (Workload)'!L17</f>
        <v>8721680475</v>
      </c>
      <c r="G54" s="383">
        <f>'CPU (Workload)'!M17</f>
        <v>1453613412.5</v>
      </c>
      <c r="H54" s="383">
        <f>'CPU (Workload)'!N17</f>
        <v>5814453650</v>
      </c>
      <c r="I54" s="384">
        <f>Bandwidth!K129</f>
        <v>48406462.271728516</v>
      </c>
      <c r="J54" s="146">
        <f>Storage!$E$11+Storage!$E$15</f>
        <v>500976.5625</v>
      </c>
    </row>
    <row r="55" spans="1:10">
      <c r="D55" s="387">
        <v>2</v>
      </c>
      <c r="E55" s="383">
        <f>'CPU (Workload)'!C18</f>
        <v>1667000</v>
      </c>
      <c r="F55" s="383">
        <f>'CPU (Workload)'!L18</f>
        <v>9181585950</v>
      </c>
      <c r="G55" s="383">
        <f>'CPU (Workload)'!M18</f>
        <v>1530264325</v>
      </c>
      <c r="H55" s="383">
        <f>'CPU (Workload)'!N18</f>
        <v>6121057300</v>
      </c>
      <c r="I55" s="384">
        <f>Bandwidth!K130</f>
        <v>50958997.541503906</v>
      </c>
      <c r="J55" s="146">
        <f>Storage!$E$11+Storage!$E$15</f>
        <v>500976.5625</v>
      </c>
    </row>
    <row r="56" spans="1:10">
      <c r="D56" s="387">
        <v>3</v>
      </c>
      <c r="E56" s="383">
        <f>'CPU (Workload)'!C19</f>
        <v>1750500</v>
      </c>
      <c r="F56" s="383">
        <f>'CPU (Workload)'!L19</f>
        <v>9641491425</v>
      </c>
      <c r="G56" s="383">
        <f>'CPU (Workload)'!M19</f>
        <v>1606915237.5</v>
      </c>
      <c r="H56" s="383">
        <f>'CPU (Workload)'!N19</f>
        <v>6427660950</v>
      </c>
      <c r="I56" s="384">
        <f>Bandwidth!K131</f>
        <v>53511532.811279297</v>
      </c>
      <c r="J56" s="146">
        <f>Storage!$E$11+Storage!$E$15</f>
        <v>500976.5625</v>
      </c>
    </row>
    <row r="57" spans="1:10">
      <c r="D57" s="387">
        <v>4</v>
      </c>
      <c r="E57" s="383">
        <f>'CPU (Workload)'!C20</f>
        <v>1834000</v>
      </c>
      <c r="F57" s="383">
        <f>'CPU (Workload)'!L20</f>
        <v>10101396900</v>
      </c>
      <c r="G57" s="383">
        <f>'CPU (Workload)'!M20</f>
        <v>1683566150</v>
      </c>
      <c r="H57" s="383">
        <f>'CPU (Workload)'!N20</f>
        <v>6734264600</v>
      </c>
      <c r="I57" s="384">
        <f>Bandwidth!K132</f>
        <v>56064068.081054688</v>
      </c>
      <c r="J57" s="146">
        <f>Storage!$E$11+Storage!$E$15</f>
        <v>500976.5625</v>
      </c>
    </row>
    <row r="58" spans="1:10">
      <c r="D58" s="387">
        <v>5</v>
      </c>
      <c r="E58" s="383">
        <f>'CPU (Workload)'!C21</f>
        <v>1917500</v>
      </c>
      <c r="F58" s="383">
        <f>'CPU (Workload)'!L21</f>
        <v>10561302375</v>
      </c>
      <c r="G58" s="383">
        <f>'CPU (Workload)'!M21</f>
        <v>1760217062.5</v>
      </c>
      <c r="H58" s="383">
        <f>'CPU (Workload)'!N21</f>
        <v>7040868250</v>
      </c>
      <c r="I58" s="384">
        <f>Bandwidth!K133</f>
        <v>58616603.350830078</v>
      </c>
      <c r="J58" s="146">
        <f>Storage!$E$11+Storage!$E$15</f>
        <v>500976.5625</v>
      </c>
    </row>
    <row r="59" spans="1:10">
      <c r="D59" s="387">
        <v>6</v>
      </c>
      <c r="E59" s="383">
        <f>'CPU (Workload)'!C22</f>
        <v>2001000</v>
      </c>
      <c r="F59" s="383">
        <f>'CPU (Workload)'!L22</f>
        <v>11021207850</v>
      </c>
      <c r="G59" s="383">
        <f>'CPU (Workload)'!M22</f>
        <v>1836867975</v>
      </c>
      <c r="H59" s="383">
        <f>'CPU (Workload)'!N22</f>
        <v>7347471900</v>
      </c>
      <c r="I59" s="384">
        <f>Bandwidth!K134</f>
        <v>61169138.620605461</v>
      </c>
      <c r="J59" s="146">
        <f>Storage!$E$11+Storage!$E$15</f>
        <v>500976.5625</v>
      </c>
    </row>
    <row r="60" spans="1:10">
      <c r="D60" s="387">
        <v>7</v>
      </c>
      <c r="E60" s="383">
        <f>'CPU (Workload)'!C23</f>
        <v>2334250</v>
      </c>
      <c r="F60" s="383">
        <f>'CPU (Workload)'!L23</f>
        <v>12856698862.5</v>
      </c>
      <c r="G60" s="383">
        <f>'CPU (Workload)'!M23</f>
        <v>2142783143.75</v>
      </c>
      <c r="H60" s="383">
        <f>'CPU (Workload)'!N23</f>
        <v>8571132575</v>
      </c>
      <c r="I60" s="384">
        <f>Bandwidth!K135</f>
        <v>71356352.73620604</v>
      </c>
      <c r="J60" s="146">
        <f>Storage!$E$11+Storage!$E$15</f>
        <v>500976.5625</v>
      </c>
    </row>
    <row r="61" spans="1:10">
      <c r="D61" s="387">
        <v>8</v>
      </c>
      <c r="E61" s="383">
        <f>'CPU (Workload)'!C24</f>
        <v>2667500</v>
      </c>
      <c r="F61" s="383">
        <f>'CPU (Workload)'!L24</f>
        <v>14692189875</v>
      </c>
      <c r="G61" s="383">
        <f>'CPU (Workload)'!M24</f>
        <v>2448698312.5</v>
      </c>
      <c r="H61" s="383">
        <f>'CPU (Workload)'!N24</f>
        <v>9794793250</v>
      </c>
      <c r="I61" s="384">
        <f>Bandwidth!K136</f>
        <v>81543566.851806626</v>
      </c>
      <c r="J61" s="146">
        <f>Storage!$E$11+Storage!$E$15</f>
        <v>500976.5625</v>
      </c>
    </row>
    <row r="62" spans="1:10">
      <c r="D62" s="387">
        <v>9</v>
      </c>
      <c r="E62" s="383">
        <f>'CPU (Workload)'!C25</f>
        <v>3000750</v>
      </c>
      <c r="F62" s="383">
        <f>'CPU (Workload)'!L25</f>
        <v>16527680887.5</v>
      </c>
      <c r="G62" s="383">
        <f>'CPU (Workload)'!M25</f>
        <v>2754613481.25</v>
      </c>
      <c r="H62" s="383">
        <f>'CPU (Workload)'!N25</f>
        <v>11018453925</v>
      </c>
      <c r="I62" s="384">
        <f>Bandwidth!K137</f>
        <v>91730780.967407227</v>
      </c>
      <c r="J62" s="146">
        <f>Storage!$E$11+Storage!$E$15</f>
        <v>500976.5625</v>
      </c>
    </row>
    <row r="63" spans="1:10">
      <c r="D63" s="387">
        <v>10</v>
      </c>
      <c r="E63" s="383">
        <f>'CPU (Workload)'!C26</f>
        <v>3334000</v>
      </c>
      <c r="F63" s="383">
        <f>'CPU (Workload)'!L26</f>
        <v>18363171900</v>
      </c>
      <c r="G63" s="383">
        <f>'CPU (Workload)'!M26</f>
        <v>3060528650</v>
      </c>
      <c r="H63" s="383">
        <f>'CPU (Workload)'!N26</f>
        <v>12242114600</v>
      </c>
      <c r="I63" s="384">
        <f>Bandwidth!K138</f>
        <v>101917995.08300781</v>
      </c>
      <c r="J63" s="146">
        <f>Storage!$E$11+Storage!$E$15</f>
        <v>500976.5625</v>
      </c>
    </row>
    <row r="64" spans="1:10">
      <c r="D64" s="387">
        <v>11</v>
      </c>
      <c r="E64" s="383">
        <f>'CPU (Workload)'!C27</f>
        <v>3667250</v>
      </c>
      <c r="F64" s="383">
        <f>'CPU (Workload)'!L27</f>
        <v>20198662912.5</v>
      </c>
      <c r="G64" s="383">
        <f>'CPU (Workload)'!M27</f>
        <v>3366443818.75</v>
      </c>
      <c r="H64" s="383">
        <f>'CPU (Workload)'!N27</f>
        <v>13465775275</v>
      </c>
      <c r="I64" s="384">
        <f>Bandwidth!K139</f>
        <v>112105209.1986084</v>
      </c>
      <c r="J64" s="146">
        <f>Storage!$E$11+Storage!$E$15</f>
        <v>500976.5625</v>
      </c>
    </row>
    <row r="65" spans="4:10">
      <c r="D65" s="387">
        <v>12</v>
      </c>
      <c r="E65" s="383">
        <f>'CPU (Workload)'!C28</f>
        <v>4000500</v>
      </c>
      <c r="F65" s="383">
        <f>'CPU (Workload)'!L28</f>
        <v>22034153925</v>
      </c>
      <c r="G65" s="383">
        <f>'CPU (Workload)'!M28</f>
        <v>3672358987.5</v>
      </c>
      <c r="H65" s="383">
        <f>'CPU (Workload)'!N28</f>
        <v>14689435950</v>
      </c>
      <c r="I65" s="384">
        <f>Bandwidth!K140</f>
        <v>122292423.31420897</v>
      </c>
      <c r="J65" s="146">
        <f>Storage!$E$11+Storage!$E$15</f>
        <v>500976.5625</v>
      </c>
    </row>
    <row r="66" spans="4:10">
      <c r="D66" s="387">
        <v>13</v>
      </c>
      <c r="E66" s="383">
        <f>'CPU (Workload)'!C29</f>
        <v>4222500</v>
      </c>
      <c r="F66" s="383">
        <f>'CPU (Workload)'!L29</f>
        <v>23256896625</v>
      </c>
      <c r="G66" s="383">
        <f>'CPU (Workload)'!M29</f>
        <v>3876149437.5</v>
      </c>
      <c r="H66" s="383">
        <f>'CPU (Workload)'!N29</f>
        <v>15504597750</v>
      </c>
      <c r="I66" s="384">
        <f>Bandwidth!K141</f>
        <v>129078804.51049803</v>
      </c>
      <c r="J66" s="146">
        <f>Storage!$E$11+Storage!$E$15</f>
        <v>500976.5625</v>
      </c>
    </row>
    <row r="67" spans="4:10">
      <c r="D67" s="387">
        <v>14</v>
      </c>
      <c r="E67" s="383">
        <f>'CPU (Workload)'!C30</f>
        <v>4444500</v>
      </c>
      <c r="F67" s="383">
        <f>'CPU (Workload)'!L30</f>
        <v>24479639325</v>
      </c>
      <c r="G67" s="383">
        <f>'CPU (Workload)'!M30</f>
        <v>4079939887.5</v>
      </c>
      <c r="H67" s="383">
        <f>'CPU (Workload)'!N30</f>
        <v>16319759550</v>
      </c>
      <c r="I67" s="384">
        <f>Bandwidth!K142</f>
        <v>135865185.70678705</v>
      </c>
      <c r="J67" s="146">
        <f>Storage!$E$11+Storage!$E$15</f>
        <v>500976.5625</v>
      </c>
    </row>
    <row r="68" spans="4:10">
      <c r="D68" s="387">
        <v>15</v>
      </c>
      <c r="E68" s="383">
        <f>'CPU (Workload)'!C31</f>
        <v>4666500</v>
      </c>
      <c r="F68" s="383">
        <f>'CPU (Workload)'!L31</f>
        <v>25702382025</v>
      </c>
      <c r="G68" s="383">
        <f>'CPU (Workload)'!M31</f>
        <v>4283730337.5</v>
      </c>
      <c r="H68" s="383">
        <f>'CPU (Workload)'!N31</f>
        <v>17134921350</v>
      </c>
      <c r="I68" s="384">
        <f>Bandwidth!K143</f>
        <v>142651566.90307614</v>
      </c>
      <c r="J68" s="146">
        <f>Storage!$E$11+Storage!$E$15</f>
        <v>500976.5625</v>
      </c>
    </row>
    <row r="69" spans="4:10">
      <c r="D69" s="387">
        <v>16</v>
      </c>
      <c r="E69" s="383">
        <f>'CPU (Workload)'!C32</f>
        <v>4888500</v>
      </c>
      <c r="F69" s="383">
        <f>'CPU (Workload)'!L32</f>
        <v>26925124725</v>
      </c>
      <c r="G69" s="383">
        <f>'CPU (Workload)'!M32</f>
        <v>4487520787.5</v>
      </c>
      <c r="H69" s="383">
        <f>'CPU (Workload)'!N32</f>
        <v>17950083150</v>
      </c>
      <c r="I69" s="384">
        <f>Bandwidth!K144</f>
        <v>149437948.0993652</v>
      </c>
      <c r="J69" s="146">
        <f>Storage!$E$11+Storage!$E$15</f>
        <v>500976.5625</v>
      </c>
    </row>
    <row r="70" spans="4:10">
      <c r="D70" s="387">
        <v>17</v>
      </c>
      <c r="E70" s="383">
        <f>'CPU (Workload)'!C33</f>
        <v>5110500</v>
      </c>
      <c r="F70" s="383">
        <f>'CPU (Workload)'!L33</f>
        <v>28147867425</v>
      </c>
      <c r="G70" s="383">
        <f>'CPU (Workload)'!M33</f>
        <v>4691311237.5</v>
      </c>
      <c r="H70" s="383">
        <f>'CPU (Workload)'!N33</f>
        <v>18765244950</v>
      </c>
      <c r="I70" s="384">
        <f>Bandwidth!K145</f>
        <v>156224329.2956543</v>
      </c>
      <c r="J70" s="146">
        <f>Storage!$E$11+Storage!$E$15</f>
        <v>500976.5625</v>
      </c>
    </row>
    <row r="71" spans="4:10">
      <c r="D71" s="387">
        <v>18</v>
      </c>
      <c r="E71" s="383">
        <f>'CPU (Workload)'!C34</f>
        <v>5332500</v>
      </c>
      <c r="F71" s="383">
        <f>'CPU (Workload)'!L34</f>
        <v>29370610125</v>
      </c>
      <c r="G71" s="383">
        <f>'CPU (Workload)'!M34</f>
        <v>4895101687.5</v>
      </c>
      <c r="H71" s="383">
        <f>'CPU (Workload)'!N34</f>
        <v>19580406750</v>
      </c>
      <c r="I71" s="384">
        <f>Bandwidth!K146</f>
        <v>163010710.49194333</v>
      </c>
      <c r="J71" s="146">
        <f>Storage!$E$11+Storage!$E$15</f>
        <v>500976.5625</v>
      </c>
    </row>
    <row r="72" spans="4:10">
      <c r="D72" s="387">
        <v>19</v>
      </c>
      <c r="E72" s="383">
        <f>'CPU (Workload)'!C35</f>
        <v>6023750</v>
      </c>
      <c r="F72" s="383">
        <f>'CPU (Workload)'!L35</f>
        <v>33177911437.5</v>
      </c>
      <c r="G72" s="383">
        <f>'CPU (Workload)'!M35</f>
        <v>5529651906.25</v>
      </c>
      <c r="H72" s="383">
        <f>'CPU (Workload)'!N35</f>
        <v>22118607625</v>
      </c>
      <c r="I72" s="384">
        <f>Bandwidth!K147</f>
        <v>184141728.51867676</v>
      </c>
      <c r="J72" s="146">
        <f>Storage!$E$11+Storage!$E$15</f>
        <v>500976.5625</v>
      </c>
    </row>
    <row r="73" spans="4:10">
      <c r="D73" s="387">
        <v>20</v>
      </c>
      <c r="E73" s="383">
        <f>'CPU (Workload)'!C36</f>
        <v>6715000</v>
      </c>
      <c r="F73" s="383">
        <f>'CPU (Workload)'!L36</f>
        <v>36985212750</v>
      </c>
      <c r="G73" s="383">
        <f>'CPU (Workload)'!M36</f>
        <v>6164202125</v>
      </c>
      <c r="H73" s="383">
        <f>'CPU (Workload)'!N36</f>
        <v>24656808500</v>
      </c>
      <c r="I73" s="384">
        <f>Bandwidth!K148</f>
        <v>205272746.54541019</v>
      </c>
      <c r="J73" s="146">
        <f>Storage!$E$11+Storage!$E$15</f>
        <v>500976.5625</v>
      </c>
    </row>
    <row r="74" spans="4:10">
      <c r="D74" s="387">
        <v>21</v>
      </c>
      <c r="E74" s="383">
        <f>'CPU (Workload)'!C37</f>
        <v>7406250</v>
      </c>
      <c r="F74" s="383">
        <f>'CPU (Workload)'!L37</f>
        <v>40792514062.5</v>
      </c>
      <c r="G74" s="383">
        <f>'CPU (Workload)'!M37</f>
        <v>6798752343.75</v>
      </c>
      <c r="H74" s="383">
        <f>'CPU (Workload)'!N37</f>
        <v>27195009375</v>
      </c>
      <c r="I74" s="384">
        <f>Bandwidth!K149</f>
        <v>226403764.57214355</v>
      </c>
      <c r="J74" s="146">
        <f>Storage!$E$11+Storage!$E$15</f>
        <v>500976.5625</v>
      </c>
    </row>
    <row r="75" spans="4:10">
      <c r="D75" s="387">
        <v>22</v>
      </c>
      <c r="E75" s="383">
        <f>'CPU (Workload)'!C38</f>
        <v>8097500</v>
      </c>
      <c r="F75" s="383">
        <f>'CPU (Workload)'!L38</f>
        <v>44599815375</v>
      </c>
      <c r="G75" s="383">
        <f>'CPU (Workload)'!M38</f>
        <v>7433302562.5</v>
      </c>
      <c r="H75" s="383">
        <f>'CPU (Workload)'!N38</f>
        <v>29733210250</v>
      </c>
      <c r="I75" s="384">
        <f>Bandwidth!K150</f>
        <v>247534782.59887695</v>
      </c>
      <c r="J75" s="146">
        <f>Storage!$E$11+Storage!$E$15</f>
        <v>500976.5625</v>
      </c>
    </row>
    <row r="76" spans="4:10">
      <c r="D76" s="387">
        <v>23</v>
      </c>
      <c r="E76" s="383">
        <f>'CPU (Workload)'!C39</f>
        <v>8788750</v>
      </c>
      <c r="F76" s="383">
        <f>'CPU (Workload)'!L39</f>
        <v>48407116687.5</v>
      </c>
      <c r="G76" s="383">
        <f>'CPU (Workload)'!M39</f>
        <v>8067852781.25</v>
      </c>
      <c r="H76" s="383">
        <f>'CPU (Workload)'!N39</f>
        <v>32271411125</v>
      </c>
      <c r="I76" s="384">
        <f>Bandwidth!K151</f>
        <v>268665800.62561035</v>
      </c>
      <c r="J76" s="146">
        <f>Storage!$E$11+Storage!$E$15</f>
        <v>500976.5625</v>
      </c>
    </row>
    <row r="77" spans="4:10">
      <c r="D77" s="387">
        <v>24</v>
      </c>
      <c r="E77" s="383">
        <f>'CPU (Workload)'!C40</f>
        <v>9480000</v>
      </c>
      <c r="F77" s="383">
        <f>'CPU (Workload)'!L40</f>
        <v>52214418000</v>
      </c>
      <c r="G77" s="383">
        <f>'CPU (Workload)'!M40</f>
        <v>8702403000</v>
      </c>
      <c r="H77" s="383">
        <f>'CPU (Workload)'!N40</f>
        <v>34809612000</v>
      </c>
      <c r="I77" s="384">
        <f>Bandwidth!K152</f>
        <v>289796818.65234363</v>
      </c>
      <c r="J77" s="146">
        <f>Storage!$E$11+Storage!$E$15</f>
        <v>500976.5625</v>
      </c>
    </row>
    <row r="78" spans="4:10">
      <c r="D78" s="387">
        <v>25</v>
      </c>
      <c r="E78" s="383">
        <f>'CPU (Workload)'!C41</f>
        <v>10007000</v>
      </c>
      <c r="F78" s="383">
        <f>'CPU (Workload)'!L41</f>
        <v>55117054950</v>
      </c>
      <c r="G78" s="383">
        <f>'CPU (Workload)'!M41</f>
        <v>9186175825</v>
      </c>
      <c r="H78" s="383">
        <f>'CPU (Workload)'!N41</f>
        <v>36744703300</v>
      </c>
      <c r="I78" s="384">
        <f>Bandwidth!K153</f>
        <v>305906831.67236334</v>
      </c>
      <c r="J78" s="146">
        <f>Storage!$E$11+Storage!$E$15</f>
        <v>500976.5625</v>
      </c>
    </row>
    <row r="79" spans="4:10">
      <c r="D79" s="387">
        <v>26</v>
      </c>
      <c r="E79" s="383">
        <f>'CPU (Workload)'!C42</f>
        <v>10534000</v>
      </c>
      <c r="F79" s="383">
        <f>'CPU (Workload)'!L42</f>
        <v>58019691900</v>
      </c>
      <c r="G79" s="383">
        <f>'CPU (Workload)'!M42</f>
        <v>9669948650</v>
      </c>
      <c r="H79" s="383">
        <f>'CPU (Workload)'!N42</f>
        <v>38679794600</v>
      </c>
      <c r="I79" s="384">
        <f>Bandwidth!K154</f>
        <v>322016844.69238275</v>
      </c>
      <c r="J79" s="146">
        <f>Storage!$E$11+Storage!$E$15</f>
        <v>500976.5625</v>
      </c>
    </row>
    <row r="80" spans="4:10">
      <c r="D80" s="387">
        <v>27</v>
      </c>
      <c r="E80" s="383">
        <f>'CPU (Workload)'!C43</f>
        <v>11061000</v>
      </c>
      <c r="F80" s="383">
        <f>'CPU (Workload)'!L43</f>
        <v>60922328850</v>
      </c>
      <c r="G80" s="383">
        <f>'CPU (Workload)'!M43</f>
        <v>10153721475</v>
      </c>
      <c r="H80" s="383">
        <f>'CPU (Workload)'!N43</f>
        <v>40614885900</v>
      </c>
      <c r="I80" s="384">
        <f>Bandwidth!K155</f>
        <v>338126857.71240234</v>
      </c>
      <c r="J80" s="146">
        <f>Storage!$E$11+Storage!$E$15</f>
        <v>500976.5625</v>
      </c>
    </row>
    <row r="81" spans="4:10">
      <c r="D81" s="387">
        <v>28</v>
      </c>
      <c r="E81" s="383">
        <f>'CPU (Workload)'!C44</f>
        <v>11588000</v>
      </c>
      <c r="F81" s="383">
        <f>'CPU (Workload)'!L44</f>
        <v>63824965800</v>
      </c>
      <c r="G81" s="383">
        <f>'CPU (Workload)'!M44</f>
        <v>10637494300</v>
      </c>
      <c r="H81" s="383">
        <f>'CPU (Workload)'!N44</f>
        <v>42549977200</v>
      </c>
      <c r="I81" s="384">
        <f>Bandwidth!K156</f>
        <v>354236870.73242182</v>
      </c>
      <c r="J81" s="146">
        <f>Storage!$E$11+Storage!$E$15</f>
        <v>500976.5625</v>
      </c>
    </row>
    <row r="82" spans="4:10">
      <c r="D82" s="387">
        <v>29</v>
      </c>
      <c r="E82" s="383">
        <f>'CPU (Workload)'!C45</f>
        <v>12115000</v>
      </c>
      <c r="F82" s="383">
        <f>'CPU (Workload)'!L45</f>
        <v>66727602750</v>
      </c>
      <c r="G82" s="383">
        <f>'CPU (Workload)'!M45</f>
        <v>11121267125</v>
      </c>
      <c r="H82" s="383">
        <f>'CPU (Workload)'!N45</f>
        <v>44485068500</v>
      </c>
      <c r="I82" s="384">
        <f>Bandwidth!K157</f>
        <v>370346883.75244135</v>
      </c>
      <c r="J82" s="146">
        <f>Storage!$E$11+Storage!$E$15</f>
        <v>500976.5625</v>
      </c>
    </row>
    <row r="83" spans="4:10">
      <c r="D83" s="387">
        <v>30</v>
      </c>
      <c r="E83" s="383">
        <f>'CPU (Workload)'!C46</f>
        <v>12642000</v>
      </c>
      <c r="F83" s="383">
        <f>'CPU (Workload)'!L46</f>
        <v>69630239700</v>
      </c>
      <c r="G83" s="383">
        <f>'CPU (Workload)'!M46</f>
        <v>11605039950</v>
      </c>
      <c r="H83" s="383">
        <f>'CPU (Workload)'!N46</f>
        <v>46420159800</v>
      </c>
      <c r="I83" s="384">
        <f>Bandwidth!K158</f>
        <v>386456896.77246094</v>
      </c>
      <c r="J83" s="146">
        <f>Storage!$E$11+Storage!$E$15</f>
        <v>500976.5625</v>
      </c>
    </row>
    <row r="84" spans="4:10">
      <c r="D84" s="387">
        <v>31</v>
      </c>
      <c r="E84" s="383">
        <f>'CPU (Workload)'!C47</f>
        <v>13344000</v>
      </c>
      <c r="F84" s="383">
        <f>'CPU (Workload)'!L47</f>
        <v>73496750400</v>
      </c>
      <c r="G84" s="383">
        <f>'CPU (Workload)'!M47</f>
        <v>12249458400</v>
      </c>
      <c r="H84" s="383">
        <f>'CPU (Workload)'!N47</f>
        <v>48997833600</v>
      </c>
      <c r="I84" s="384">
        <f>Bandwidth!K159</f>
        <v>407916534.609375</v>
      </c>
      <c r="J84" s="146">
        <f>Storage!$E$11+Storage!$E$15</f>
        <v>500976.5625</v>
      </c>
    </row>
    <row r="85" spans="4:10">
      <c r="D85" s="387">
        <v>32</v>
      </c>
      <c r="E85" s="383">
        <f>'CPU (Workload)'!C48</f>
        <v>14046000</v>
      </c>
      <c r="F85" s="383">
        <f>'CPU (Workload)'!L48</f>
        <v>77363261100</v>
      </c>
      <c r="G85" s="383">
        <f>'CPU (Workload)'!M48</f>
        <v>12893876850</v>
      </c>
      <c r="H85" s="383">
        <f>'CPU (Workload)'!N48</f>
        <v>51575507400</v>
      </c>
      <c r="I85" s="384">
        <f>Bandwidth!K160</f>
        <v>429376172.44628912</v>
      </c>
      <c r="J85" s="146">
        <f>Storage!$E$11+Storage!$E$15</f>
        <v>500976.5625</v>
      </c>
    </row>
    <row r="86" spans="4:10">
      <c r="D86" s="387">
        <v>33</v>
      </c>
      <c r="E86" s="383">
        <f>'CPU (Workload)'!C49</f>
        <v>14748000</v>
      </c>
      <c r="F86" s="383">
        <f>'CPU (Workload)'!L49</f>
        <v>81229771800</v>
      </c>
      <c r="G86" s="383">
        <f>'CPU (Workload)'!M49</f>
        <v>13538295300</v>
      </c>
      <c r="H86" s="383">
        <f>'CPU (Workload)'!N49</f>
        <v>54153181200</v>
      </c>
      <c r="I86" s="384">
        <f>Bandwidth!K161</f>
        <v>450835810.28320312</v>
      </c>
      <c r="J86" s="146">
        <f>Storage!$E$11+Storage!$E$15</f>
        <v>500976.5625</v>
      </c>
    </row>
    <row r="87" spans="4:10">
      <c r="D87" s="387">
        <v>34</v>
      </c>
      <c r="E87" s="383">
        <f>'CPU (Workload)'!C50</f>
        <v>15450000</v>
      </c>
      <c r="F87" s="383">
        <f>'CPU (Workload)'!L50</f>
        <v>85096282500</v>
      </c>
      <c r="G87" s="383">
        <f>'CPU (Workload)'!M50</f>
        <v>14182713750</v>
      </c>
      <c r="H87" s="383">
        <f>'CPU (Workload)'!N50</f>
        <v>56730855000</v>
      </c>
      <c r="I87" s="384">
        <f>Bandwidth!K162</f>
        <v>472295448.12011713</v>
      </c>
      <c r="J87" s="146">
        <f>Storage!$E$11+Storage!$E$15</f>
        <v>500976.5625</v>
      </c>
    </row>
    <row r="88" spans="4:10">
      <c r="D88" s="387">
        <v>35</v>
      </c>
      <c r="E88" s="383">
        <f>'CPU (Workload)'!C51</f>
        <v>16152000</v>
      </c>
      <c r="F88" s="383">
        <f>'CPU (Workload)'!L51</f>
        <v>88962793200</v>
      </c>
      <c r="G88" s="383">
        <f>'CPU (Workload)'!M51</f>
        <v>14827132200</v>
      </c>
      <c r="H88" s="383">
        <f>'CPU (Workload)'!N51</f>
        <v>59308528800</v>
      </c>
      <c r="I88" s="384">
        <f>Bandwidth!K163</f>
        <v>493755085.95703119</v>
      </c>
      <c r="J88" s="146">
        <f>Storage!$E$11+Storage!$E$15</f>
        <v>500976.5625</v>
      </c>
    </row>
    <row r="89" spans="4:10" ht="17" thickBot="1">
      <c r="D89" s="388">
        <v>36</v>
      </c>
      <c r="E89" s="389">
        <f>'CPU (Workload)'!C52</f>
        <v>16854000</v>
      </c>
      <c r="F89" s="389">
        <f>'CPU (Workload)'!L52</f>
        <v>92829303900</v>
      </c>
      <c r="G89" s="389">
        <f>'CPU (Workload)'!M52</f>
        <v>15471550650</v>
      </c>
      <c r="H89" s="389">
        <f>'CPU (Workload)'!N52</f>
        <v>61886202600</v>
      </c>
      <c r="I89" s="390">
        <f>Bandwidth!K164</f>
        <v>515214723.79394525</v>
      </c>
      <c r="J89" s="147">
        <f>Storage!$E$11+Storage!$E$15</f>
        <v>500976.5625</v>
      </c>
    </row>
  </sheetData>
  <mergeCells count="3">
    <mergeCell ref="A13:A21"/>
    <mergeCell ref="A4:A12"/>
    <mergeCell ref="E51:J51"/>
  </mergeCells>
  <pageMargins left="0.7" right="0.7" top="0.75" bottom="0.75" header="0.3" footer="0.3"/>
  <ignoredErrors>
    <ignoredError sqref="F9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opLeftCell="A5" zoomScale="112" zoomScaleNormal="112" zoomScalePageLayoutView="120" workbookViewId="0">
      <selection activeCell="F5" sqref="F5:F11"/>
    </sheetView>
  </sheetViews>
  <sheetFormatPr baseColWidth="10" defaultRowHeight="16"/>
  <cols>
    <col min="1" max="1" width="11.5" customWidth="1"/>
    <col min="2" max="8" width="11.33203125" customWidth="1"/>
    <col min="9" max="22" width="11.83203125" customWidth="1"/>
  </cols>
  <sheetData>
    <row r="1" spans="1:9" ht="24">
      <c r="A1" s="32" t="s">
        <v>116</v>
      </c>
    </row>
    <row r="3" spans="1:9" ht="17" thickBot="1"/>
    <row r="4" spans="1:9" ht="51" customHeight="1" thickBot="1">
      <c r="A4" s="184" t="s">
        <v>192</v>
      </c>
      <c r="B4" s="185" t="s">
        <v>198</v>
      </c>
      <c r="C4" s="185" t="s">
        <v>197</v>
      </c>
      <c r="D4" s="185" t="s">
        <v>196</v>
      </c>
      <c r="E4" s="185" t="s">
        <v>200</v>
      </c>
      <c r="F4" s="185" t="s">
        <v>199</v>
      </c>
      <c r="G4" s="185" t="s">
        <v>194</v>
      </c>
      <c r="H4" s="186" t="s">
        <v>195</v>
      </c>
      <c r="I4" s="3"/>
    </row>
    <row r="5" spans="1:9">
      <c r="A5" s="112">
        <v>44197</v>
      </c>
      <c r="B5" s="113">
        <v>5000000</v>
      </c>
      <c r="C5" s="114" t="s">
        <v>193</v>
      </c>
      <c r="D5" s="114" t="s">
        <v>193</v>
      </c>
      <c r="E5" s="115">
        <v>0.3</v>
      </c>
      <c r="F5" s="116">
        <f t="shared" ref="F5:F11" si="0">B5*E5</f>
        <v>1500000</v>
      </c>
      <c r="G5" s="116"/>
      <c r="H5" s="117" t="s">
        <v>193</v>
      </c>
      <c r="I5" s="4"/>
    </row>
    <row r="6" spans="1:9" ht="17" thickBot="1">
      <c r="A6" s="118">
        <v>44378</v>
      </c>
      <c r="B6" s="119">
        <v>6670000</v>
      </c>
      <c r="C6" s="120">
        <f t="shared" ref="C6:C11" si="1">B6-B5</f>
        <v>1670000</v>
      </c>
      <c r="D6" s="121">
        <f t="shared" ref="D6:D11" si="2">C6/B5</f>
        <v>0.33400000000000002</v>
      </c>
      <c r="E6" s="122">
        <v>0.3</v>
      </c>
      <c r="F6" s="123">
        <f t="shared" si="0"/>
        <v>2001000</v>
      </c>
      <c r="G6" s="123">
        <f t="shared" ref="G6:G11" si="3">F6-F5</f>
        <v>501000</v>
      </c>
      <c r="H6" s="124">
        <f t="shared" ref="H6:H11" si="4">G6/F5</f>
        <v>0.33400000000000002</v>
      </c>
      <c r="I6" s="4"/>
    </row>
    <row r="7" spans="1:9" ht="17" thickBot="1">
      <c r="A7" s="132">
        <v>44562</v>
      </c>
      <c r="B7" s="133">
        <v>8890000</v>
      </c>
      <c r="C7" s="134">
        <f t="shared" si="1"/>
        <v>2220000</v>
      </c>
      <c r="D7" s="135">
        <f t="shared" si="2"/>
        <v>0.33283358320839579</v>
      </c>
      <c r="E7" s="136">
        <v>0.45</v>
      </c>
      <c r="F7" s="137">
        <f t="shared" si="0"/>
        <v>4000500</v>
      </c>
      <c r="G7" s="137">
        <f t="shared" si="3"/>
        <v>1999500</v>
      </c>
      <c r="H7" s="138">
        <f t="shared" si="4"/>
        <v>0.99925037481259371</v>
      </c>
      <c r="I7" s="4"/>
    </row>
    <row r="8" spans="1:9" ht="17" thickBot="1">
      <c r="A8" s="118">
        <v>44743</v>
      </c>
      <c r="B8" s="119">
        <v>11850000</v>
      </c>
      <c r="C8" s="120">
        <f t="shared" si="1"/>
        <v>2960000</v>
      </c>
      <c r="D8" s="121">
        <f t="shared" si="2"/>
        <v>0.3329583802024747</v>
      </c>
      <c r="E8" s="122">
        <v>0.45</v>
      </c>
      <c r="F8" s="123">
        <f t="shared" si="0"/>
        <v>5332500</v>
      </c>
      <c r="G8" s="123">
        <f t="shared" si="3"/>
        <v>1332000</v>
      </c>
      <c r="H8" s="124">
        <f t="shared" si="4"/>
        <v>0.3329583802024747</v>
      </c>
      <c r="I8" s="4"/>
    </row>
    <row r="9" spans="1:9" ht="17" thickBot="1">
      <c r="A9" s="132">
        <v>44927</v>
      </c>
      <c r="B9" s="133">
        <v>15800000</v>
      </c>
      <c r="C9" s="134">
        <f t="shared" si="1"/>
        <v>3950000</v>
      </c>
      <c r="D9" s="135">
        <f t="shared" si="2"/>
        <v>0.33333333333333331</v>
      </c>
      <c r="E9" s="136">
        <v>0.6</v>
      </c>
      <c r="F9" s="137">
        <f t="shared" si="0"/>
        <v>9480000</v>
      </c>
      <c r="G9" s="137">
        <f t="shared" si="3"/>
        <v>4147500</v>
      </c>
      <c r="H9" s="138">
        <f t="shared" si="4"/>
        <v>0.77777777777777779</v>
      </c>
      <c r="I9" s="4"/>
    </row>
    <row r="10" spans="1:9">
      <c r="A10" s="118">
        <v>45108</v>
      </c>
      <c r="B10" s="119">
        <v>21070000</v>
      </c>
      <c r="C10" s="120">
        <f t="shared" si="1"/>
        <v>5270000</v>
      </c>
      <c r="D10" s="121">
        <f t="shared" si="2"/>
        <v>0.33354430379746836</v>
      </c>
      <c r="E10" s="122">
        <v>0.6</v>
      </c>
      <c r="F10" s="123">
        <f t="shared" si="0"/>
        <v>12642000</v>
      </c>
      <c r="G10" s="123">
        <f t="shared" si="3"/>
        <v>3162000</v>
      </c>
      <c r="H10" s="124">
        <f t="shared" si="4"/>
        <v>0.33354430379746836</v>
      </c>
      <c r="I10" s="4"/>
    </row>
    <row r="11" spans="1:9" ht="17" thickBot="1">
      <c r="A11" s="125">
        <v>45292</v>
      </c>
      <c r="B11" s="126">
        <v>28090000</v>
      </c>
      <c r="C11" s="127">
        <f t="shared" si="1"/>
        <v>7020000</v>
      </c>
      <c r="D11" s="128">
        <f t="shared" si="2"/>
        <v>0.33317513051732323</v>
      </c>
      <c r="E11" s="129">
        <v>0.6</v>
      </c>
      <c r="F11" s="130">
        <f t="shared" si="0"/>
        <v>16854000</v>
      </c>
      <c r="G11" s="130">
        <f t="shared" si="3"/>
        <v>4212000</v>
      </c>
      <c r="H11" s="131">
        <f t="shared" si="4"/>
        <v>0.33317513051732323</v>
      </c>
      <c r="I11" s="4"/>
    </row>
    <row r="15" spans="1:9" ht="25" thickBot="1">
      <c r="A15" s="32" t="s">
        <v>203</v>
      </c>
    </row>
    <row r="16" spans="1:9" ht="17" customHeight="1">
      <c r="A16" s="363" t="s">
        <v>208</v>
      </c>
      <c r="B16" s="363" t="s">
        <v>209</v>
      </c>
      <c r="C16" s="187" t="s">
        <v>44</v>
      </c>
      <c r="D16" s="178"/>
      <c r="E16" s="187" t="s">
        <v>45</v>
      </c>
      <c r="F16" s="188"/>
      <c r="G16" s="187" t="s">
        <v>46</v>
      </c>
      <c r="H16" s="178"/>
    </row>
    <row r="17" spans="1:8" ht="35" thickBot="1">
      <c r="A17" s="364"/>
      <c r="B17" s="364"/>
      <c r="C17" s="181" t="s">
        <v>198</v>
      </c>
      <c r="D17" s="182" t="s">
        <v>55</v>
      </c>
      <c r="E17" s="181" t="s">
        <v>198</v>
      </c>
      <c r="F17" s="183" t="s">
        <v>55</v>
      </c>
      <c r="G17" s="181" t="s">
        <v>198</v>
      </c>
      <c r="H17" s="182" t="s">
        <v>55</v>
      </c>
    </row>
    <row r="18" spans="1:8">
      <c r="A18" s="162" t="s">
        <v>204</v>
      </c>
      <c r="B18" s="150">
        <v>0.1792</v>
      </c>
      <c r="C18" s="154">
        <f>ROUND($B$7*$B18,0)</f>
        <v>1593088</v>
      </c>
      <c r="D18" s="148">
        <f>ROUND($F$7*$B18,0)</f>
        <v>716890</v>
      </c>
      <c r="E18" s="154">
        <f>ROUND($B$9*$B18,0)</f>
        <v>2831360</v>
      </c>
      <c r="F18" s="159">
        <f>ROUND($F$9*$B18,0)</f>
        <v>1698816</v>
      </c>
      <c r="G18" s="154">
        <f>ROUND($B$11*$B18,0)</f>
        <v>5033728</v>
      </c>
      <c r="H18" s="148">
        <f>ROUND($F$11*$B18,0)</f>
        <v>3020237</v>
      </c>
    </row>
    <row r="19" spans="1:8">
      <c r="A19" s="163" t="s">
        <v>207</v>
      </c>
      <c r="B19" s="151">
        <v>0.21679999999999999</v>
      </c>
      <c r="C19" s="155">
        <f>ROUND($B$7*$B19,0)</f>
        <v>1927352</v>
      </c>
      <c r="D19" s="146">
        <f>ROUND($F$7*$B19,0)</f>
        <v>867308</v>
      </c>
      <c r="E19" s="155">
        <f>ROUND($B$9*$B19,0)</f>
        <v>3425440</v>
      </c>
      <c r="F19" s="160">
        <f>ROUND($F$9*$B19,0)</f>
        <v>2055264</v>
      </c>
      <c r="G19" s="155">
        <f>ROUND($B$11*$B19,0)</f>
        <v>6089912</v>
      </c>
      <c r="H19" s="146">
        <f>ROUND($F$11*$B19,0)</f>
        <v>3653947</v>
      </c>
    </row>
    <row r="20" spans="1:8">
      <c r="A20" s="164" t="s">
        <v>205</v>
      </c>
      <c r="B20" s="152">
        <v>0.371</v>
      </c>
      <c r="C20" s="156">
        <f>ROUND($B$7*$B20,0)</f>
        <v>3298190</v>
      </c>
      <c r="D20" s="149">
        <f>ROUND($F$7*$B20,0)</f>
        <v>1484186</v>
      </c>
      <c r="E20" s="156">
        <f>ROUND($B$9*$B20,0)</f>
        <v>5861800</v>
      </c>
      <c r="F20" s="149">
        <f>ROUND($F$9*$B20,0)</f>
        <v>3517080</v>
      </c>
      <c r="G20" s="156">
        <f>ROUND($B$11*$B20,0)</f>
        <v>10421390</v>
      </c>
      <c r="H20" s="149">
        <f>ROUND($F$11*$B20,0)</f>
        <v>6252834</v>
      </c>
    </row>
    <row r="21" spans="1:8" ht="17" thickBot="1">
      <c r="A21" s="165" t="s">
        <v>206</v>
      </c>
      <c r="B21" s="153">
        <v>0.23300000000000001</v>
      </c>
      <c r="C21" s="157">
        <f>ROUND($B$7*$B21,0)</f>
        <v>2071370</v>
      </c>
      <c r="D21" s="147">
        <f>ROUND($F$7*$B21,0)</f>
        <v>932117</v>
      </c>
      <c r="E21" s="158">
        <f>ROUND($B$9*$B21,0)</f>
        <v>3681400</v>
      </c>
      <c r="F21" s="161">
        <f>ROUND($F$9*$B21,0)</f>
        <v>2208840</v>
      </c>
      <c r="G21" s="157">
        <f>ROUND($B$11*$B21,0)</f>
        <v>6544970</v>
      </c>
      <c r="H21" s="147">
        <f>ROUND($F$11*$B21,0)</f>
        <v>3926982</v>
      </c>
    </row>
  </sheetData>
  <mergeCells count="2">
    <mergeCell ref="A16:A17"/>
    <mergeCell ref="B16:B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0F6D-AFB5-5742-B4A4-01076D608002}">
  <dimension ref="A1:O52"/>
  <sheetViews>
    <sheetView zoomScaleNormal="100" workbookViewId="0">
      <selection activeCell="G16" sqref="G16"/>
    </sheetView>
  </sheetViews>
  <sheetFormatPr baseColWidth="10" defaultRowHeight="16"/>
  <cols>
    <col min="1" max="1" width="33.83203125" customWidth="1"/>
    <col min="2" max="2" width="13" customWidth="1"/>
    <col min="3" max="3" width="13.1640625" customWidth="1"/>
    <col min="4" max="4" width="11" style="22" bestFit="1" customWidth="1"/>
    <col min="5" max="5" width="10.1640625" bestFit="1" customWidth="1"/>
    <col min="6" max="7" width="10.5" bestFit="1" customWidth="1"/>
    <col min="8" max="8" width="14" bestFit="1" customWidth="1"/>
    <col min="9" max="9" width="13" customWidth="1"/>
    <col min="10" max="11" width="14" bestFit="1" customWidth="1"/>
    <col min="12" max="14" width="15" bestFit="1" customWidth="1"/>
    <col min="15" max="15" width="16" bestFit="1" customWidth="1"/>
    <col min="16" max="22" width="13" customWidth="1"/>
  </cols>
  <sheetData>
    <row r="1" spans="1:15" ht="24">
      <c r="A1" s="32" t="s">
        <v>111</v>
      </c>
    </row>
    <row r="3" spans="1:15">
      <c r="A3" s="9" t="s">
        <v>107</v>
      </c>
      <c r="B3" s="65">
        <f>F7+(((F4*24)-(F7*F5))/(24-F7))</f>
        <v>7.5449999999999999</v>
      </c>
    </row>
    <row r="4" spans="1:15">
      <c r="A4" t="s">
        <v>115</v>
      </c>
      <c r="C4" t="s">
        <v>106</v>
      </c>
      <c r="F4" s="22">
        <v>4.166666666666667</v>
      </c>
    </row>
    <row r="5" spans="1:15">
      <c r="C5" t="s">
        <v>105</v>
      </c>
      <c r="F5" s="22">
        <f>AVERAGE(7.25,6.5,6.75,8,7,8.25,7.25,7,7.5,7.25)</f>
        <v>7.2750000000000004</v>
      </c>
    </row>
    <row r="6" spans="1:15">
      <c r="C6" t="s">
        <v>103</v>
      </c>
      <c r="F6" s="22">
        <f>F5/F4</f>
        <v>1.746</v>
      </c>
    </row>
    <row r="7" spans="1:15">
      <c r="C7" t="s">
        <v>104</v>
      </c>
      <c r="F7" s="1">
        <v>4</v>
      </c>
    </row>
    <row r="10" spans="1:15">
      <c r="A10" s="9" t="s">
        <v>114</v>
      </c>
      <c r="C10" s="9" t="s">
        <v>56</v>
      </c>
      <c r="D10" s="218" t="s">
        <v>50</v>
      </c>
      <c r="E10" s="9" t="s">
        <v>109</v>
      </c>
      <c r="F10" s="9" t="s">
        <v>110</v>
      </c>
    </row>
    <row r="11" spans="1:15">
      <c r="C11">
        <f>stream_req</f>
        <v>24</v>
      </c>
      <c r="D11" s="1">
        <f>down_req</f>
        <v>4</v>
      </c>
      <c r="E11">
        <f>perm_req</f>
        <v>16</v>
      </c>
      <c r="F11">
        <f>SUM(C11:E11)</f>
        <v>44</v>
      </c>
    </row>
    <row r="13" spans="1:15" ht="17" thickBot="1"/>
    <row r="14" spans="1:15">
      <c r="B14" s="365" t="s">
        <v>246</v>
      </c>
      <c r="C14" s="367" t="s">
        <v>55</v>
      </c>
      <c r="D14" s="369" t="s">
        <v>249</v>
      </c>
      <c r="E14" s="369"/>
      <c r="F14" s="369"/>
      <c r="G14" s="369"/>
      <c r="H14" s="367" t="s">
        <v>248</v>
      </c>
      <c r="I14" s="367"/>
      <c r="J14" s="367"/>
      <c r="K14" s="370"/>
      <c r="L14" s="367" t="s">
        <v>281</v>
      </c>
      <c r="M14" s="367"/>
      <c r="N14" s="367"/>
      <c r="O14" s="370"/>
    </row>
    <row r="15" spans="1:15" ht="17" thickBot="1">
      <c r="B15" s="366"/>
      <c r="C15" s="368"/>
      <c r="D15" s="221" t="s">
        <v>56</v>
      </c>
      <c r="E15" s="222" t="s">
        <v>50</v>
      </c>
      <c r="F15" s="222" t="s">
        <v>250</v>
      </c>
      <c r="G15" s="222" t="s">
        <v>110</v>
      </c>
      <c r="H15" s="221" t="s">
        <v>56</v>
      </c>
      <c r="I15" s="222" t="s">
        <v>50</v>
      </c>
      <c r="J15" s="222" t="s">
        <v>247</v>
      </c>
      <c r="K15" s="223" t="s">
        <v>110</v>
      </c>
      <c r="L15" s="221" t="s">
        <v>56</v>
      </c>
      <c r="M15" s="222" t="s">
        <v>50</v>
      </c>
      <c r="N15" s="222" t="s">
        <v>247</v>
      </c>
      <c r="O15" s="223" t="s">
        <v>110</v>
      </c>
    </row>
    <row r="16" spans="1:15">
      <c r="B16" s="229">
        <v>0</v>
      </c>
      <c r="C16" s="284">
        <v>1500000</v>
      </c>
      <c r="D16" s="284">
        <f t="shared" ref="D16:F35" si="0">C$11*peak_hrs*$C16/(24*3600)</f>
        <v>3143.75</v>
      </c>
      <c r="E16" s="284">
        <f t="shared" si="0"/>
        <v>523.95833333333337</v>
      </c>
      <c r="F16" s="284">
        <f t="shared" si="0"/>
        <v>2095.8333333333335</v>
      </c>
      <c r="G16" s="284">
        <f>SUM(D16:F16)</f>
        <v>5763.541666666667</v>
      </c>
      <c r="H16" s="284">
        <f t="shared" ref="H16:H52" si="1">C$11*$C16*peak_hrs</f>
        <v>271620000</v>
      </c>
      <c r="I16" s="284">
        <f t="shared" ref="I16:I52" si="2">D$11*$C16*peak_hrs</f>
        <v>45270000</v>
      </c>
      <c r="J16" s="284">
        <f t="shared" ref="J16:J52" si="3">E$11*$C16*peak_hrs</f>
        <v>181080000</v>
      </c>
      <c r="K16" s="285">
        <f>SUM(H16:J16)</f>
        <v>497970000</v>
      </c>
      <c r="L16" s="284">
        <f>H16*365/12</f>
        <v>8261775000</v>
      </c>
      <c r="M16" s="284">
        <f t="shared" ref="M16:M52" si="4">I16*365/12</f>
        <v>1376962500</v>
      </c>
      <c r="N16" s="284">
        <f t="shared" ref="N16:N52" si="5">J16*365/12</f>
        <v>5507850000</v>
      </c>
      <c r="O16" s="285">
        <f>SUM(L16:N16)</f>
        <v>15146587500</v>
      </c>
    </row>
    <row r="17" spans="2:15">
      <c r="B17" s="238">
        <v>1</v>
      </c>
      <c r="C17" s="284">
        <f>ROUND(C16+(C$22-C$16)/6,0)</f>
        <v>1583500</v>
      </c>
      <c r="D17" s="284">
        <f t="shared" si="0"/>
        <v>3318.7520833333333</v>
      </c>
      <c r="E17" s="284">
        <f t="shared" si="0"/>
        <v>553.12534722222222</v>
      </c>
      <c r="F17" s="284">
        <f t="shared" si="0"/>
        <v>2212.5013888888889</v>
      </c>
      <c r="G17" s="284">
        <f t="shared" ref="G17:G52" si="6">SUM(D17:F17)</f>
        <v>6084.3788194444442</v>
      </c>
      <c r="H17" s="284">
        <f t="shared" si="1"/>
        <v>286740180</v>
      </c>
      <c r="I17" s="284">
        <f t="shared" si="2"/>
        <v>47790030</v>
      </c>
      <c r="J17" s="284">
        <f t="shared" si="3"/>
        <v>191160120</v>
      </c>
      <c r="K17" s="285">
        <f t="shared" ref="K17:K52" si="7">SUM(H17:J17)</f>
        <v>525690330</v>
      </c>
      <c r="L17" s="284">
        <f t="shared" ref="L17:L52" si="8">H17*365/12</f>
        <v>8721680475</v>
      </c>
      <c r="M17" s="284">
        <f t="shared" si="4"/>
        <v>1453613412.5</v>
      </c>
      <c r="N17" s="284">
        <f t="shared" si="5"/>
        <v>5814453650</v>
      </c>
      <c r="O17" s="285">
        <f t="shared" ref="O17:O52" si="9">SUM(L17:N17)</f>
        <v>15989747537.5</v>
      </c>
    </row>
    <row r="18" spans="2:15">
      <c r="B18" s="238">
        <v>2</v>
      </c>
      <c r="C18" s="284">
        <f t="shared" ref="C18:C21" si="10">ROUND(C17+(C$22-C$16)/6,0)</f>
        <v>1667000</v>
      </c>
      <c r="D18" s="284">
        <f t="shared" si="0"/>
        <v>3493.7541666666666</v>
      </c>
      <c r="E18" s="284">
        <f t="shared" si="0"/>
        <v>582.29236111111106</v>
      </c>
      <c r="F18" s="284">
        <f t="shared" si="0"/>
        <v>2329.1694444444443</v>
      </c>
      <c r="G18" s="284">
        <f t="shared" si="6"/>
        <v>6405.2159722222223</v>
      </c>
      <c r="H18" s="284">
        <f t="shared" si="1"/>
        <v>301860360</v>
      </c>
      <c r="I18" s="284">
        <f t="shared" si="2"/>
        <v>50310060</v>
      </c>
      <c r="J18" s="284">
        <f t="shared" si="3"/>
        <v>201240240</v>
      </c>
      <c r="K18" s="285">
        <f t="shared" si="7"/>
        <v>553410660</v>
      </c>
      <c r="L18" s="284">
        <f t="shared" si="8"/>
        <v>9181585950</v>
      </c>
      <c r="M18" s="284">
        <f t="shared" si="4"/>
        <v>1530264325</v>
      </c>
      <c r="N18" s="284">
        <f t="shared" si="5"/>
        <v>6121057300</v>
      </c>
      <c r="O18" s="285">
        <f t="shared" si="9"/>
        <v>16832907575</v>
      </c>
    </row>
    <row r="19" spans="2:15">
      <c r="B19" s="238">
        <v>3</v>
      </c>
      <c r="C19" s="284">
        <f t="shared" si="10"/>
        <v>1750500</v>
      </c>
      <c r="D19" s="284">
        <f t="shared" si="0"/>
        <v>3668.7562499999999</v>
      </c>
      <c r="E19" s="284">
        <f t="shared" si="0"/>
        <v>611.45937500000002</v>
      </c>
      <c r="F19" s="284">
        <f t="shared" si="0"/>
        <v>2445.8375000000001</v>
      </c>
      <c r="G19" s="284">
        <f t="shared" si="6"/>
        <v>6726.0531250000004</v>
      </c>
      <c r="H19" s="284">
        <f t="shared" si="1"/>
        <v>316980540</v>
      </c>
      <c r="I19" s="284">
        <f t="shared" si="2"/>
        <v>52830090</v>
      </c>
      <c r="J19" s="284">
        <f t="shared" si="3"/>
        <v>211320360</v>
      </c>
      <c r="K19" s="285">
        <f t="shared" si="7"/>
        <v>581130990</v>
      </c>
      <c r="L19" s="284">
        <f t="shared" si="8"/>
        <v>9641491425</v>
      </c>
      <c r="M19" s="284">
        <f t="shared" si="4"/>
        <v>1606915237.5</v>
      </c>
      <c r="N19" s="284">
        <f t="shared" si="5"/>
        <v>6427660950</v>
      </c>
      <c r="O19" s="285">
        <f t="shared" si="9"/>
        <v>17676067612.5</v>
      </c>
    </row>
    <row r="20" spans="2:15">
      <c r="B20" s="238">
        <v>4</v>
      </c>
      <c r="C20" s="284">
        <f t="shared" si="10"/>
        <v>1834000</v>
      </c>
      <c r="D20" s="284">
        <f t="shared" si="0"/>
        <v>3843.7583333333332</v>
      </c>
      <c r="E20" s="284">
        <f t="shared" si="0"/>
        <v>640.62638888888887</v>
      </c>
      <c r="F20" s="284">
        <f t="shared" si="0"/>
        <v>2562.5055555555555</v>
      </c>
      <c r="G20" s="284">
        <f t="shared" si="6"/>
        <v>7046.8902777777776</v>
      </c>
      <c r="H20" s="284">
        <f t="shared" si="1"/>
        <v>332100720</v>
      </c>
      <c r="I20" s="284">
        <f t="shared" si="2"/>
        <v>55350120</v>
      </c>
      <c r="J20" s="284">
        <f t="shared" si="3"/>
        <v>221400480</v>
      </c>
      <c r="K20" s="285">
        <f t="shared" si="7"/>
        <v>608851320</v>
      </c>
      <c r="L20" s="284">
        <f t="shared" si="8"/>
        <v>10101396900</v>
      </c>
      <c r="M20" s="284">
        <f t="shared" si="4"/>
        <v>1683566150</v>
      </c>
      <c r="N20" s="284">
        <f t="shared" si="5"/>
        <v>6734264600</v>
      </c>
      <c r="O20" s="285">
        <f t="shared" si="9"/>
        <v>18519227650</v>
      </c>
    </row>
    <row r="21" spans="2:15">
      <c r="B21" s="238">
        <v>5</v>
      </c>
      <c r="C21" s="284">
        <f t="shared" si="10"/>
        <v>1917500</v>
      </c>
      <c r="D21" s="284">
        <f t="shared" si="0"/>
        <v>4018.7604166666661</v>
      </c>
      <c r="E21" s="284">
        <f t="shared" si="0"/>
        <v>669.79340277777783</v>
      </c>
      <c r="F21" s="284">
        <f t="shared" si="0"/>
        <v>2679.1736111111113</v>
      </c>
      <c r="G21" s="284">
        <f t="shared" si="6"/>
        <v>7367.7274305555547</v>
      </c>
      <c r="H21" s="284">
        <f t="shared" si="1"/>
        <v>347220900</v>
      </c>
      <c r="I21" s="284">
        <f t="shared" si="2"/>
        <v>57870150</v>
      </c>
      <c r="J21" s="284">
        <f t="shared" si="3"/>
        <v>231480600</v>
      </c>
      <c r="K21" s="285">
        <f t="shared" si="7"/>
        <v>636571650</v>
      </c>
      <c r="L21" s="284">
        <f t="shared" si="8"/>
        <v>10561302375</v>
      </c>
      <c r="M21" s="284">
        <f t="shared" si="4"/>
        <v>1760217062.5</v>
      </c>
      <c r="N21" s="284">
        <f t="shared" si="5"/>
        <v>7040868250</v>
      </c>
      <c r="O21" s="285">
        <f t="shared" si="9"/>
        <v>19362387687.5</v>
      </c>
    </row>
    <row r="22" spans="2:15">
      <c r="B22" s="238">
        <v>6</v>
      </c>
      <c r="C22" s="284">
        <v>2001000</v>
      </c>
      <c r="D22" s="284">
        <f t="shared" si="0"/>
        <v>4193.7624999999989</v>
      </c>
      <c r="E22" s="284">
        <f t="shared" si="0"/>
        <v>698.96041666666667</v>
      </c>
      <c r="F22" s="284">
        <f t="shared" si="0"/>
        <v>2795.8416666666667</v>
      </c>
      <c r="G22" s="284">
        <f t="shared" si="6"/>
        <v>7688.5645833333328</v>
      </c>
      <c r="H22" s="284">
        <f t="shared" si="1"/>
        <v>362341080</v>
      </c>
      <c r="I22" s="284">
        <f t="shared" si="2"/>
        <v>60390180</v>
      </c>
      <c r="J22" s="284">
        <f t="shared" si="3"/>
        <v>241560720</v>
      </c>
      <c r="K22" s="285">
        <f t="shared" si="7"/>
        <v>664291980</v>
      </c>
      <c r="L22" s="284">
        <f t="shared" si="8"/>
        <v>11021207850</v>
      </c>
      <c r="M22" s="284">
        <f t="shared" si="4"/>
        <v>1836867975</v>
      </c>
      <c r="N22" s="284">
        <f t="shared" si="5"/>
        <v>7347471900</v>
      </c>
      <c r="O22" s="285">
        <f t="shared" si="9"/>
        <v>20205547725</v>
      </c>
    </row>
    <row r="23" spans="2:15">
      <c r="B23" s="238">
        <v>7</v>
      </c>
      <c r="C23" s="284">
        <f>ROUND(C22+(C$28-C$22)/6,0)</f>
        <v>2334250</v>
      </c>
      <c r="D23" s="284">
        <f t="shared" si="0"/>
        <v>4892.1989583333325</v>
      </c>
      <c r="E23" s="284">
        <f t="shared" si="0"/>
        <v>815.36649305555557</v>
      </c>
      <c r="F23" s="284">
        <f t="shared" si="0"/>
        <v>3261.4659722222223</v>
      </c>
      <c r="G23" s="284">
        <f t="shared" si="6"/>
        <v>8969.0314236111099</v>
      </c>
      <c r="H23" s="284">
        <f t="shared" si="1"/>
        <v>422685990</v>
      </c>
      <c r="I23" s="284">
        <f t="shared" si="2"/>
        <v>70447665</v>
      </c>
      <c r="J23" s="284">
        <f t="shared" si="3"/>
        <v>281790660</v>
      </c>
      <c r="K23" s="285">
        <f t="shared" si="7"/>
        <v>774924315</v>
      </c>
      <c r="L23" s="284">
        <f t="shared" si="8"/>
        <v>12856698862.5</v>
      </c>
      <c r="M23" s="284">
        <f t="shared" si="4"/>
        <v>2142783143.75</v>
      </c>
      <c r="N23" s="284">
        <f t="shared" si="5"/>
        <v>8571132575</v>
      </c>
      <c r="O23" s="285">
        <f t="shared" si="9"/>
        <v>23570614581.25</v>
      </c>
    </row>
    <row r="24" spans="2:15">
      <c r="B24" s="238">
        <v>8</v>
      </c>
      <c r="C24" s="284">
        <f t="shared" ref="C24:C27" si="11">ROUND(C23+(C$28-C$22)/6,0)</f>
        <v>2667500</v>
      </c>
      <c r="D24" s="284">
        <f t="shared" si="0"/>
        <v>5590.6354166666661</v>
      </c>
      <c r="E24" s="284">
        <f t="shared" si="0"/>
        <v>931.77256944444446</v>
      </c>
      <c r="F24" s="284">
        <f t="shared" si="0"/>
        <v>3727.0902777777778</v>
      </c>
      <c r="G24" s="284">
        <f t="shared" si="6"/>
        <v>10249.498263888889</v>
      </c>
      <c r="H24" s="284">
        <f t="shared" si="1"/>
        <v>483030900</v>
      </c>
      <c r="I24" s="284">
        <f t="shared" si="2"/>
        <v>80505150</v>
      </c>
      <c r="J24" s="284">
        <f t="shared" si="3"/>
        <v>322020600</v>
      </c>
      <c r="K24" s="285">
        <f t="shared" si="7"/>
        <v>885556650</v>
      </c>
      <c r="L24" s="284">
        <f t="shared" si="8"/>
        <v>14692189875</v>
      </c>
      <c r="M24" s="284">
        <f t="shared" si="4"/>
        <v>2448698312.5</v>
      </c>
      <c r="N24" s="284">
        <f t="shared" si="5"/>
        <v>9794793250</v>
      </c>
      <c r="O24" s="285">
        <f t="shared" si="9"/>
        <v>26935681437.5</v>
      </c>
    </row>
    <row r="25" spans="2:15">
      <c r="B25" s="238">
        <v>9</v>
      </c>
      <c r="C25" s="284">
        <f t="shared" si="11"/>
        <v>3000750</v>
      </c>
      <c r="D25" s="284">
        <f t="shared" si="0"/>
        <v>6289.0718749999996</v>
      </c>
      <c r="E25" s="284">
        <f t="shared" si="0"/>
        <v>1048.1786458333333</v>
      </c>
      <c r="F25" s="284">
        <f t="shared" si="0"/>
        <v>4192.7145833333334</v>
      </c>
      <c r="G25" s="284">
        <f t="shared" si="6"/>
        <v>11529.965104166666</v>
      </c>
      <c r="H25" s="284">
        <f t="shared" si="1"/>
        <v>543375810</v>
      </c>
      <c r="I25" s="284">
        <f t="shared" si="2"/>
        <v>90562635</v>
      </c>
      <c r="J25" s="284">
        <f t="shared" si="3"/>
        <v>362250540</v>
      </c>
      <c r="K25" s="285">
        <f t="shared" si="7"/>
        <v>996188985</v>
      </c>
      <c r="L25" s="284">
        <f t="shared" si="8"/>
        <v>16527680887.5</v>
      </c>
      <c r="M25" s="284">
        <f t="shared" si="4"/>
        <v>2754613481.25</v>
      </c>
      <c r="N25" s="284">
        <f t="shared" si="5"/>
        <v>11018453925</v>
      </c>
      <c r="O25" s="285">
        <f t="shared" si="9"/>
        <v>30300748293.75</v>
      </c>
    </row>
    <row r="26" spans="2:15">
      <c r="B26" s="238">
        <v>10</v>
      </c>
      <c r="C26" s="284">
        <f t="shared" si="11"/>
        <v>3334000</v>
      </c>
      <c r="D26" s="284">
        <f t="shared" si="0"/>
        <v>6987.5083333333332</v>
      </c>
      <c r="E26" s="284">
        <f t="shared" si="0"/>
        <v>1164.5847222222221</v>
      </c>
      <c r="F26" s="284">
        <f t="shared" si="0"/>
        <v>4658.3388888888885</v>
      </c>
      <c r="G26" s="284">
        <f t="shared" si="6"/>
        <v>12810.431944444445</v>
      </c>
      <c r="H26" s="284">
        <f t="shared" si="1"/>
        <v>603720720</v>
      </c>
      <c r="I26" s="284">
        <f t="shared" si="2"/>
        <v>100620120</v>
      </c>
      <c r="J26" s="284">
        <f t="shared" si="3"/>
        <v>402480480</v>
      </c>
      <c r="K26" s="285">
        <f t="shared" si="7"/>
        <v>1106821320</v>
      </c>
      <c r="L26" s="284">
        <f t="shared" si="8"/>
        <v>18363171900</v>
      </c>
      <c r="M26" s="284">
        <f t="shared" si="4"/>
        <v>3060528650</v>
      </c>
      <c r="N26" s="284">
        <f t="shared" si="5"/>
        <v>12242114600</v>
      </c>
      <c r="O26" s="285">
        <f t="shared" si="9"/>
        <v>33665815150</v>
      </c>
    </row>
    <row r="27" spans="2:15">
      <c r="B27" s="238">
        <v>11</v>
      </c>
      <c r="C27" s="284">
        <f t="shared" si="11"/>
        <v>3667250</v>
      </c>
      <c r="D27" s="284">
        <f t="shared" si="0"/>
        <v>7685.9447916666668</v>
      </c>
      <c r="E27" s="284">
        <f t="shared" si="0"/>
        <v>1280.9907986111111</v>
      </c>
      <c r="F27" s="284">
        <f t="shared" si="0"/>
        <v>5123.9631944444445</v>
      </c>
      <c r="G27" s="284">
        <f t="shared" si="6"/>
        <v>14090.898784722223</v>
      </c>
      <c r="H27" s="284">
        <f t="shared" si="1"/>
        <v>664065630</v>
      </c>
      <c r="I27" s="284">
        <f t="shared" si="2"/>
        <v>110677605</v>
      </c>
      <c r="J27" s="284">
        <f t="shared" si="3"/>
        <v>442710420</v>
      </c>
      <c r="K27" s="285">
        <f t="shared" si="7"/>
        <v>1217453655</v>
      </c>
      <c r="L27" s="284">
        <f t="shared" si="8"/>
        <v>20198662912.5</v>
      </c>
      <c r="M27" s="284">
        <f t="shared" si="4"/>
        <v>3366443818.75</v>
      </c>
      <c r="N27" s="284">
        <f t="shared" si="5"/>
        <v>13465775275</v>
      </c>
      <c r="O27" s="285">
        <f t="shared" si="9"/>
        <v>37030882006.25</v>
      </c>
    </row>
    <row r="28" spans="2:15">
      <c r="B28" s="238">
        <v>12</v>
      </c>
      <c r="C28" s="284">
        <v>4000500</v>
      </c>
      <c r="D28" s="284">
        <f t="shared" si="0"/>
        <v>8384.3812499999985</v>
      </c>
      <c r="E28" s="284">
        <f t="shared" si="0"/>
        <v>1397.3968749999999</v>
      </c>
      <c r="F28" s="284">
        <f t="shared" si="0"/>
        <v>5589.5874999999996</v>
      </c>
      <c r="G28" s="284">
        <f t="shared" si="6"/>
        <v>15371.365624999999</v>
      </c>
      <c r="H28" s="284">
        <f t="shared" si="1"/>
        <v>724410540</v>
      </c>
      <c r="I28" s="284">
        <f t="shared" si="2"/>
        <v>120735090</v>
      </c>
      <c r="J28" s="284">
        <f t="shared" si="3"/>
        <v>482940360</v>
      </c>
      <c r="K28" s="285">
        <f t="shared" si="7"/>
        <v>1328085990</v>
      </c>
      <c r="L28" s="284">
        <f t="shared" si="8"/>
        <v>22034153925</v>
      </c>
      <c r="M28" s="284">
        <f t="shared" si="4"/>
        <v>3672358987.5</v>
      </c>
      <c r="N28" s="284">
        <f t="shared" si="5"/>
        <v>14689435950</v>
      </c>
      <c r="O28" s="285">
        <f t="shared" si="9"/>
        <v>40395948862.5</v>
      </c>
    </row>
    <row r="29" spans="2:15">
      <c r="B29" s="238">
        <v>13</v>
      </c>
      <c r="C29" s="284">
        <f>ROUND(C28+(C$34-C$28)/6,0)</f>
        <v>4222500</v>
      </c>
      <c r="D29" s="284">
        <f t="shared" si="0"/>
        <v>8849.6562499999982</v>
      </c>
      <c r="E29" s="284">
        <f t="shared" si="0"/>
        <v>1474.9427083333333</v>
      </c>
      <c r="F29" s="284">
        <f t="shared" si="0"/>
        <v>5899.770833333333</v>
      </c>
      <c r="G29" s="284">
        <f t="shared" si="6"/>
        <v>16224.369791666664</v>
      </c>
      <c r="H29" s="284">
        <f t="shared" si="1"/>
        <v>764610300</v>
      </c>
      <c r="I29" s="284">
        <f t="shared" si="2"/>
        <v>127435050</v>
      </c>
      <c r="J29" s="284">
        <f t="shared" si="3"/>
        <v>509740200</v>
      </c>
      <c r="K29" s="285">
        <f t="shared" si="7"/>
        <v>1401785550</v>
      </c>
      <c r="L29" s="284">
        <f t="shared" si="8"/>
        <v>23256896625</v>
      </c>
      <c r="M29" s="284">
        <f t="shared" si="4"/>
        <v>3876149437.5</v>
      </c>
      <c r="N29" s="284">
        <f t="shared" si="5"/>
        <v>15504597750</v>
      </c>
      <c r="O29" s="285">
        <f t="shared" si="9"/>
        <v>42637643812.5</v>
      </c>
    </row>
    <row r="30" spans="2:15">
      <c r="B30" s="238">
        <v>14</v>
      </c>
      <c r="C30" s="284">
        <f t="shared" ref="C30:C33" si="12">ROUND(C29+(C$34-C$28)/6,0)</f>
        <v>4444500</v>
      </c>
      <c r="D30" s="284">
        <f t="shared" si="0"/>
        <v>9314.9312499999978</v>
      </c>
      <c r="E30" s="284">
        <f t="shared" si="0"/>
        <v>1552.4885416666666</v>
      </c>
      <c r="F30" s="284">
        <f t="shared" si="0"/>
        <v>6209.9541666666664</v>
      </c>
      <c r="G30" s="284">
        <f t="shared" si="6"/>
        <v>17077.37395833333</v>
      </c>
      <c r="H30" s="284">
        <f t="shared" si="1"/>
        <v>804810060</v>
      </c>
      <c r="I30" s="284">
        <f t="shared" si="2"/>
        <v>134135010</v>
      </c>
      <c r="J30" s="284">
        <f t="shared" si="3"/>
        <v>536540040</v>
      </c>
      <c r="K30" s="285">
        <f t="shared" si="7"/>
        <v>1475485110</v>
      </c>
      <c r="L30" s="284">
        <f t="shared" si="8"/>
        <v>24479639325</v>
      </c>
      <c r="M30" s="284">
        <f t="shared" si="4"/>
        <v>4079939887.5</v>
      </c>
      <c r="N30" s="284">
        <f t="shared" si="5"/>
        <v>16319759550</v>
      </c>
      <c r="O30" s="285">
        <f t="shared" si="9"/>
        <v>44879338762.5</v>
      </c>
    </row>
    <row r="31" spans="2:15">
      <c r="B31" s="238">
        <v>15</v>
      </c>
      <c r="C31" s="284">
        <f t="shared" si="12"/>
        <v>4666500</v>
      </c>
      <c r="D31" s="284">
        <f t="shared" si="0"/>
        <v>9780.2062499999993</v>
      </c>
      <c r="E31" s="284">
        <f t="shared" si="0"/>
        <v>1630.034375</v>
      </c>
      <c r="F31" s="284">
        <f t="shared" si="0"/>
        <v>6520.1374999999998</v>
      </c>
      <c r="G31" s="284">
        <f t="shared" si="6"/>
        <v>17930.378124999999</v>
      </c>
      <c r="H31" s="284">
        <f t="shared" si="1"/>
        <v>845009820</v>
      </c>
      <c r="I31" s="284">
        <f t="shared" si="2"/>
        <v>140834970</v>
      </c>
      <c r="J31" s="284">
        <f t="shared" si="3"/>
        <v>563339880</v>
      </c>
      <c r="K31" s="285">
        <f t="shared" si="7"/>
        <v>1549184670</v>
      </c>
      <c r="L31" s="284">
        <f t="shared" si="8"/>
        <v>25702382025</v>
      </c>
      <c r="M31" s="284">
        <f t="shared" si="4"/>
        <v>4283730337.5</v>
      </c>
      <c r="N31" s="284">
        <f t="shared" si="5"/>
        <v>17134921350</v>
      </c>
      <c r="O31" s="285">
        <f t="shared" si="9"/>
        <v>47121033712.5</v>
      </c>
    </row>
    <row r="32" spans="2:15">
      <c r="B32" s="238">
        <v>16</v>
      </c>
      <c r="C32" s="284">
        <f t="shared" si="12"/>
        <v>4888500</v>
      </c>
      <c r="D32" s="284">
        <f t="shared" si="0"/>
        <v>10245.481249999999</v>
      </c>
      <c r="E32" s="284">
        <f t="shared" si="0"/>
        <v>1707.5802083333333</v>
      </c>
      <c r="F32" s="284">
        <f t="shared" si="0"/>
        <v>6830.3208333333332</v>
      </c>
      <c r="G32" s="284">
        <f t="shared" si="6"/>
        <v>18783.382291666665</v>
      </c>
      <c r="H32" s="284">
        <f t="shared" si="1"/>
        <v>885209580</v>
      </c>
      <c r="I32" s="284">
        <f t="shared" si="2"/>
        <v>147534930</v>
      </c>
      <c r="J32" s="284">
        <f t="shared" si="3"/>
        <v>590139720</v>
      </c>
      <c r="K32" s="285">
        <f t="shared" si="7"/>
        <v>1622884230</v>
      </c>
      <c r="L32" s="284">
        <f t="shared" si="8"/>
        <v>26925124725</v>
      </c>
      <c r="M32" s="284">
        <f t="shared" si="4"/>
        <v>4487520787.5</v>
      </c>
      <c r="N32" s="284">
        <f t="shared" si="5"/>
        <v>17950083150</v>
      </c>
      <c r="O32" s="285">
        <f t="shared" si="9"/>
        <v>49362728662.5</v>
      </c>
    </row>
    <row r="33" spans="2:15">
      <c r="B33" s="238">
        <v>17</v>
      </c>
      <c r="C33" s="284">
        <f t="shared" si="12"/>
        <v>5110500</v>
      </c>
      <c r="D33" s="284">
        <f t="shared" si="0"/>
        <v>10710.756249999999</v>
      </c>
      <c r="E33" s="284">
        <f t="shared" si="0"/>
        <v>1785.1260416666667</v>
      </c>
      <c r="F33" s="284">
        <f t="shared" si="0"/>
        <v>7140.5041666666666</v>
      </c>
      <c r="G33" s="284">
        <f t="shared" si="6"/>
        <v>19636.386458333331</v>
      </c>
      <c r="H33" s="284">
        <f t="shared" si="1"/>
        <v>925409340</v>
      </c>
      <c r="I33" s="284">
        <f t="shared" si="2"/>
        <v>154234890</v>
      </c>
      <c r="J33" s="284">
        <f t="shared" si="3"/>
        <v>616939560</v>
      </c>
      <c r="K33" s="285">
        <f t="shared" si="7"/>
        <v>1696583790</v>
      </c>
      <c r="L33" s="284">
        <f t="shared" si="8"/>
        <v>28147867425</v>
      </c>
      <c r="M33" s="284">
        <f t="shared" si="4"/>
        <v>4691311237.5</v>
      </c>
      <c r="N33" s="284">
        <f t="shared" si="5"/>
        <v>18765244950</v>
      </c>
      <c r="O33" s="285">
        <f t="shared" si="9"/>
        <v>51604423612.5</v>
      </c>
    </row>
    <row r="34" spans="2:15">
      <c r="B34" s="238">
        <v>18</v>
      </c>
      <c r="C34" s="284">
        <v>5332500</v>
      </c>
      <c r="D34" s="284">
        <f t="shared" si="0"/>
        <v>11176.031249999998</v>
      </c>
      <c r="E34" s="284">
        <f t="shared" si="0"/>
        <v>1862.671875</v>
      </c>
      <c r="F34" s="284">
        <f t="shared" si="0"/>
        <v>7450.6875</v>
      </c>
      <c r="G34" s="284">
        <f t="shared" si="6"/>
        <v>20489.390625</v>
      </c>
      <c r="H34" s="284">
        <f t="shared" si="1"/>
        <v>965609100</v>
      </c>
      <c r="I34" s="284">
        <f t="shared" si="2"/>
        <v>160934850</v>
      </c>
      <c r="J34" s="284">
        <f t="shared" si="3"/>
        <v>643739400</v>
      </c>
      <c r="K34" s="285">
        <f t="shared" si="7"/>
        <v>1770283350</v>
      </c>
      <c r="L34" s="284">
        <f t="shared" si="8"/>
        <v>29370610125</v>
      </c>
      <c r="M34" s="284">
        <f t="shared" si="4"/>
        <v>4895101687.5</v>
      </c>
      <c r="N34" s="284">
        <f t="shared" si="5"/>
        <v>19580406750</v>
      </c>
      <c r="O34" s="285">
        <f t="shared" si="9"/>
        <v>53846118562.5</v>
      </c>
    </row>
    <row r="35" spans="2:15">
      <c r="B35" s="238">
        <v>19</v>
      </c>
      <c r="C35" s="284">
        <f>ROUND(C34+(C$40-C$34)/6,0)</f>
        <v>6023750</v>
      </c>
      <c r="D35" s="284">
        <f t="shared" si="0"/>
        <v>12624.776041666666</v>
      </c>
      <c r="E35" s="284">
        <f t="shared" si="0"/>
        <v>2104.1293402777778</v>
      </c>
      <c r="F35" s="284">
        <f t="shared" si="0"/>
        <v>8416.5173611111113</v>
      </c>
      <c r="G35" s="284">
        <f t="shared" si="6"/>
        <v>23145.422743055555</v>
      </c>
      <c r="H35" s="284">
        <f t="shared" si="1"/>
        <v>1090780650</v>
      </c>
      <c r="I35" s="284">
        <f t="shared" si="2"/>
        <v>181796775</v>
      </c>
      <c r="J35" s="284">
        <f t="shared" si="3"/>
        <v>727187100</v>
      </c>
      <c r="K35" s="285">
        <f t="shared" si="7"/>
        <v>1999764525</v>
      </c>
      <c r="L35" s="284">
        <f t="shared" si="8"/>
        <v>33177911437.5</v>
      </c>
      <c r="M35" s="284">
        <f t="shared" si="4"/>
        <v>5529651906.25</v>
      </c>
      <c r="N35" s="284">
        <f t="shared" si="5"/>
        <v>22118607625</v>
      </c>
      <c r="O35" s="285">
        <f t="shared" si="9"/>
        <v>60826170968.75</v>
      </c>
    </row>
    <row r="36" spans="2:15">
      <c r="B36" s="238">
        <v>20</v>
      </c>
      <c r="C36" s="284">
        <f t="shared" ref="C36:C39" si="13">ROUND(C35+(C$40-C$34)/6,0)</f>
        <v>6715000</v>
      </c>
      <c r="D36" s="284">
        <f t="shared" ref="D36:F55" si="14">C$11*peak_hrs*$C36/(24*3600)</f>
        <v>14073.520833333334</v>
      </c>
      <c r="E36" s="284">
        <f t="shared" si="14"/>
        <v>2345.5868055555557</v>
      </c>
      <c r="F36" s="284">
        <f t="shared" si="14"/>
        <v>9382.3472222222226</v>
      </c>
      <c r="G36" s="284">
        <f t="shared" si="6"/>
        <v>25801.454861111113</v>
      </c>
      <c r="H36" s="284">
        <f t="shared" si="1"/>
        <v>1215952200</v>
      </c>
      <c r="I36" s="284">
        <f t="shared" si="2"/>
        <v>202658700</v>
      </c>
      <c r="J36" s="284">
        <f t="shared" si="3"/>
        <v>810634800</v>
      </c>
      <c r="K36" s="285">
        <f t="shared" si="7"/>
        <v>2229245700</v>
      </c>
      <c r="L36" s="284">
        <f t="shared" si="8"/>
        <v>36985212750</v>
      </c>
      <c r="M36" s="284">
        <f t="shared" si="4"/>
        <v>6164202125</v>
      </c>
      <c r="N36" s="284">
        <f t="shared" si="5"/>
        <v>24656808500</v>
      </c>
      <c r="O36" s="285">
        <f t="shared" si="9"/>
        <v>67806223375</v>
      </c>
    </row>
    <row r="37" spans="2:15">
      <c r="B37" s="238">
        <v>21</v>
      </c>
      <c r="C37" s="284">
        <f t="shared" si="13"/>
        <v>7406250</v>
      </c>
      <c r="D37" s="284">
        <f t="shared" si="14"/>
        <v>15522.265625</v>
      </c>
      <c r="E37" s="284">
        <f t="shared" si="14"/>
        <v>2587.0442708333335</v>
      </c>
      <c r="F37" s="284">
        <f t="shared" si="14"/>
        <v>10348.177083333334</v>
      </c>
      <c r="G37" s="284">
        <f t="shared" si="6"/>
        <v>28457.486979166664</v>
      </c>
      <c r="H37" s="284">
        <f t="shared" si="1"/>
        <v>1341123750</v>
      </c>
      <c r="I37" s="284">
        <f t="shared" si="2"/>
        <v>223520625</v>
      </c>
      <c r="J37" s="284">
        <f t="shared" si="3"/>
        <v>894082500</v>
      </c>
      <c r="K37" s="285">
        <f t="shared" si="7"/>
        <v>2458726875</v>
      </c>
      <c r="L37" s="284">
        <f t="shared" si="8"/>
        <v>40792514062.5</v>
      </c>
      <c r="M37" s="284">
        <f t="shared" si="4"/>
        <v>6798752343.75</v>
      </c>
      <c r="N37" s="284">
        <f t="shared" si="5"/>
        <v>27195009375</v>
      </c>
      <c r="O37" s="285">
        <f t="shared" si="9"/>
        <v>74786275781.25</v>
      </c>
    </row>
    <row r="38" spans="2:15">
      <c r="B38" s="238">
        <v>22</v>
      </c>
      <c r="C38" s="284">
        <f t="shared" si="13"/>
        <v>8097500</v>
      </c>
      <c r="D38" s="284">
        <f t="shared" si="14"/>
        <v>16971.010416666664</v>
      </c>
      <c r="E38" s="284">
        <f t="shared" si="14"/>
        <v>2828.5017361111113</v>
      </c>
      <c r="F38" s="284">
        <f t="shared" si="14"/>
        <v>11314.006944444445</v>
      </c>
      <c r="G38" s="284">
        <f t="shared" si="6"/>
        <v>31113.519097222219</v>
      </c>
      <c r="H38" s="284">
        <f t="shared" si="1"/>
        <v>1466295300</v>
      </c>
      <c r="I38" s="284">
        <f t="shared" si="2"/>
        <v>244382550</v>
      </c>
      <c r="J38" s="284">
        <f t="shared" si="3"/>
        <v>977530200</v>
      </c>
      <c r="K38" s="285">
        <f t="shared" si="7"/>
        <v>2688208050</v>
      </c>
      <c r="L38" s="284">
        <f t="shared" si="8"/>
        <v>44599815375</v>
      </c>
      <c r="M38" s="284">
        <f t="shared" si="4"/>
        <v>7433302562.5</v>
      </c>
      <c r="N38" s="284">
        <f t="shared" si="5"/>
        <v>29733210250</v>
      </c>
      <c r="O38" s="285">
        <f t="shared" si="9"/>
        <v>81766328187.5</v>
      </c>
    </row>
    <row r="39" spans="2:15">
      <c r="B39" s="238">
        <v>23</v>
      </c>
      <c r="C39" s="284">
        <f t="shared" si="13"/>
        <v>8788750</v>
      </c>
      <c r="D39" s="284">
        <f t="shared" si="14"/>
        <v>18419.755208333332</v>
      </c>
      <c r="E39" s="284">
        <f t="shared" si="14"/>
        <v>3069.9592013888887</v>
      </c>
      <c r="F39" s="284">
        <f t="shared" si="14"/>
        <v>12279.836805555555</v>
      </c>
      <c r="G39" s="284">
        <f t="shared" si="6"/>
        <v>33769.551215277774</v>
      </c>
      <c r="H39" s="284">
        <f t="shared" si="1"/>
        <v>1591466850</v>
      </c>
      <c r="I39" s="284">
        <f t="shared" si="2"/>
        <v>265244475</v>
      </c>
      <c r="J39" s="284">
        <f t="shared" si="3"/>
        <v>1060977900</v>
      </c>
      <c r="K39" s="285">
        <f t="shared" si="7"/>
        <v>2917689225</v>
      </c>
      <c r="L39" s="284">
        <f t="shared" si="8"/>
        <v>48407116687.5</v>
      </c>
      <c r="M39" s="284">
        <f t="shared" si="4"/>
        <v>8067852781.25</v>
      </c>
      <c r="N39" s="284">
        <f t="shared" si="5"/>
        <v>32271411125</v>
      </c>
      <c r="O39" s="285">
        <f t="shared" si="9"/>
        <v>88746380593.75</v>
      </c>
    </row>
    <row r="40" spans="2:15">
      <c r="B40" s="238">
        <v>24</v>
      </c>
      <c r="C40" s="284">
        <v>9480000</v>
      </c>
      <c r="D40" s="284">
        <f t="shared" si="14"/>
        <v>19868.499999999996</v>
      </c>
      <c r="E40" s="284">
        <f t="shared" si="14"/>
        <v>3311.4166666666665</v>
      </c>
      <c r="F40" s="284">
        <f t="shared" si="14"/>
        <v>13245.666666666666</v>
      </c>
      <c r="G40" s="284">
        <f t="shared" si="6"/>
        <v>36425.583333333328</v>
      </c>
      <c r="H40" s="284">
        <f t="shared" si="1"/>
        <v>1716638400</v>
      </c>
      <c r="I40" s="284">
        <f t="shared" si="2"/>
        <v>286106400</v>
      </c>
      <c r="J40" s="284">
        <f t="shared" si="3"/>
        <v>1144425600</v>
      </c>
      <c r="K40" s="285">
        <f t="shared" si="7"/>
        <v>3147170400</v>
      </c>
      <c r="L40" s="284">
        <f t="shared" si="8"/>
        <v>52214418000</v>
      </c>
      <c r="M40" s="284">
        <f t="shared" si="4"/>
        <v>8702403000</v>
      </c>
      <c r="N40" s="284">
        <f t="shared" si="5"/>
        <v>34809612000</v>
      </c>
      <c r="O40" s="285">
        <f t="shared" si="9"/>
        <v>95726433000</v>
      </c>
    </row>
    <row r="41" spans="2:15">
      <c r="B41" s="238">
        <v>25</v>
      </c>
      <c r="C41" s="284">
        <f>ROUND(C40+(C$46-C$40)/6,0)</f>
        <v>10007000</v>
      </c>
      <c r="D41" s="284">
        <f t="shared" si="14"/>
        <v>20973.004166666666</v>
      </c>
      <c r="E41" s="284">
        <f t="shared" si="14"/>
        <v>3495.5006944444444</v>
      </c>
      <c r="F41" s="284">
        <f t="shared" si="14"/>
        <v>13982.002777777778</v>
      </c>
      <c r="G41" s="284">
        <f t="shared" si="6"/>
        <v>38450.507638888885</v>
      </c>
      <c r="H41" s="284">
        <f t="shared" si="1"/>
        <v>1812067560</v>
      </c>
      <c r="I41" s="284">
        <f t="shared" si="2"/>
        <v>302011260</v>
      </c>
      <c r="J41" s="284">
        <f t="shared" si="3"/>
        <v>1208045040</v>
      </c>
      <c r="K41" s="285">
        <f t="shared" si="7"/>
        <v>3322123860</v>
      </c>
      <c r="L41" s="284">
        <f t="shared" si="8"/>
        <v>55117054950</v>
      </c>
      <c r="M41" s="284">
        <f t="shared" si="4"/>
        <v>9186175825</v>
      </c>
      <c r="N41" s="284">
        <f t="shared" si="5"/>
        <v>36744703300</v>
      </c>
      <c r="O41" s="285">
        <f t="shared" si="9"/>
        <v>101047934075</v>
      </c>
    </row>
    <row r="42" spans="2:15">
      <c r="B42" s="238">
        <v>26</v>
      </c>
      <c r="C42" s="284">
        <f t="shared" ref="C42:C45" si="15">ROUND(C41+(C$46-C$40)/6,0)</f>
        <v>10534000</v>
      </c>
      <c r="D42" s="284">
        <f t="shared" si="14"/>
        <v>22077.508333333331</v>
      </c>
      <c r="E42" s="284">
        <f t="shared" si="14"/>
        <v>3679.5847222222224</v>
      </c>
      <c r="F42" s="284">
        <f t="shared" si="14"/>
        <v>14718.338888888889</v>
      </c>
      <c r="G42" s="284">
        <f t="shared" si="6"/>
        <v>40475.431944444441</v>
      </c>
      <c r="H42" s="284">
        <f t="shared" si="1"/>
        <v>1907496720</v>
      </c>
      <c r="I42" s="284">
        <f t="shared" si="2"/>
        <v>317916120</v>
      </c>
      <c r="J42" s="284">
        <f t="shared" si="3"/>
        <v>1271664480</v>
      </c>
      <c r="K42" s="285">
        <f t="shared" si="7"/>
        <v>3497077320</v>
      </c>
      <c r="L42" s="284">
        <f t="shared" si="8"/>
        <v>58019691900</v>
      </c>
      <c r="M42" s="284">
        <f t="shared" si="4"/>
        <v>9669948650</v>
      </c>
      <c r="N42" s="284">
        <f t="shared" si="5"/>
        <v>38679794600</v>
      </c>
      <c r="O42" s="285">
        <f t="shared" si="9"/>
        <v>106369435150</v>
      </c>
    </row>
    <row r="43" spans="2:15">
      <c r="B43" s="238">
        <v>27</v>
      </c>
      <c r="C43" s="284">
        <f t="shared" si="15"/>
        <v>11061000</v>
      </c>
      <c r="D43" s="284">
        <f t="shared" si="14"/>
        <v>23182.012499999997</v>
      </c>
      <c r="E43" s="284">
        <f t="shared" si="14"/>
        <v>3863.6687499999998</v>
      </c>
      <c r="F43" s="284">
        <f t="shared" si="14"/>
        <v>15454.674999999999</v>
      </c>
      <c r="G43" s="284">
        <f t="shared" si="6"/>
        <v>42500.356249999997</v>
      </c>
      <c r="H43" s="284">
        <f t="shared" si="1"/>
        <v>2002925880</v>
      </c>
      <c r="I43" s="284">
        <f t="shared" si="2"/>
        <v>333820980</v>
      </c>
      <c r="J43" s="284">
        <f t="shared" si="3"/>
        <v>1335283920</v>
      </c>
      <c r="K43" s="285">
        <f t="shared" si="7"/>
        <v>3672030780</v>
      </c>
      <c r="L43" s="284">
        <f t="shared" si="8"/>
        <v>60922328850</v>
      </c>
      <c r="M43" s="284">
        <f t="shared" si="4"/>
        <v>10153721475</v>
      </c>
      <c r="N43" s="284">
        <f t="shared" si="5"/>
        <v>40614885900</v>
      </c>
      <c r="O43" s="285">
        <f t="shared" si="9"/>
        <v>111690936225</v>
      </c>
    </row>
    <row r="44" spans="2:15">
      <c r="B44" s="238">
        <v>28</v>
      </c>
      <c r="C44" s="284">
        <f t="shared" si="15"/>
        <v>11588000</v>
      </c>
      <c r="D44" s="284">
        <f t="shared" si="14"/>
        <v>24286.516666666663</v>
      </c>
      <c r="E44" s="284">
        <f t="shared" si="14"/>
        <v>4047.7527777777777</v>
      </c>
      <c r="F44" s="284">
        <f t="shared" si="14"/>
        <v>16191.011111111111</v>
      </c>
      <c r="G44" s="284">
        <f t="shared" si="6"/>
        <v>44525.280555555553</v>
      </c>
      <c r="H44" s="284">
        <f t="shared" si="1"/>
        <v>2098355040</v>
      </c>
      <c r="I44" s="284">
        <f t="shared" si="2"/>
        <v>349725840</v>
      </c>
      <c r="J44" s="284">
        <f t="shared" si="3"/>
        <v>1398903360</v>
      </c>
      <c r="K44" s="285">
        <f t="shared" si="7"/>
        <v>3846984240</v>
      </c>
      <c r="L44" s="284">
        <f t="shared" si="8"/>
        <v>63824965800</v>
      </c>
      <c r="M44" s="284">
        <f t="shared" si="4"/>
        <v>10637494300</v>
      </c>
      <c r="N44" s="284">
        <f t="shared" si="5"/>
        <v>42549977200</v>
      </c>
      <c r="O44" s="285">
        <f t="shared" si="9"/>
        <v>117012437300</v>
      </c>
    </row>
    <row r="45" spans="2:15">
      <c r="B45" s="238">
        <v>29</v>
      </c>
      <c r="C45" s="284">
        <f t="shared" si="15"/>
        <v>12115000</v>
      </c>
      <c r="D45" s="284">
        <f t="shared" si="14"/>
        <v>25391.020833333332</v>
      </c>
      <c r="E45" s="284">
        <f t="shared" si="14"/>
        <v>4231.8368055555557</v>
      </c>
      <c r="F45" s="284">
        <f t="shared" si="14"/>
        <v>16927.347222222223</v>
      </c>
      <c r="G45" s="284">
        <f t="shared" si="6"/>
        <v>46550.204861111109</v>
      </c>
      <c r="H45" s="284">
        <f t="shared" si="1"/>
        <v>2193784200</v>
      </c>
      <c r="I45" s="284">
        <f t="shared" si="2"/>
        <v>365630700</v>
      </c>
      <c r="J45" s="284">
        <f t="shared" si="3"/>
        <v>1462522800</v>
      </c>
      <c r="K45" s="285">
        <f t="shared" si="7"/>
        <v>4021937700</v>
      </c>
      <c r="L45" s="284">
        <f t="shared" si="8"/>
        <v>66727602750</v>
      </c>
      <c r="M45" s="284">
        <f t="shared" si="4"/>
        <v>11121267125</v>
      </c>
      <c r="N45" s="284">
        <f t="shared" si="5"/>
        <v>44485068500</v>
      </c>
      <c r="O45" s="285">
        <f t="shared" si="9"/>
        <v>122333938375</v>
      </c>
    </row>
    <row r="46" spans="2:15">
      <c r="B46" s="238">
        <v>30</v>
      </c>
      <c r="C46" s="284">
        <v>12642000</v>
      </c>
      <c r="D46" s="284">
        <f t="shared" si="14"/>
        <v>26495.525000000001</v>
      </c>
      <c r="E46" s="284">
        <f t="shared" si="14"/>
        <v>4415.9208333333336</v>
      </c>
      <c r="F46" s="284">
        <f t="shared" si="14"/>
        <v>17663.683333333334</v>
      </c>
      <c r="G46" s="284">
        <f t="shared" si="6"/>
        <v>48575.129166666666</v>
      </c>
      <c r="H46" s="284">
        <f t="shared" si="1"/>
        <v>2289213360</v>
      </c>
      <c r="I46" s="284">
        <f t="shared" si="2"/>
        <v>381535560</v>
      </c>
      <c r="J46" s="284">
        <f t="shared" si="3"/>
        <v>1526142240</v>
      </c>
      <c r="K46" s="285">
        <f t="shared" si="7"/>
        <v>4196891160</v>
      </c>
      <c r="L46" s="284">
        <f t="shared" si="8"/>
        <v>69630239700</v>
      </c>
      <c r="M46" s="284">
        <f t="shared" si="4"/>
        <v>11605039950</v>
      </c>
      <c r="N46" s="284">
        <f t="shared" si="5"/>
        <v>46420159800</v>
      </c>
      <c r="O46" s="285">
        <f t="shared" si="9"/>
        <v>127655439450</v>
      </c>
    </row>
    <row r="47" spans="2:15">
      <c r="B47" s="238">
        <v>31</v>
      </c>
      <c r="C47" s="284">
        <f>ROUND(C46+(C$52-C$46)/6,0)</f>
        <v>13344000</v>
      </c>
      <c r="D47" s="284">
        <f t="shared" si="14"/>
        <v>27966.799999999999</v>
      </c>
      <c r="E47" s="284">
        <f t="shared" si="14"/>
        <v>4661.1333333333332</v>
      </c>
      <c r="F47" s="284">
        <f t="shared" si="14"/>
        <v>18644.533333333333</v>
      </c>
      <c r="G47" s="284">
        <f t="shared" si="6"/>
        <v>51272.466666666667</v>
      </c>
      <c r="H47" s="284">
        <f t="shared" si="1"/>
        <v>2416331520</v>
      </c>
      <c r="I47" s="284">
        <f t="shared" si="2"/>
        <v>402721920</v>
      </c>
      <c r="J47" s="284">
        <f t="shared" si="3"/>
        <v>1610887680</v>
      </c>
      <c r="K47" s="285">
        <f t="shared" si="7"/>
        <v>4429941120</v>
      </c>
      <c r="L47" s="284">
        <f t="shared" si="8"/>
        <v>73496750400</v>
      </c>
      <c r="M47" s="284">
        <f t="shared" si="4"/>
        <v>12249458400</v>
      </c>
      <c r="N47" s="284">
        <f t="shared" si="5"/>
        <v>48997833600</v>
      </c>
      <c r="O47" s="285">
        <f t="shared" si="9"/>
        <v>134744042400</v>
      </c>
    </row>
    <row r="48" spans="2:15">
      <c r="B48" s="238">
        <v>32</v>
      </c>
      <c r="C48" s="284">
        <f t="shared" ref="C48:C51" si="16">ROUND(C47+(C$52-C$46)/6,0)</f>
        <v>14046000</v>
      </c>
      <c r="D48" s="284">
        <f t="shared" si="14"/>
        <v>29438.075000000001</v>
      </c>
      <c r="E48" s="284">
        <f t="shared" si="14"/>
        <v>4906.3458333333338</v>
      </c>
      <c r="F48" s="284">
        <f t="shared" si="14"/>
        <v>19625.383333333335</v>
      </c>
      <c r="G48" s="284">
        <f t="shared" si="6"/>
        <v>53969.804166666669</v>
      </c>
      <c r="H48" s="284">
        <f t="shared" si="1"/>
        <v>2543449680</v>
      </c>
      <c r="I48" s="284">
        <f t="shared" si="2"/>
        <v>423908280</v>
      </c>
      <c r="J48" s="284">
        <f t="shared" si="3"/>
        <v>1695633120</v>
      </c>
      <c r="K48" s="285">
        <f t="shared" si="7"/>
        <v>4662991080</v>
      </c>
      <c r="L48" s="284">
        <f t="shared" si="8"/>
        <v>77363261100</v>
      </c>
      <c r="M48" s="284">
        <f t="shared" si="4"/>
        <v>12893876850</v>
      </c>
      <c r="N48" s="284">
        <f t="shared" si="5"/>
        <v>51575507400</v>
      </c>
      <c r="O48" s="285">
        <f t="shared" si="9"/>
        <v>141832645350</v>
      </c>
    </row>
    <row r="49" spans="2:15">
      <c r="B49" s="238">
        <v>33</v>
      </c>
      <c r="C49" s="284">
        <f t="shared" si="16"/>
        <v>14748000</v>
      </c>
      <c r="D49" s="284">
        <f t="shared" si="14"/>
        <v>30909.35</v>
      </c>
      <c r="E49" s="284">
        <f t="shared" si="14"/>
        <v>5151.5583333333334</v>
      </c>
      <c r="F49" s="284">
        <f t="shared" si="14"/>
        <v>20606.233333333334</v>
      </c>
      <c r="G49" s="284">
        <f t="shared" si="6"/>
        <v>56667.141666666663</v>
      </c>
      <c r="H49" s="284">
        <f t="shared" si="1"/>
        <v>2670567840</v>
      </c>
      <c r="I49" s="284">
        <f t="shared" si="2"/>
        <v>445094640</v>
      </c>
      <c r="J49" s="284">
        <f t="shared" si="3"/>
        <v>1780378560</v>
      </c>
      <c r="K49" s="285">
        <f t="shared" si="7"/>
        <v>4896041040</v>
      </c>
      <c r="L49" s="284">
        <f t="shared" si="8"/>
        <v>81229771800</v>
      </c>
      <c r="M49" s="284">
        <f t="shared" si="4"/>
        <v>13538295300</v>
      </c>
      <c r="N49" s="284">
        <f t="shared" si="5"/>
        <v>54153181200</v>
      </c>
      <c r="O49" s="285">
        <f t="shared" si="9"/>
        <v>148921248300</v>
      </c>
    </row>
    <row r="50" spans="2:15">
      <c r="B50" s="238">
        <v>34</v>
      </c>
      <c r="C50" s="284">
        <f t="shared" si="16"/>
        <v>15450000</v>
      </c>
      <c r="D50" s="284">
        <f t="shared" si="14"/>
        <v>32380.624999999993</v>
      </c>
      <c r="E50" s="284">
        <f t="shared" si="14"/>
        <v>5396.770833333333</v>
      </c>
      <c r="F50" s="284">
        <f t="shared" si="14"/>
        <v>21587.083333333332</v>
      </c>
      <c r="G50" s="284">
        <f t="shared" si="6"/>
        <v>59364.479166666657</v>
      </c>
      <c r="H50" s="284">
        <f t="shared" si="1"/>
        <v>2797686000</v>
      </c>
      <c r="I50" s="284">
        <f t="shared" si="2"/>
        <v>466281000</v>
      </c>
      <c r="J50" s="284">
        <f t="shared" si="3"/>
        <v>1865124000</v>
      </c>
      <c r="K50" s="285">
        <f t="shared" si="7"/>
        <v>5129091000</v>
      </c>
      <c r="L50" s="284">
        <f t="shared" si="8"/>
        <v>85096282500</v>
      </c>
      <c r="M50" s="284">
        <f t="shared" si="4"/>
        <v>14182713750</v>
      </c>
      <c r="N50" s="284">
        <f t="shared" si="5"/>
        <v>56730855000</v>
      </c>
      <c r="O50" s="285">
        <f t="shared" si="9"/>
        <v>156009851250</v>
      </c>
    </row>
    <row r="51" spans="2:15">
      <c r="B51" s="238">
        <v>35</v>
      </c>
      <c r="C51" s="284">
        <f t="shared" si="16"/>
        <v>16152000</v>
      </c>
      <c r="D51" s="284">
        <f t="shared" si="14"/>
        <v>33851.899999999994</v>
      </c>
      <c r="E51" s="284">
        <f t="shared" si="14"/>
        <v>5641.9833333333336</v>
      </c>
      <c r="F51" s="284">
        <f t="shared" si="14"/>
        <v>22567.933333333334</v>
      </c>
      <c r="G51" s="284">
        <f t="shared" si="6"/>
        <v>62061.816666666666</v>
      </c>
      <c r="H51" s="284">
        <f t="shared" si="1"/>
        <v>2924804160</v>
      </c>
      <c r="I51" s="284">
        <f t="shared" si="2"/>
        <v>487467360</v>
      </c>
      <c r="J51" s="284">
        <f t="shared" si="3"/>
        <v>1949869440</v>
      </c>
      <c r="K51" s="285">
        <f t="shared" si="7"/>
        <v>5362140960</v>
      </c>
      <c r="L51" s="284">
        <f t="shared" si="8"/>
        <v>88962793200</v>
      </c>
      <c r="M51" s="284">
        <f t="shared" si="4"/>
        <v>14827132200</v>
      </c>
      <c r="N51" s="284">
        <f t="shared" si="5"/>
        <v>59308528800</v>
      </c>
      <c r="O51" s="285">
        <f t="shared" si="9"/>
        <v>163098454200</v>
      </c>
    </row>
    <row r="52" spans="2:15" ht="17" thickBot="1">
      <c r="B52" s="247">
        <v>36</v>
      </c>
      <c r="C52" s="286">
        <v>16854000</v>
      </c>
      <c r="D52" s="286">
        <f t="shared" si="14"/>
        <v>35323.174999999996</v>
      </c>
      <c r="E52" s="286">
        <f t="shared" si="14"/>
        <v>5887.1958333333332</v>
      </c>
      <c r="F52" s="286">
        <f t="shared" si="14"/>
        <v>23548.783333333333</v>
      </c>
      <c r="G52" s="286">
        <f t="shared" si="6"/>
        <v>64759.15416666666</v>
      </c>
      <c r="H52" s="286">
        <f t="shared" si="1"/>
        <v>3051922320</v>
      </c>
      <c r="I52" s="286">
        <f t="shared" si="2"/>
        <v>508653720</v>
      </c>
      <c r="J52" s="286">
        <f t="shared" si="3"/>
        <v>2034614880</v>
      </c>
      <c r="K52" s="287">
        <f t="shared" si="7"/>
        <v>5595190920</v>
      </c>
      <c r="L52" s="286">
        <f t="shared" si="8"/>
        <v>92829303900</v>
      </c>
      <c r="M52" s="286">
        <f t="shared" si="4"/>
        <v>15471550650</v>
      </c>
      <c r="N52" s="286">
        <f t="shared" si="5"/>
        <v>61886202600</v>
      </c>
      <c r="O52" s="287">
        <f t="shared" si="9"/>
        <v>170187057150</v>
      </c>
    </row>
  </sheetData>
  <mergeCells count="5">
    <mergeCell ref="B14:B15"/>
    <mergeCell ref="C14:C15"/>
    <mergeCell ref="D14:G14"/>
    <mergeCell ref="H14:K14"/>
    <mergeCell ref="L14:O14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D443-6893-484C-AFDF-F02F4A4203C4}">
  <dimension ref="A1:AB164"/>
  <sheetViews>
    <sheetView topLeftCell="A78" zoomScale="90" zoomScaleNormal="90" workbookViewId="0">
      <selection activeCell="K129" sqref="K129"/>
    </sheetView>
  </sheetViews>
  <sheetFormatPr baseColWidth="10" defaultColWidth="15.33203125" defaultRowHeight="18" customHeight="1"/>
  <cols>
    <col min="1" max="1" width="37" bestFit="1" customWidth="1"/>
    <col min="5" max="5" width="20.5" customWidth="1"/>
    <col min="7" max="7" width="15.5" bestFit="1" customWidth="1"/>
    <col min="8" max="8" width="16.83203125" bestFit="1" customWidth="1"/>
    <col min="9" max="9" width="15.5" bestFit="1" customWidth="1"/>
    <col min="10" max="10" width="16.5" bestFit="1" customWidth="1"/>
    <col min="11" max="11" width="19.5" bestFit="1" customWidth="1"/>
    <col min="12" max="14" width="15.5" bestFit="1" customWidth="1"/>
    <col min="15" max="15" width="17.83203125" bestFit="1" customWidth="1"/>
    <col min="16" max="18" width="15.5" bestFit="1" customWidth="1"/>
    <col min="19" max="19" width="17.83203125" customWidth="1"/>
    <col min="20" max="22" width="15.5" bestFit="1" customWidth="1"/>
    <col min="23" max="23" width="18.6640625" bestFit="1" customWidth="1"/>
  </cols>
  <sheetData>
    <row r="1" spans="1:23" ht="24">
      <c r="A1" s="32" t="s">
        <v>9</v>
      </c>
    </row>
    <row r="2" spans="1:23" ht="18" customHeight="1" thickBot="1"/>
    <row r="3" spans="1:23" ht="18" customHeight="1">
      <c r="A3" s="9" t="s">
        <v>5</v>
      </c>
      <c r="B3" t="s">
        <v>118</v>
      </c>
      <c r="G3" s="374" t="s">
        <v>246</v>
      </c>
      <c r="H3" s="376" t="s">
        <v>120</v>
      </c>
      <c r="I3" s="367" t="s">
        <v>117</v>
      </c>
      <c r="J3" s="367"/>
      <c r="K3" s="367"/>
      <c r="L3" s="371" t="s">
        <v>300</v>
      </c>
      <c r="M3" s="372"/>
      <c r="N3" s="372"/>
      <c r="O3" s="373"/>
      <c r="P3" s="371" t="s">
        <v>301</v>
      </c>
      <c r="Q3" s="372"/>
      <c r="R3" s="372"/>
      <c r="S3" s="373"/>
      <c r="T3" s="371" t="s">
        <v>302</v>
      </c>
      <c r="U3" s="372"/>
      <c r="V3" s="372"/>
      <c r="W3" s="373"/>
    </row>
    <row r="4" spans="1:23" ht="35" thickBot="1">
      <c r="B4" t="s">
        <v>1</v>
      </c>
      <c r="D4" s="27">
        <f>stream_dur</f>
        <v>192</v>
      </c>
      <c r="G4" s="375"/>
      <c r="H4" s="377"/>
      <c r="I4" s="227" t="s">
        <v>2</v>
      </c>
      <c r="J4" s="227" t="s">
        <v>11</v>
      </c>
      <c r="K4" s="227" t="s">
        <v>8</v>
      </c>
      <c r="L4" s="227" t="s">
        <v>2</v>
      </c>
      <c r="M4" s="227" t="s">
        <v>11</v>
      </c>
      <c r="N4" s="227" t="s">
        <v>8</v>
      </c>
      <c r="O4" s="228" t="s">
        <v>102</v>
      </c>
      <c r="P4" s="227" t="s">
        <v>2</v>
      </c>
      <c r="Q4" s="227" t="s">
        <v>11</v>
      </c>
      <c r="R4" s="227" t="s">
        <v>8</v>
      </c>
      <c r="S4" s="228" t="s">
        <v>251</v>
      </c>
      <c r="T4" s="227" t="s">
        <v>2</v>
      </c>
      <c r="U4" s="227" t="s">
        <v>11</v>
      </c>
      <c r="V4" s="227" t="s">
        <v>8</v>
      </c>
      <c r="W4" s="228" t="s">
        <v>303</v>
      </c>
    </row>
    <row r="5" spans="1:23" ht="18" customHeight="1">
      <c r="B5" t="s">
        <v>6</v>
      </c>
      <c r="C5" s="7" t="s">
        <v>3</v>
      </c>
      <c r="D5" s="7" t="s">
        <v>10</v>
      </c>
      <c r="E5" s="7" t="s">
        <v>4</v>
      </c>
      <c r="G5" s="229">
        <v>0</v>
      </c>
      <c r="H5" s="230">
        <f>'CPU (Workload)'!D16</f>
        <v>3143.75</v>
      </c>
      <c r="I5" s="231">
        <f t="shared" ref="I5:I41" si="0">$H5*$E$6</f>
        <v>628.75</v>
      </c>
      <c r="J5" s="232">
        <f t="shared" ref="J5:J41" si="1">$H5*$E$7</f>
        <v>1886.25</v>
      </c>
      <c r="K5" s="233">
        <f t="shared" ref="K5:K41" si="2">$H5*$E$8</f>
        <v>628.75</v>
      </c>
      <c r="L5" s="231">
        <f>I5*$D$6/2^20</f>
        <v>12.894287109375</v>
      </c>
      <c r="M5" s="232">
        <f>J5*$D$7/2^20</f>
        <v>66.3134765625</v>
      </c>
      <c r="N5" s="233">
        <f>K5*$D$8/2^20</f>
        <v>27.630615234375</v>
      </c>
      <c r="O5" s="234">
        <f t="shared" ref="O5:O41" si="3">SUM(L5:N5)</f>
        <v>106.83837890625</v>
      </c>
      <c r="P5" s="235">
        <f>L5*3600*24/8</f>
        <v>139258.30078125</v>
      </c>
      <c r="Q5" s="236">
        <f>M5*3600*24/8</f>
        <v>716185.546875</v>
      </c>
      <c r="R5" s="236">
        <f>N5*3600*24/8</f>
        <v>298410.64453125</v>
      </c>
      <c r="S5" s="237">
        <f t="shared" ref="S5:S41" si="4">SUM(P5:R5)</f>
        <v>1153854.4921875</v>
      </c>
      <c r="T5" s="231">
        <f>P5*365/12</f>
        <v>4235773.3154296875</v>
      </c>
      <c r="U5" s="236">
        <f t="shared" ref="U5:U41" si="5">Q5*365/12</f>
        <v>21783977.05078125</v>
      </c>
      <c r="V5" s="236">
        <f t="shared" ref="V5:V41" si="6">R5*365/12</f>
        <v>9076657.1044921875</v>
      </c>
      <c r="W5" s="237">
        <f t="shared" ref="W5:W41" si="7">SUM(T5:V5)</f>
        <v>35096407.470703125</v>
      </c>
    </row>
    <row r="6" spans="1:23" ht="18" customHeight="1">
      <c r="B6" s="11" t="s">
        <v>7</v>
      </c>
      <c r="C6" s="27">
        <f>stream_lbr</f>
        <v>112</v>
      </c>
      <c r="D6" s="1">
        <f>$D$4*C6</f>
        <v>21504</v>
      </c>
      <c r="E6" s="30">
        <f>lbr_percent</f>
        <v>0.2</v>
      </c>
      <c r="G6" s="238">
        <v>1</v>
      </c>
      <c r="H6" s="239">
        <f>'CPU (Workload)'!D17</f>
        <v>3318.7520833333333</v>
      </c>
      <c r="I6" s="240">
        <f t="shared" si="0"/>
        <v>663.75041666666675</v>
      </c>
      <c r="J6" s="241">
        <f t="shared" si="1"/>
        <v>1991.2512499999998</v>
      </c>
      <c r="K6" s="242">
        <f t="shared" si="2"/>
        <v>663.75041666666675</v>
      </c>
      <c r="L6" s="240">
        <f t="shared" ref="L6:L41" si="8">I6*$D$6/2^20</f>
        <v>13.612069091796876</v>
      </c>
      <c r="M6" s="241">
        <f t="shared" ref="M6:M41" si="9">J6*$D$7/2^20</f>
        <v>70.004926757812498</v>
      </c>
      <c r="N6" s="242">
        <f t="shared" ref="N6:N41" si="10">K6*$D$8/2^20</f>
        <v>29.168719482421878</v>
      </c>
      <c r="O6" s="243">
        <f t="shared" si="3"/>
        <v>112.78571533203124</v>
      </c>
      <c r="P6" s="244">
        <f t="shared" ref="P6:P41" si="11">L6*3600*24/8</f>
        <v>147010.34619140625</v>
      </c>
      <c r="Q6" s="245">
        <f t="shared" ref="Q6:Q41" si="12">M6*3600*24/8</f>
        <v>756053.208984375</v>
      </c>
      <c r="R6" s="245">
        <f t="shared" ref="R6:R41" si="13">N6*3600*24/8</f>
        <v>315022.17041015631</v>
      </c>
      <c r="S6" s="246">
        <f t="shared" si="4"/>
        <v>1218085.7255859375</v>
      </c>
      <c r="T6" s="244">
        <f t="shared" ref="T6:T41" si="14">P6*365/12</f>
        <v>4471564.6966552734</v>
      </c>
      <c r="U6" s="245">
        <f t="shared" si="5"/>
        <v>22996618.439941406</v>
      </c>
      <c r="V6" s="245">
        <f t="shared" si="6"/>
        <v>9581924.3499755878</v>
      </c>
      <c r="W6" s="246">
        <f t="shared" si="7"/>
        <v>37050107.486572266</v>
      </c>
    </row>
    <row r="7" spans="1:23" ht="18" customHeight="1">
      <c r="B7" s="11" t="s">
        <v>11</v>
      </c>
      <c r="C7" s="27">
        <f>stream_sbr</f>
        <v>192</v>
      </c>
      <c r="D7" s="1">
        <f t="shared" ref="D7:D8" si="15">$D$4*C7</f>
        <v>36864</v>
      </c>
      <c r="E7" s="30">
        <f>sbr_percent</f>
        <v>0.6</v>
      </c>
      <c r="G7" s="238">
        <v>2</v>
      </c>
      <c r="H7" s="239">
        <f>'CPU (Workload)'!D18</f>
        <v>3493.7541666666666</v>
      </c>
      <c r="I7" s="240">
        <f t="shared" si="0"/>
        <v>698.75083333333339</v>
      </c>
      <c r="J7" s="241">
        <f t="shared" si="1"/>
        <v>2096.2525000000001</v>
      </c>
      <c r="K7" s="242">
        <f t="shared" si="2"/>
        <v>698.75083333333339</v>
      </c>
      <c r="L7" s="240">
        <f t="shared" si="8"/>
        <v>14.329851074218752</v>
      </c>
      <c r="M7" s="241">
        <f t="shared" si="9"/>
        <v>73.696376953124997</v>
      </c>
      <c r="N7" s="242">
        <f t="shared" si="10"/>
        <v>30.706823730468752</v>
      </c>
      <c r="O7" s="243">
        <f t="shared" si="3"/>
        <v>118.7330517578125</v>
      </c>
      <c r="P7" s="244">
        <f t="shared" si="11"/>
        <v>154762.39160156253</v>
      </c>
      <c r="Q7" s="245">
        <f t="shared" si="12"/>
        <v>795920.87109375</v>
      </c>
      <c r="R7" s="245">
        <f t="shared" si="13"/>
        <v>331633.69628906256</v>
      </c>
      <c r="S7" s="246">
        <f t="shared" si="4"/>
        <v>1282316.958984375</v>
      </c>
      <c r="T7" s="244">
        <f t="shared" si="14"/>
        <v>4707356.0778808603</v>
      </c>
      <c r="U7" s="245">
        <f t="shared" si="5"/>
        <v>24209259.829101562</v>
      </c>
      <c r="V7" s="245">
        <f t="shared" si="6"/>
        <v>10087191.595458986</v>
      </c>
      <c r="W7" s="246">
        <f t="shared" si="7"/>
        <v>39003807.502441406</v>
      </c>
    </row>
    <row r="8" spans="1:23" ht="18" customHeight="1">
      <c r="B8" s="11" t="s">
        <v>8</v>
      </c>
      <c r="C8" s="27">
        <f>stream_hbr</f>
        <v>240</v>
      </c>
      <c r="D8" s="1">
        <f t="shared" si="15"/>
        <v>46080</v>
      </c>
      <c r="E8" s="30">
        <f>hbr_percent</f>
        <v>0.2</v>
      </c>
      <c r="G8" s="238">
        <v>3</v>
      </c>
      <c r="H8" s="239">
        <f>'CPU (Workload)'!D19</f>
        <v>3668.7562499999999</v>
      </c>
      <c r="I8" s="240">
        <f t="shared" si="0"/>
        <v>733.75125000000003</v>
      </c>
      <c r="J8" s="241">
        <f t="shared" si="1"/>
        <v>2201.2537499999999</v>
      </c>
      <c r="K8" s="242">
        <f t="shared" si="2"/>
        <v>733.75125000000003</v>
      </c>
      <c r="L8" s="240">
        <f t="shared" si="8"/>
        <v>15.047633056640626</v>
      </c>
      <c r="M8" s="241">
        <f t="shared" si="9"/>
        <v>77.387827148437495</v>
      </c>
      <c r="N8" s="242">
        <f t="shared" si="10"/>
        <v>32.244927978515626</v>
      </c>
      <c r="O8" s="243">
        <f t="shared" si="3"/>
        <v>124.68038818359375</v>
      </c>
      <c r="P8" s="244">
        <f t="shared" si="11"/>
        <v>162514.43701171875</v>
      </c>
      <c r="Q8" s="245">
        <f t="shared" si="12"/>
        <v>835788.533203125</v>
      </c>
      <c r="R8" s="245">
        <f t="shared" si="13"/>
        <v>348245.22216796875</v>
      </c>
      <c r="S8" s="246">
        <f t="shared" si="4"/>
        <v>1346548.1923828125</v>
      </c>
      <c r="T8" s="244">
        <f t="shared" si="14"/>
        <v>4943147.4591064453</v>
      </c>
      <c r="U8" s="245">
        <f t="shared" si="5"/>
        <v>25421901.218261719</v>
      </c>
      <c r="V8" s="245">
        <f t="shared" si="6"/>
        <v>10592458.840942383</v>
      </c>
      <c r="W8" s="246">
        <f t="shared" si="7"/>
        <v>40957507.518310547</v>
      </c>
    </row>
    <row r="9" spans="1:23" s="36" customFormat="1" ht="18" customHeight="1">
      <c r="E9" s="63"/>
      <c r="F9" s="63"/>
      <c r="G9" s="238">
        <v>4</v>
      </c>
      <c r="H9" s="239">
        <f>'CPU (Workload)'!D20</f>
        <v>3843.7583333333332</v>
      </c>
      <c r="I9" s="240">
        <f t="shared" si="0"/>
        <v>768.75166666666667</v>
      </c>
      <c r="J9" s="241">
        <f t="shared" si="1"/>
        <v>2306.2549999999997</v>
      </c>
      <c r="K9" s="242">
        <f t="shared" si="2"/>
        <v>768.75166666666667</v>
      </c>
      <c r="L9" s="240">
        <f t="shared" si="8"/>
        <v>15.7654150390625</v>
      </c>
      <c r="M9" s="241">
        <f t="shared" si="9"/>
        <v>81.079277343749993</v>
      </c>
      <c r="N9" s="242">
        <f t="shared" si="10"/>
        <v>33.783032226562497</v>
      </c>
      <c r="O9" s="243">
        <f t="shared" si="3"/>
        <v>130.62772460937498</v>
      </c>
      <c r="P9" s="244">
        <f t="shared" si="11"/>
        <v>170266.482421875</v>
      </c>
      <c r="Q9" s="245">
        <f t="shared" si="12"/>
        <v>875656.1953125</v>
      </c>
      <c r="R9" s="245">
        <f t="shared" si="13"/>
        <v>364856.74804687494</v>
      </c>
      <c r="S9" s="246">
        <f t="shared" si="4"/>
        <v>1410779.42578125</v>
      </c>
      <c r="T9" s="244">
        <f t="shared" si="14"/>
        <v>5178938.8403320312</v>
      </c>
      <c r="U9" s="245">
        <f t="shared" si="5"/>
        <v>26634542.607421875</v>
      </c>
      <c r="V9" s="245">
        <f t="shared" si="6"/>
        <v>11097726.086425779</v>
      </c>
      <c r="W9" s="246">
        <f t="shared" si="7"/>
        <v>42911207.534179688</v>
      </c>
    </row>
    <row r="10" spans="1:23" s="36" customFormat="1" ht="18" customHeight="1">
      <c r="E10" s="63"/>
      <c r="F10" s="63"/>
      <c r="G10" s="238">
        <v>5</v>
      </c>
      <c r="H10" s="239">
        <f>'CPU (Workload)'!D21</f>
        <v>4018.7604166666661</v>
      </c>
      <c r="I10" s="240">
        <f t="shared" si="0"/>
        <v>803.7520833333333</v>
      </c>
      <c r="J10" s="241">
        <f t="shared" si="1"/>
        <v>2411.2562499999995</v>
      </c>
      <c r="K10" s="242">
        <f t="shared" si="2"/>
        <v>803.7520833333333</v>
      </c>
      <c r="L10" s="240">
        <f t="shared" si="8"/>
        <v>16.483197021484376</v>
      </c>
      <c r="M10" s="241">
        <f t="shared" si="9"/>
        <v>84.770727539062477</v>
      </c>
      <c r="N10" s="242">
        <f t="shared" si="10"/>
        <v>35.321136474609375</v>
      </c>
      <c r="O10" s="243">
        <f t="shared" si="3"/>
        <v>136.57506103515624</v>
      </c>
      <c r="P10" s="244">
        <f t="shared" si="11"/>
        <v>178018.52783203125</v>
      </c>
      <c r="Q10" s="245">
        <f t="shared" si="12"/>
        <v>915523.85742187477</v>
      </c>
      <c r="R10" s="245">
        <f t="shared" si="13"/>
        <v>381468.27392578125</v>
      </c>
      <c r="S10" s="246">
        <f t="shared" si="4"/>
        <v>1475010.6591796873</v>
      </c>
      <c r="T10" s="244">
        <f t="shared" si="14"/>
        <v>5414730.2215576172</v>
      </c>
      <c r="U10" s="245">
        <f t="shared" si="5"/>
        <v>27847183.996582028</v>
      </c>
      <c r="V10" s="245">
        <f t="shared" si="6"/>
        <v>11602993.33190918</v>
      </c>
      <c r="W10" s="246">
        <f t="shared" si="7"/>
        <v>44864907.550048828</v>
      </c>
    </row>
    <row r="11" spans="1:23" s="36" customFormat="1" ht="18" customHeight="1">
      <c r="E11" s="63"/>
      <c r="F11" s="63"/>
      <c r="G11" s="238">
        <v>6</v>
      </c>
      <c r="H11" s="239">
        <f>'CPU (Workload)'!D22</f>
        <v>4193.7624999999989</v>
      </c>
      <c r="I11" s="240">
        <f t="shared" si="0"/>
        <v>838.75249999999983</v>
      </c>
      <c r="J11" s="241">
        <f t="shared" si="1"/>
        <v>2516.2574999999993</v>
      </c>
      <c r="K11" s="242">
        <f t="shared" si="2"/>
        <v>838.75249999999983</v>
      </c>
      <c r="L11" s="240">
        <f t="shared" si="8"/>
        <v>17.200979003906248</v>
      </c>
      <c r="M11" s="241">
        <f t="shared" si="9"/>
        <v>88.462177734374976</v>
      </c>
      <c r="N11" s="242">
        <f t="shared" si="10"/>
        <v>36.859240722656246</v>
      </c>
      <c r="O11" s="243">
        <f t="shared" si="3"/>
        <v>142.52239746093747</v>
      </c>
      <c r="P11" s="244">
        <f t="shared" si="11"/>
        <v>185770.57324218747</v>
      </c>
      <c r="Q11" s="245">
        <f t="shared" si="12"/>
        <v>955391.51953124965</v>
      </c>
      <c r="R11" s="245">
        <f t="shared" si="13"/>
        <v>398079.79980468738</v>
      </c>
      <c r="S11" s="246">
        <f t="shared" si="4"/>
        <v>1539241.8925781245</v>
      </c>
      <c r="T11" s="244">
        <f t="shared" si="14"/>
        <v>5650521.6027832022</v>
      </c>
      <c r="U11" s="245">
        <f t="shared" si="5"/>
        <v>29059825.385742176</v>
      </c>
      <c r="V11" s="245">
        <f t="shared" si="6"/>
        <v>12108260.577392576</v>
      </c>
      <c r="W11" s="246">
        <f t="shared" si="7"/>
        <v>46818607.565917954</v>
      </c>
    </row>
    <row r="12" spans="1:23" s="36" customFormat="1" ht="18" customHeight="1">
      <c r="E12" s="63"/>
      <c r="F12" s="63"/>
      <c r="G12" s="238">
        <v>7</v>
      </c>
      <c r="H12" s="239">
        <f>'CPU (Workload)'!D23</f>
        <v>4892.1989583333325</v>
      </c>
      <c r="I12" s="240">
        <f t="shared" si="0"/>
        <v>978.43979166666657</v>
      </c>
      <c r="J12" s="241">
        <f t="shared" si="1"/>
        <v>2935.3193749999996</v>
      </c>
      <c r="K12" s="242">
        <f t="shared" si="2"/>
        <v>978.43979166666657</v>
      </c>
      <c r="L12" s="240">
        <f t="shared" si="8"/>
        <v>20.06565979003906</v>
      </c>
      <c r="M12" s="241">
        <f t="shared" si="9"/>
        <v>103.19482177734373</v>
      </c>
      <c r="N12" s="242">
        <f t="shared" si="10"/>
        <v>42.997842407226557</v>
      </c>
      <c r="O12" s="243">
        <f t="shared" si="3"/>
        <v>166.25832397460937</v>
      </c>
      <c r="P12" s="244">
        <f t="shared" si="11"/>
        <v>216709.12573242182</v>
      </c>
      <c r="Q12" s="245">
        <f t="shared" si="12"/>
        <v>1114504.0751953123</v>
      </c>
      <c r="R12" s="245">
        <f t="shared" si="13"/>
        <v>464376.69799804676</v>
      </c>
      <c r="S12" s="246">
        <f t="shared" si="4"/>
        <v>1795589.8989257808</v>
      </c>
      <c r="T12" s="244">
        <f t="shared" si="14"/>
        <v>6591569.2410278311</v>
      </c>
      <c r="U12" s="245">
        <f t="shared" si="5"/>
        <v>33899498.953857414</v>
      </c>
      <c r="V12" s="245">
        <f t="shared" si="6"/>
        <v>14124791.230773924</v>
      </c>
      <c r="W12" s="246">
        <f t="shared" si="7"/>
        <v>54615859.425659172</v>
      </c>
    </row>
    <row r="13" spans="1:23" s="36" customFormat="1" ht="18" customHeight="1">
      <c r="E13" s="63"/>
      <c r="F13" s="63"/>
      <c r="G13" s="238">
        <v>8</v>
      </c>
      <c r="H13" s="239">
        <f>'CPU (Workload)'!D24</f>
        <v>5590.6354166666661</v>
      </c>
      <c r="I13" s="240">
        <f t="shared" si="0"/>
        <v>1118.1270833333333</v>
      </c>
      <c r="J13" s="241">
        <f t="shared" si="1"/>
        <v>3354.3812499999995</v>
      </c>
      <c r="K13" s="242">
        <f t="shared" si="2"/>
        <v>1118.1270833333333</v>
      </c>
      <c r="L13" s="240">
        <f t="shared" si="8"/>
        <v>22.930340576171876</v>
      </c>
      <c r="M13" s="241">
        <f t="shared" si="9"/>
        <v>117.92746582031248</v>
      </c>
      <c r="N13" s="242">
        <f t="shared" si="10"/>
        <v>49.136444091796875</v>
      </c>
      <c r="O13" s="243">
        <f t="shared" si="3"/>
        <v>189.99425048828124</v>
      </c>
      <c r="P13" s="244">
        <f t="shared" si="11"/>
        <v>247647.67822265625</v>
      </c>
      <c r="Q13" s="245">
        <f t="shared" si="12"/>
        <v>1273616.6308593748</v>
      </c>
      <c r="R13" s="245">
        <f t="shared" si="13"/>
        <v>530673.59619140625</v>
      </c>
      <c r="S13" s="246">
        <f t="shared" si="4"/>
        <v>2051937.9052734373</v>
      </c>
      <c r="T13" s="244">
        <f t="shared" si="14"/>
        <v>7532616.8792724609</v>
      </c>
      <c r="U13" s="245">
        <f t="shared" si="5"/>
        <v>38739172.521972649</v>
      </c>
      <c r="V13" s="245">
        <f t="shared" si="6"/>
        <v>16141321.884155273</v>
      </c>
      <c r="W13" s="246">
        <f t="shared" si="7"/>
        <v>62413111.285400383</v>
      </c>
    </row>
    <row r="14" spans="1:23" s="36" customFormat="1" ht="18" customHeight="1">
      <c r="E14" s="63"/>
      <c r="F14" s="63"/>
      <c r="G14" s="238">
        <v>9</v>
      </c>
      <c r="H14" s="239">
        <f>'CPU (Workload)'!D25</f>
        <v>6289.0718749999996</v>
      </c>
      <c r="I14" s="240">
        <f t="shared" si="0"/>
        <v>1257.8143749999999</v>
      </c>
      <c r="J14" s="241">
        <f t="shared" si="1"/>
        <v>3773.4431249999998</v>
      </c>
      <c r="K14" s="242">
        <f t="shared" si="2"/>
        <v>1257.8143749999999</v>
      </c>
      <c r="L14" s="240">
        <f t="shared" si="8"/>
        <v>25.795021362304688</v>
      </c>
      <c r="M14" s="241">
        <f t="shared" si="9"/>
        <v>132.66010986328124</v>
      </c>
      <c r="N14" s="242">
        <f t="shared" si="10"/>
        <v>55.275045776367186</v>
      </c>
      <c r="O14" s="243">
        <f t="shared" si="3"/>
        <v>213.73017700195311</v>
      </c>
      <c r="P14" s="244">
        <f t="shared" si="11"/>
        <v>278586.23071289062</v>
      </c>
      <c r="Q14" s="245">
        <f t="shared" si="12"/>
        <v>1432729.1865234373</v>
      </c>
      <c r="R14" s="245">
        <f t="shared" si="13"/>
        <v>596970.49438476562</v>
      </c>
      <c r="S14" s="246">
        <f t="shared" si="4"/>
        <v>2308285.9116210938</v>
      </c>
      <c r="T14" s="244">
        <f t="shared" si="14"/>
        <v>8473664.5175170898</v>
      </c>
      <c r="U14" s="245">
        <f t="shared" si="5"/>
        <v>43578846.090087883</v>
      </c>
      <c r="V14" s="245">
        <f t="shared" si="6"/>
        <v>18157852.537536621</v>
      </c>
      <c r="W14" s="246">
        <f t="shared" si="7"/>
        <v>70210363.145141602</v>
      </c>
    </row>
    <row r="15" spans="1:23" s="36" customFormat="1" ht="18" customHeight="1">
      <c r="E15" s="63"/>
      <c r="F15" s="63"/>
      <c r="G15" s="238">
        <v>10</v>
      </c>
      <c r="H15" s="239">
        <f>'CPU (Workload)'!D26</f>
        <v>6987.5083333333332</v>
      </c>
      <c r="I15" s="240">
        <f t="shared" si="0"/>
        <v>1397.5016666666668</v>
      </c>
      <c r="J15" s="241">
        <f t="shared" si="1"/>
        <v>4192.5050000000001</v>
      </c>
      <c r="K15" s="242">
        <f t="shared" si="2"/>
        <v>1397.5016666666668</v>
      </c>
      <c r="L15" s="240">
        <f t="shared" si="8"/>
        <v>28.659702148437503</v>
      </c>
      <c r="M15" s="241">
        <f t="shared" si="9"/>
        <v>147.39275390624999</v>
      </c>
      <c r="N15" s="242">
        <f t="shared" si="10"/>
        <v>61.413647460937504</v>
      </c>
      <c r="O15" s="243">
        <f t="shared" si="3"/>
        <v>237.46610351562501</v>
      </c>
      <c r="P15" s="244">
        <f t="shared" si="11"/>
        <v>309524.78320312506</v>
      </c>
      <c r="Q15" s="245">
        <f t="shared" si="12"/>
        <v>1591841.7421875</v>
      </c>
      <c r="R15" s="245">
        <f t="shared" si="13"/>
        <v>663267.39257812512</v>
      </c>
      <c r="S15" s="246">
        <f t="shared" si="4"/>
        <v>2564633.91796875</v>
      </c>
      <c r="T15" s="244">
        <f t="shared" si="14"/>
        <v>9414712.1557617206</v>
      </c>
      <c r="U15" s="245">
        <f t="shared" si="5"/>
        <v>48418519.658203125</v>
      </c>
      <c r="V15" s="245">
        <f t="shared" si="6"/>
        <v>20174383.190917972</v>
      </c>
      <c r="W15" s="246">
        <f t="shared" si="7"/>
        <v>78007615.004882812</v>
      </c>
    </row>
    <row r="16" spans="1:23" s="36" customFormat="1" ht="18" customHeight="1">
      <c r="E16" s="63"/>
      <c r="F16" s="63"/>
      <c r="G16" s="238">
        <v>11</v>
      </c>
      <c r="H16" s="239">
        <f>'CPU (Workload)'!D27</f>
        <v>7685.9447916666668</v>
      </c>
      <c r="I16" s="240">
        <f t="shared" si="0"/>
        <v>1537.1889583333334</v>
      </c>
      <c r="J16" s="241">
        <f t="shared" si="1"/>
        <v>4611.5668749999995</v>
      </c>
      <c r="K16" s="242">
        <f t="shared" si="2"/>
        <v>1537.1889583333334</v>
      </c>
      <c r="L16" s="240">
        <f t="shared" si="8"/>
        <v>31.524382934570315</v>
      </c>
      <c r="M16" s="241">
        <f t="shared" si="9"/>
        <v>162.12539794921872</v>
      </c>
      <c r="N16" s="242">
        <f t="shared" si="10"/>
        <v>67.552249145507815</v>
      </c>
      <c r="O16" s="243">
        <f t="shared" si="3"/>
        <v>261.20203002929685</v>
      </c>
      <c r="P16" s="244">
        <f t="shared" si="11"/>
        <v>340463.33569335943</v>
      </c>
      <c r="Q16" s="245">
        <f t="shared" si="12"/>
        <v>1750954.297851562</v>
      </c>
      <c r="R16" s="245">
        <f t="shared" si="13"/>
        <v>729564.29077148438</v>
      </c>
      <c r="S16" s="246">
        <f t="shared" si="4"/>
        <v>2820981.9243164058</v>
      </c>
      <c r="T16" s="244">
        <f t="shared" si="14"/>
        <v>10355759.79400635</v>
      </c>
      <c r="U16" s="245">
        <f t="shared" si="5"/>
        <v>53258193.226318352</v>
      </c>
      <c r="V16" s="245">
        <f t="shared" si="6"/>
        <v>22190913.844299316</v>
      </c>
      <c r="W16" s="246">
        <f t="shared" si="7"/>
        <v>85804866.864624023</v>
      </c>
    </row>
    <row r="17" spans="5:23" s="36" customFormat="1" ht="18" customHeight="1">
      <c r="E17" s="63"/>
      <c r="F17" s="63"/>
      <c r="G17" s="238">
        <v>12</v>
      </c>
      <c r="H17" s="239">
        <f>'CPU (Workload)'!D28</f>
        <v>8384.3812499999985</v>
      </c>
      <c r="I17" s="240">
        <f t="shared" si="0"/>
        <v>1676.8762499999998</v>
      </c>
      <c r="J17" s="241">
        <f t="shared" si="1"/>
        <v>5030.6287499999989</v>
      </c>
      <c r="K17" s="242">
        <f t="shared" si="2"/>
        <v>1676.8762499999998</v>
      </c>
      <c r="L17" s="240">
        <f t="shared" si="8"/>
        <v>34.38906372070312</v>
      </c>
      <c r="M17" s="241">
        <f t="shared" si="9"/>
        <v>176.85804199218745</v>
      </c>
      <c r="N17" s="242">
        <f t="shared" si="10"/>
        <v>73.690850830078119</v>
      </c>
      <c r="O17" s="243">
        <f t="shared" si="3"/>
        <v>284.93795654296866</v>
      </c>
      <c r="P17" s="244">
        <f t="shared" si="11"/>
        <v>371401.88818359369</v>
      </c>
      <c r="Q17" s="245">
        <f t="shared" si="12"/>
        <v>1910066.8535156245</v>
      </c>
      <c r="R17" s="245">
        <f t="shared" si="13"/>
        <v>795861.18896484375</v>
      </c>
      <c r="S17" s="246">
        <f t="shared" si="4"/>
        <v>3077329.930664062</v>
      </c>
      <c r="T17" s="244">
        <f t="shared" si="14"/>
        <v>11296807.432250975</v>
      </c>
      <c r="U17" s="245">
        <f t="shared" si="5"/>
        <v>58097866.794433586</v>
      </c>
      <c r="V17" s="245">
        <f t="shared" si="6"/>
        <v>24207444.497680664</v>
      </c>
      <c r="W17" s="246">
        <f t="shared" si="7"/>
        <v>93602118.724365219</v>
      </c>
    </row>
    <row r="18" spans="5:23" s="36" customFormat="1" ht="18" customHeight="1">
      <c r="E18" s="63"/>
      <c r="F18" s="63"/>
      <c r="G18" s="238">
        <v>13</v>
      </c>
      <c r="H18" s="239">
        <f>'CPU (Workload)'!D29</f>
        <v>8849.6562499999982</v>
      </c>
      <c r="I18" s="240">
        <f t="shared" si="0"/>
        <v>1769.9312499999996</v>
      </c>
      <c r="J18" s="241">
        <f t="shared" si="1"/>
        <v>5309.7937499999989</v>
      </c>
      <c r="K18" s="242">
        <f t="shared" si="2"/>
        <v>1769.9312499999996</v>
      </c>
      <c r="L18" s="240">
        <f t="shared" si="8"/>
        <v>36.297418212890619</v>
      </c>
      <c r="M18" s="241">
        <f t="shared" si="9"/>
        <v>186.67243652343745</v>
      </c>
      <c r="N18" s="242">
        <f t="shared" si="10"/>
        <v>77.780181884765611</v>
      </c>
      <c r="O18" s="243">
        <f t="shared" si="3"/>
        <v>300.75003662109367</v>
      </c>
      <c r="P18" s="244">
        <f t="shared" si="11"/>
        <v>392012.11669921869</v>
      </c>
      <c r="Q18" s="245">
        <f t="shared" si="12"/>
        <v>2016062.3144531245</v>
      </c>
      <c r="R18" s="245">
        <f t="shared" si="13"/>
        <v>840025.96435546852</v>
      </c>
      <c r="S18" s="246">
        <f t="shared" si="4"/>
        <v>3248100.3955078116</v>
      </c>
      <c r="T18" s="244">
        <f t="shared" si="14"/>
        <v>11923701.882934568</v>
      </c>
      <c r="U18" s="245">
        <f t="shared" si="5"/>
        <v>61321895.397949211</v>
      </c>
      <c r="V18" s="245">
        <f t="shared" si="6"/>
        <v>25550789.749145504</v>
      </c>
      <c r="W18" s="246">
        <f t="shared" si="7"/>
        <v>98796387.030029282</v>
      </c>
    </row>
    <row r="19" spans="5:23" s="36" customFormat="1" ht="18" customHeight="1">
      <c r="E19" s="63"/>
      <c r="F19" s="63"/>
      <c r="G19" s="238">
        <v>14</v>
      </c>
      <c r="H19" s="239">
        <f>'CPU (Workload)'!D30</f>
        <v>9314.9312499999978</v>
      </c>
      <c r="I19" s="240">
        <f t="shared" si="0"/>
        <v>1862.9862499999997</v>
      </c>
      <c r="J19" s="241">
        <f t="shared" si="1"/>
        <v>5588.9587499999989</v>
      </c>
      <c r="K19" s="242">
        <f t="shared" si="2"/>
        <v>1862.9862499999997</v>
      </c>
      <c r="L19" s="240">
        <f t="shared" si="8"/>
        <v>38.205772705078118</v>
      </c>
      <c r="M19" s="241">
        <f t="shared" si="9"/>
        <v>196.48683105468746</v>
      </c>
      <c r="N19" s="242">
        <f t="shared" si="10"/>
        <v>81.869512939453116</v>
      </c>
      <c r="O19" s="243">
        <f t="shared" si="3"/>
        <v>316.56211669921868</v>
      </c>
      <c r="P19" s="244">
        <f t="shared" si="11"/>
        <v>412622.34521484363</v>
      </c>
      <c r="Q19" s="245">
        <f t="shared" si="12"/>
        <v>2122057.7753906245</v>
      </c>
      <c r="R19" s="245">
        <f t="shared" si="13"/>
        <v>884190.73974609352</v>
      </c>
      <c r="S19" s="246">
        <f t="shared" si="4"/>
        <v>3418870.8603515616</v>
      </c>
      <c r="T19" s="244">
        <f t="shared" si="14"/>
        <v>12550596.333618162</v>
      </c>
      <c r="U19" s="245">
        <f t="shared" si="5"/>
        <v>64545924.001464836</v>
      </c>
      <c r="V19" s="245">
        <f t="shared" si="6"/>
        <v>26894135.000610348</v>
      </c>
      <c r="W19" s="246">
        <f t="shared" si="7"/>
        <v>103990655.33569334</v>
      </c>
    </row>
    <row r="20" spans="5:23" s="36" customFormat="1" ht="18" customHeight="1">
      <c r="E20" s="63"/>
      <c r="F20" s="63"/>
      <c r="G20" s="238">
        <v>15</v>
      </c>
      <c r="H20" s="239">
        <f>'CPU (Workload)'!D31</f>
        <v>9780.2062499999993</v>
      </c>
      <c r="I20" s="240">
        <f t="shared" si="0"/>
        <v>1956.04125</v>
      </c>
      <c r="J20" s="241">
        <f t="shared" si="1"/>
        <v>5868.1237499999997</v>
      </c>
      <c r="K20" s="242">
        <f t="shared" si="2"/>
        <v>1956.04125</v>
      </c>
      <c r="L20" s="240">
        <f t="shared" si="8"/>
        <v>40.114127197265624</v>
      </c>
      <c r="M20" s="241">
        <f t="shared" si="9"/>
        <v>206.30122558593749</v>
      </c>
      <c r="N20" s="242">
        <f t="shared" si="10"/>
        <v>85.958843994140622</v>
      </c>
      <c r="O20" s="243">
        <f t="shared" si="3"/>
        <v>332.37419677734374</v>
      </c>
      <c r="P20" s="244">
        <f t="shared" si="11"/>
        <v>433232.57373046875</v>
      </c>
      <c r="Q20" s="245">
        <f t="shared" si="12"/>
        <v>2228053.236328125</v>
      </c>
      <c r="R20" s="245">
        <f t="shared" si="13"/>
        <v>928355.51513671875</v>
      </c>
      <c r="S20" s="246">
        <f t="shared" si="4"/>
        <v>3589641.3251953125</v>
      </c>
      <c r="T20" s="244">
        <f t="shared" si="14"/>
        <v>13177490.784301758</v>
      </c>
      <c r="U20" s="245">
        <f t="shared" si="5"/>
        <v>67769952.604980469</v>
      </c>
      <c r="V20" s="245">
        <f t="shared" si="6"/>
        <v>28237480.252075195</v>
      </c>
      <c r="W20" s="246">
        <f t="shared" si="7"/>
        <v>109184923.64135742</v>
      </c>
    </row>
    <row r="21" spans="5:23" s="36" customFormat="1" ht="18" customHeight="1">
      <c r="E21" s="63"/>
      <c r="F21" s="63"/>
      <c r="G21" s="238">
        <v>16</v>
      </c>
      <c r="H21" s="239">
        <f>'CPU (Workload)'!D32</f>
        <v>10245.481249999999</v>
      </c>
      <c r="I21" s="240">
        <f t="shared" si="0"/>
        <v>2049.0962500000001</v>
      </c>
      <c r="J21" s="241">
        <f t="shared" si="1"/>
        <v>6147.2887499999988</v>
      </c>
      <c r="K21" s="242">
        <f t="shared" si="2"/>
        <v>2049.0962500000001</v>
      </c>
      <c r="L21" s="240">
        <f t="shared" si="8"/>
        <v>42.022481689453123</v>
      </c>
      <c r="M21" s="241">
        <f t="shared" si="9"/>
        <v>216.11562011718746</v>
      </c>
      <c r="N21" s="242">
        <f t="shared" si="10"/>
        <v>90.048175048828128</v>
      </c>
      <c r="O21" s="243">
        <f t="shared" si="3"/>
        <v>348.18627685546869</v>
      </c>
      <c r="P21" s="244">
        <f t="shared" si="11"/>
        <v>453842.80224609375</v>
      </c>
      <c r="Q21" s="245">
        <f t="shared" si="12"/>
        <v>2334048.6972656245</v>
      </c>
      <c r="R21" s="245">
        <f t="shared" si="13"/>
        <v>972520.29052734375</v>
      </c>
      <c r="S21" s="246">
        <f t="shared" si="4"/>
        <v>3760411.790039062</v>
      </c>
      <c r="T21" s="244">
        <f t="shared" si="14"/>
        <v>13804385.234985352</v>
      </c>
      <c r="U21" s="245">
        <f t="shared" si="5"/>
        <v>70993981.208496079</v>
      </c>
      <c r="V21" s="245">
        <f t="shared" si="6"/>
        <v>29580825.503540039</v>
      </c>
      <c r="W21" s="246">
        <f t="shared" si="7"/>
        <v>114379191.94702147</v>
      </c>
    </row>
    <row r="22" spans="5:23" s="36" customFormat="1" ht="18" customHeight="1">
      <c r="E22" s="63"/>
      <c r="F22" s="63"/>
      <c r="G22" s="238">
        <v>17</v>
      </c>
      <c r="H22" s="239">
        <f>'CPU (Workload)'!D33</f>
        <v>10710.756249999999</v>
      </c>
      <c r="I22" s="240">
        <f t="shared" si="0"/>
        <v>2142.1512499999999</v>
      </c>
      <c r="J22" s="241">
        <f t="shared" si="1"/>
        <v>6426.4537499999988</v>
      </c>
      <c r="K22" s="242">
        <f t="shared" si="2"/>
        <v>2142.1512499999999</v>
      </c>
      <c r="L22" s="240">
        <f t="shared" si="8"/>
        <v>43.930836181640622</v>
      </c>
      <c r="M22" s="241">
        <f t="shared" si="9"/>
        <v>225.93001464843746</v>
      </c>
      <c r="N22" s="242">
        <f t="shared" si="10"/>
        <v>94.137506103515619</v>
      </c>
      <c r="O22" s="243">
        <f t="shared" si="3"/>
        <v>363.99835693359375</v>
      </c>
      <c r="P22" s="244">
        <f t="shared" si="11"/>
        <v>474453.03076171875</v>
      </c>
      <c r="Q22" s="245">
        <f t="shared" si="12"/>
        <v>2440044.1582031245</v>
      </c>
      <c r="R22" s="245">
        <f t="shared" si="13"/>
        <v>1016685.0659179688</v>
      </c>
      <c r="S22" s="246">
        <f t="shared" si="4"/>
        <v>3931182.254882812</v>
      </c>
      <c r="T22" s="244">
        <f t="shared" si="14"/>
        <v>14431279.685668945</v>
      </c>
      <c r="U22" s="245">
        <f t="shared" si="5"/>
        <v>74218009.812011704</v>
      </c>
      <c r="V22" s="245">
        <f t="shared" si="6"/>
        <v>30924170.755004883</v>
      </c>
      <c r="W22" s="246">
        <f t="shared" si="7"/>
        <v>119573460.25268553</v>
      </c>
    </row>
    <row r="23" spans="5:23" s="36" customFormat="1" ht="18" customHeight="1">
      <c r="E23" s="63"/>
      <c r="F23" s="63"/>
      <c r="G23" s="238">
        <v>18</v>
      </c>
      <c r="H23" s="239">
        <f>'CPU (Workload)'!D34</f>
        <v>11176.031249999998</v>
      </c>
      <c r="I23" s="240">
        <f t="shared" si="0"/>
        <v>2235.2062499999997</v>
      </c>
      <c r="J23" s="241">
        <f t="shared" si="1"/>
        <v>6705.6187499999987</v>
      </c>
      <c r="K23" s="242">
        <f t="shared" si="2"/>
        <v>2235.2062499999997</v>
      </c>
      <c r="L23" s="240">
        <f t="shared" si="8"/>
        <v>45.839190673828121</v>
      </c>
      <c r="M23" s="241">
        <f t="shared" si="9"/>
        <v>235.74440917968747</v>
      </c>
      <c r="N23" s="242">
        <f t="shared" si="10"/>
        <v>98.226837158203111</v>
      </c>
      <c r="O23" s="243">
        <f t="shared" si="3"/>
        <v>379.8104370117187</v>
      </c>
      <c r="P23" s="244">
        <f t="shared" si="11"/>
        <v>495063.25927734363</v>
      </c>
      <c r="Q23" s="245">
        <f t="shared" si="12"/>
        <v>2546039.6191406245</v>
      </c>
      <c r="R23" s="245">
        <f t="shared" si="13"/>
        <v>1060849.8413085935</v>
      </c>
      <c r="S23" s="246">
        <f t="shared" si="4"/>
        <v>4101952.7197265616</v>
      </c>
      <c r="T23" s="244">
        <f t="shared" si="14"/>
        <v>15058174.136352537</v>
      </c>
      <c r="U23" s="245">
        <f t="shared" si="5"/>
        <v>77442038.415527329</v>
      </c>
      <c r="V23" s="245">
        <f t="shared" si="6"/>
        <v>32267516.006469723</v>
      </c>
      <c r="W23" s="246">
        <f t="shared" si="7"/>
        <v>124767728.55834959</v>
      </c>
    </row>
    <row r="24" spans="5:23" s="36" customFormat="1" ht="18" customHeight="1">
      <c r="E24" s="63"/>
      <c r="F24" s="63"/>
      <c r="G24" s="238">
        <v>19</v>
      </c>
      <c r="H24" s="239">
        <f>'CPU (Workload)'!D35</f>
        <v>12624.776041666666</v>
      </c>
      <c r="I24" s="240">
        <f t="shared" si="0"/>
        <v>2524.9552083333333</v>
      </c>
      <c r="J24" s="241">
        <f t="shared" si="1"/>
        <v>7574.8656249999995</v>
      </c>
      <c r="K24" s="242">
        <f t="shared" si="2"/>
        <v>2524.9552083333333</v>
      </c>
      <c r="L24" s="240">
        <f t="shared" si="8"/>
        <v>51.781307983398435</v>
      </c>
      <c r="M24" s="241">
        <f t="shared" si="9"/>
        <v>266.30386962890623</v>
      </c>
      <c r="N24" s="242">
        <f t="shared" si="10"/>
        <v>110.95994567871094</v>
      </c>
      <c r="O24" s="243">
        <f t="shared" si="3"/>
        <v>429.04512329101561</v>
      </c>
      <c r="P24" s="244">
        <f t="shared" si="11"/>
        <v>559238.12622070312</v>
      </c>
      <c r="Q24" s="245">
        <f t="shared" si="12"/>
        <v>2876081.791992187</v>
      </c>
      <c r="R24" s="245">
        <f t="shared" si="13"/>
        <v>1198367.4133300781</v>
      </c>
      <c r="S24" s="246">
        <f t="shared" si="4"/>
        <v>4633687.3315429688</v>
      </c>
      <c r="T24" s="244">
        <f t="shared" si="14"/>
        <v>17010159.672546387</v>
      </c>
      <c r="U24" s="245">
        <f t="shared" si="5"/>
        <v>87480821.173095688</v>
      </c>
      <c r="V24" s="245">
        <f t="shared" si="6"/>
        <v>36450342.155456543</v>
      </c>
      <c r="W24" s="246">
        <f t="shared" si="7"/>
        <v>140941323.00109863</v>
      </c>
    </row>
    <row r="25" spans="5:23" s="36" customFormat="1" ht="18" customHeight="1">
      <c r="E25" s="63"/>
      <c r="F25" s="63"/>
      <c r="G25" s="238">
        <v>20</v>
      </c>
      <c r="H25" s="239">
        <f>'CPU (Workload)'!D36</f>
        <v>14073.520833333334</v>
      </c>
      <c r="I25" s="240">
        <f t="shared" si="0"/>
        <v>2814.7041666666669</v>
      </c>
      <c r="J25" s="241">
        <f t="shared" si="1"/>
        <v>8444.1124999999993</v>
      </c>
      <c r="K25" s="242">
        <f t="shared" si="2"/>
        <v>2814.7041666666669</v>
      </c>
      <c r="L25" s="240">
        <f t="shared" si="8"/>
        <v>57.723425292968756</v>
      </c>
      <c r="M25" s="241">
        <f t="shared" si="9"/>
        <v>296.86333007812499</v>
      </c>
      <c r="N25" s="242">
        <f t="shared" si="10"/>
        <v>123.69305419921876</v>
      </c>
      <c r="O25" s="243">
        <f t="shared" si="3"/>
        <v>478.27980957031252</v>
      </c>
      <c r="P25" s="244">
        <f t="shared" si="11"/>
        <v>623412.99316406262</v>
      </c>
      <c r="Q25" s="245">
        <f t="shared" si="12"/>
        <v>3206123.96484375</v>
      </c>
      <c r="R25" s="245">
        <f t="shared" si="13"/>
        <v>1335884.9853515627</v>
      </c>
      <c r="S25" s="246">
        <f t="shared" si="4"/>
        <v>5165421.943359375</v>
      </c>
      <c r="T25" s="244">
        <f t="shared" si="14"/>
        <v>18962145.208740238</v>
      </c>
      <c r="U25" s="245">
        <f t="shared" si="5"/>
        <v>97519603.930664062</v>
      </c>
      <c r="V25" s="245">
        <f t="shared" si="6"/>
        <v>40633168.304443367</v>
      </c>
      <c r="W25" s="246">
        <f t="shared" si="7"/>
        <v>157114917.44384766</v>
      </c>
    </row>
    <row r="26" spans="5:23" s="36" customFormat="1" ht="18" customHeight="1">
      <c r="E26" s="63"/>
      <c r="F26" s="63"/>
      <c r="G26" s="238">
        <v>21</v>
      </c>
      <c r="H26" s="239">
        <f>'CPU (Workload)'!D37</f>
        <v>15522.265625</v>
      </c>
      <c r="I26" s="240">
        <f t="shared" si="0"/>
        <v>3104.453125</v>
      </c>
      <c r="J26" s="241">
        <f t="shared" si="1"/>
        <v>9313.359375</v>
      </c>
      <c r="K26" s="242">
        <f t="shared" si="2"/>
        <v>3104.453125</v>
      </c>
      <c r="L26" s="240">
        <f t="shared" si="8"/>
        <v>63.665542602539062</v>
      </c>
      <c r="M26" s="241">
        <f t="shared" si="9"/>
        <v>327.42279052734375</v>
      </c>
      <c r="N26" s="242">
        <f t="shared" si="10"/>
        <v>136.42616271972656</v>
      </c>
      <c r="O26" s="243">
        <f t="shared" si="3"/>
        <v>527.51449584960938</v>
      </c>
      <c r="P26" s="244">
        <f t="shared" si="11"/>
        <v>687587.86010742188</v>
      </c>
      <c r="Q26" s="245">
        <f t="shared" si="12"/>
        <v>3536166.1376953125</v>
      </c>
      <c r="R26" s="245">
        <f t="shared" si="13"/>
        <v>1473402.5573730469</v>
      </c>
      <c r="S26" s="246">
        <f t="shared" si="4"/>
        <v>5697156.5551757812</v>
      </c>
      <c r="T26" s="244">
        <f t="shared" si="14"/>
        <v>20914130.744934082</v>
      </c>
      <c r="U26" s="245">
        <f t="shared" si="5"/>
        <v>107558386.68823242</v>
      </c>
      <c r="V26" s="245">
        <f t="shared" si="6"/>
        <v>44815994.453430176</v>
      </c>
      <c r="W26" s="246">
        <f t="shared" si="7"/>
        <v>173288511.88659668</v>
      </c>
    </row>
    <row r="27" spans="5:23" s="36" customFormat="1" ht="18" customHeight="1">
      <c r="E27" s="63"/>
      <c r="F27" s="63"/>
      <c r="G27" s="238">
        <v>22</v>
      </c>
      <c r="H27" s="239">
        <f>'CPU (Workload)'!D38</f>
        <v>16971.010416666664</v>
      </c>
      <c r="I27" s="240">
        <f t="shared" si="0"/>
        <v>3394.2020833333331</v>
      </c>
      <c r="J27" s="241">
        <f t="shared" si="1"/>
        <v>10182.606249999999</v>
      </c>
      <c r="K27" s="242">
        <f t="shared" si="2"/>
        <v>3394.2020833333331</v>
      </c>
      <c r="L27" s="240">
        <f t="shared" si="8"/>
        <v>69.607659912109369</v>
      </c>
      <c r="M27" s="241">
        <f t="shared" si="9"/>
        <v>357.98225097656245</v>
      </c>
      <c r="N27" s="242">
        <f t="shared" si="10"/>
        <v>149.15927124023438</v>
      </c>
      <c r="O27" s="243">
        <f t="shared" si="3"/>
        <v>576.74918212890623</v>
      </c>
      <c r="P27" s="244">
        <f t="shared" si="11"/>
        <v>751762.72705078113</v>
      </c>
      <c r="Q27" s="245">
        <f t="shared" si="12"/>
        <v>3866208.3105468741</v>
      </c>
      <c r="R27" s="245">
        <f t="shared" si="13"/>
        <v>1610920.1293945312</v>
      </c>
      <c r="S27" s="246">
        <f t="shared" si="4"/>
        <v>6228891.1669921866</v>
      </c>
      <c r="T27" s="244">
        <f t="shared" si="14"/>
        <v>22866116.281127926</v>
      </c>
      <c r="U27" s="245">
        <f t="shared" si="5"/>
        <v>117597169.44580077</v>
      </c>
      <c r="V27" s="245">
        <f t="shared" si="6"/>
        <v>48998820.602416992</v>
      </c>
      <c r="W27" s="246">
        <f t="shared" si="7"/>
        <v>189462106.32934567</v>
      </c>
    </row>
    <row r="28" spans="5:23" s="36" customFormat="1" ht="18" customHeight="1">
      <c r="E28" s="63"/>
      <c r="F28" s="63"/>
      <c r="G28" s="238">
        <v>23</v>
      </c>
      <c r="H28" s="239">
        <f>'CPU (Workload)'!D39</f>
        <v>18419.755208333332</v>
      </c>
      <c r="I28" s="240">
        <f t="shared" si="0"/>
        <v>3683.9510416666667</v>
      </c>
      <c r="J28" s="241">
        <f t="shared" si="1"/>
        <v>11051.853125</v>
      </c>
      <c r="K28" s="242">
        <f t="shared" si="2"/>
        <v>3683.9510416666667</v>
      </c>
      <c r="L28" s="240">
        <f t="shared" si="8"/>
        <v>75.54977722167969</v>
      </c>
      <c r="M28" s="241">
        <f t="shared" si="9"/>
        <v>388.54171142578122</v>
      </c>
      <c r="N28" s="242">
        <f t="shared" si="10"/>
        <v>161.89237976074219</v>
      </c>
      <c r="O28" s="243">
        <f t="shared" si="3"/>
        <v>625.98386840820308</v>
      </c>
      <c r="P28" s="244">
        <f t="shared" si="11"/>
        <v>815937.59399414062</v>
      </c>
      <c r="Q28" s="245">
        <f t="shared" si="12"/>
        <v>4196250.4833984366</v>
      </c>
      <c r="R28" s="245">
        <f t="shared" si="13"/>
        <v>1748437.7014160156</v>
      </c>
      <c r="S28" s="246">
        <f t="shared" si="4"/>
        <v>6760625.7788085928</v>
      </c>
      <c r="T28" s="244">
        <f t="shared" si="14"/>
        <v>24818101.817321777</v>
      </c>
      <c r="U28" s="245">
        <f t="shared" si="5"/>
        <v>127635952.20336913</v>
      </c>
      <c r="V28" s="245">
        <f t="shared" si="6"/>
        <v>53181646.751403809</v>
      </c>
      <c r="W28" s="246">
        <f t="shared" si="7"/>
        <v>205635700.77209473</v>
      </c>
    </row>
    <row r="29" spans="5:23" s="36" customFormat="1" ht="18" customHeight="1">
      <c r="E29" s="63"/>
      <c r="F29" s="63"/>
      <c r="G29" s="238">
        <v>24</v>
      </c>
      <c r="H29" s="239">
        <f>'CPU (Workload)'!D40</f>
        <v>19868.499999999996</v>
      </c>
      <c r="I29" s="240">
        <f t="shared" si="0"/>
        <v>3973.6999999999994</v>
      </c>
      <c r="J29" s="241">
        <f t="shared" si="1"/>
        <v>11921.099999999997</v>
      </c>
      <c r="K29" s="242">
        <f t="shared" si="2"/>
        <v>3973.6999999999994</v>
      </c>
      <c r="L29" s="240">
        <f t="shared" si="8"/>
        <v>81.491894531249983</v>
      </c>
      <c r="M29" s="241">
        <f t="shared" si="9"/>
        <v>419.10117187499986</v>
      </c>
      <c r="N29" s="242">
        <f t="shared" si="10"/>
        <v>174.62548828124997</v>
      </c>
      <c r="O29" s="243">
        <f t="shared" si="3"/>
        <v>675.21855468749982</v>
      </c>
      <c r="P29" s="244">
        <f t="shared" si="11"/>
        <v>880112.46093749977</v>
      </c>
      <c r="Q29" s="245">
        <f t="shared" si="12"/>
        <v>4526292.6562499981</v>
      </c>
      <c r="R29" s="245">
        <f t="shared" si="13"/>
        <v>1885955.2734374995</v>
      </c>
      <c r="S29" s="246">
        <f t="shared" si="4"/>
        <v>7292360.3906249981</v>
      </c>
      <c r="T29" s="244">
        <f t="shared" si="14"/>
        <v>26770087.353515621</v>
      </c>
      <c r="U29" s="245">
        <f t="shared" si="5"/>
        <v>137674734.96093744</v>
      </c>
      <c r="V29" s="245">
        <f t="shared" si="6"/>
        <v>57364472.900390618</v>
      </c>
      <c r="W29" s="246">
        <f t="shared" si="7"/>
        <v>221809295.21484369</v>
      </c>
    </row>
    <row r="30" spans="5:23" s="36" customFormat="1" ht="18" customHeight="1">
      <c r="E30" s="63"/>
      <c r="F30" s="63"/>
      <c r="G30" s="238">
        <v>25</v>
      </c>
      <c r="H30" s="239">
        <f>'CPU (Workload)'!D41</f>
        <v>20973.004166666666</v>
      </c>
      <c r="I30" s="240">
        <f t="shared" si="0"/>
        <v>4194.600833333333</v>
      </c>
      <c r="J30" s="241">
        <f t="shared" si="1"/>
        <v>12583.8025</v>
      </c>
      <c r="K30" s="242">
        <f t="shared" si="2"/>
        <v>4194.600833333333</v>
      </c>
      <c r="L30" s="240">
        <f t="shared" si="8"/>
        <v>86.022087402343743</v>
      </c>
      <c r="M30" s="241">
        <f t="shared" si="9"/>
        <v>442.39930664062501</v>
      </c>
      <c r="N30" s="242">
        <f t="shared" si="10"/>
        <v>184.33304443359373</v>
      </c>
      <c r="O30" s="243">
        <f t="shared" si="3"/>
        <v>712.75443847656254</v>
      </c>
      <c r="P30" s="244">
        <f t="shared" si="11"/>
        <v>929038.5439453125</v>
      </c>
      <c r="Q30" s="245">
        <f t="shared" si="12"/>
        <v>4777912.51171875</v>
      </c>
      <c r="R30" s="245">
        <f t="shared" si="13"/>
        <v>1990796.879882812</v>
      </c>
      <c r="S30" s="246">
        <f t="shared" si="4"/>
        <v>7697747.935546875</v>
      </c>
      <c r="T30" s="244">
        <f t="shared" si="14"/>
        <v>28258255.711669922</v>
      </c>
      <c r="U30" s="245">
        <f t="shared" si="5"/>
        <v>145328172.23144531</v>
      </c>
      <c r="V30" s="245">
        <f t="shared" si="6"/>
        <v>60553405.096435539</v>
      </c>
      <c r="W30" s="246">
        <f t="shared" si="7"/>
        <v>234139833.03955078</v>
      </c>
    </row>
    <row r="31" spans="5:23" s="36" customFormat="1" ht="18" customHeight="1">
      <c r="E31" s="63"/>
      <c r="F31" s="63"/>
      <c r="G31" s="238">
        <v>26</v>
      </c>
      <c r="H31" s="239">
        <f>'CPU (Workload)'!D42</f>
        <v>22077.508333333331</v>
      </c>
      <c r="I31" s="240">
        <f t="shared" si="0"/>
        <v>4415.5016666666661</v>
      </c>
      <c r="J31" s="241">
        <f t="shared" si="1"/>
        <v>13246.504999999999</v>
      </c>
      <c r="K31" s="242">
        <f t="shared" si="2"/>
        <v>4415.5016666666661</v>
      </c>
      <c r="L31" s="240">
        <f t="shared" si="8"/>
        <v>90.552280273437489</v>
      </c>
      <c r="M31" s="241">
        <f t="shared" si="9"/>
        <v>465.69744140624999</v>
      </c>
      <c r="N31" s="242">
        <f t="shared" si="10"/>
        <v>194.04060058593748</v>
      </c>
      <c r="O31" s="243">
        <f t="shared" si="3"/>
        <v>750.29032226562492</v>
      </c>
      <c r="P31" s="244">
        <f t="shared" si="11"/>
        <v>977964.62695312477</v>
      </c>
      <c r="Q31" s="245">
        <f t="shared" si="12"/>
        <v>5029532.3671875</v>
      </c>
      <c r="R31" s="245">
        <f t="shared" si="13"/>
        <v>2095638.4863281245</v>
      </c>
      <c r="S31" s="246">
        <f t="shared" si="4"/>
        <v>8103135.48046875</v>
      </c>
      <c r="T31" s="244">
        <f t="shared" si="14"/>
        <v>29746424.069824215</v>
      </c>
      <c r="U31" s="245">
        <f t="shared" si="5"/>
        <v>152981609.50195312</v>
      </c>
      <c r="V31" s="245">
        <f t="shared" si="6"/>
        <v>63742337.292480461</v>
      </c>
      <c r="W31" s="246">
        <f t="shared" si="7"/>
        <v>246470370.86425781</v>
      </c>
    </row>
    <row r="32" spans="5:23" s="36" customFormat="1" ht="18" customHeight="1">
      <c r="E32" s="63"/>
      <c r="F32" s="63"/>
      <c r="G32" s="238">
        <v>27</v>
      </c>
      <c r="H32" s="239">
        <f>'CPU (Workload)'!D43</f>
        <v>23182.012499999997</v>
      </c>
      <c r="I32" s="240">
        <f t="shared" si="0"/>
        <v>4636.4024999999992</v>
      </c>
      <c r="J32" s="241">
        <f t="shared" si="1"/>
        <v>13909.207499999999</v>
      </c>
      <c r="K32" s="242">
        <f t="shared" si="2"/>
        <v>4636.4024999999992</v>
      </c>
      <c r="L32" s="240">
        <f t="shared" si="8"/>
        <v>95.082473144531235</v>
      </c>
      <c r="M32" s="241">
        <f t="shared" si="9"/>
        <v>488.99557617187497</v>
      </c>
      <c r="N32" s="242">
        <f t="shared" si="10"/>
        <v>203.74815673828121</v>
      </c>
      <c r="O32" s="243">
        <f t="shared" si="3"/>
        <v>787.82620605468742</v>
      </c>
      <c r="P32" s="244">
        <f t="shared" si="11"/>
        <v>1026890.7099609373</v>
      </c>
      <c r="Q32" s="245">
        <f t="shared" si="12"/>
        <v>5281152.22265625</v>
      </c>
      <c r="R32" s="245">
        <f t="shared" si="13"/>
        <v>2200480.092773437</v>
      </c>
      <c r="S32" s="246">
        <f t="shared" si="4"/>
        <v>8508523.025390625</v>
      </c>
      <c r="T32" s="244">
        <f t="shared" si="14"/>
        <v>31234592.427978512</v>
      </c>
      <c r="U32" s="245">
        <f t="shared" si="5"/>
        <v>160635046.77246094</v>
      </c>
      <c r="V32" s="245">
        <f t="shared" si="6"/>
        <v>66931269.488525383</v>
      </c>
      <c r="W32" s="246">
        <f t="shared" si="7"/>
        <v>258800908.68896484</v>
      </c>
    </row>
    <row r="33" spans="1:23" s="36" customFormat="1" ht="18" customHeight="1">
      <c r="E33" s="63"/>
      <c r="F33" s="63"/>
      <c r="G33" s="238">
        <v>28</v>
      </c>
      <c r="H33" s="239">
        <f>'CPU (Workload)'!D44</f>
        <v>24286.516666666663</v>
      </c>
      <c r="I33" s="240">
        <f t="shared" si="0"/>
        <v>4857.3033333333324</v>
      </c>
      <c r="J33" s="241">
        <f t="shared" si="1"/>
        <v>14571.909999999998</v>
      </c>
      <c r="K33" s="242">
        <f t="shared" si="2"/>
        <v>4857.3033333333324</v>
      </c>
      <c r="L33" s="240">
        <f t="shared" si="8"/>
        <v>99.612666015624981</v>
      </c>
      <c r="M33" s="241">
        <f t="shared" si="9"/>
        <v>512.2937109374999</v>
      </c>
      <c r="N33" s="242">
        <f t="shared" si="10"/>
        <v>213.45571289062497</v>
      </c>
      <c r="O33" s="243">
        <f t="shared" si="3"/>
        <v>825.3620898437498</v>
      </c>
      <c r="P33" s="244">
        <f t="shared" si="11"/>
        <v>1075816.7929687498</v>
      </c>
      <c r="Q33" s="245">
        <f t="shared" si="12"/>
        <v>5532772.0781249981</v>
      </c>
      <c r="R33" s="245">
        <f t="shared" si="13"/>
        <v>2305321.6992187495</v>
      </c>
      <c r="S33" s="246">
        <f t="shared" si="4"/>
        <v>8913910.5703124981</v>
      </c>
      <c r="T33" s="244">
        <f t="shared" si="14"/>
        <v>32722760.786132809</v>
      </c>
      <c r="U33" s="245">
        <f t="shared" si="5"/>
        <v>168288484.04296869</v>
      </c>
      <c r="V33" s="245">
        <f t="shared" si="6"/>
        <v>70120201.684570298</v>
      </c>
      <c r="W33" s="246">
        <f t="shared" si="7"/>
        <v>271131446.51367182</v>
      </c>
    </row>
    <row r="34" spans="1:23" s="36" customFormat="1" ht="18" customHeight="1">
      <c r="E34" s="63"/>
      <c r="F34" s="63"/>
      <c r="G34" s="238">
        <v>29</v>
      </c>
      <c r="H34" s="239">
        <f>'CPU (Workload)'!D45</f>
        <v>25391.020833333332</v>
      </c>
      <c r="I34" s="240">
        <f t="shared" si="0"/>
        <v>5078.2041666666664</v>
      </c>
      <c r="J34" s="241">
        <f t="shared" si="1"/>
        <v>15234.612499999999</v>
      </c>
      <c r="K34" s="242">
        <f t="shared" si="2"/>
        <v>5078.2041666666664</v>
      </c>
      <c r="L34" s="240">
        <f t="shared" si="8"/>
        <v>104.14285888671874</v>
      </c>
      <c r="M34" s="241">
        <f t="shared" si="9"/>
        <v>535.59184570312493</v>
      </c>
      <c r="N34" s="242">
        <f t="shared" si="10"/>
        <v>223.16326904296875</v>
      </c>
      <c r="O34" s="243">
        <f t="shared" si="3"/>
        <v>862.89797363281241</v>
      </c>
      <c r="P34" s="244">
        <f t="shared" si="11"/>
        <v>1124742.8759765623</v>
      </c>
      <c r="Q34" s="245">
        <f t="shared" si="12"/>
        <v>5784391.9335937491</v>
      </c>
      <c r="R34" s="245">
        <f t="shared" si="13"/>
        <v>2410163.3056640625</v>
      </c>
      <c r="S34" s="246">
        <f t="shared" si="4"/>
        <v>9319298.115234375</v>
      </c>
      <c r="T34" s="244">
        <f t="shared" si="14"/>
        <v>34210929.144287102</v>
      </c>
      <c r="U34" s="245">
        <f t="shared" si="5"/>
        <v>175941921.31347653</v>
      </c>
      <c r="V34" s="245">
        <f t="shared" si="6"/>
        <v>73309133.880615234</v>
      </c>
      <c r="W34" s="246">
        <f t="shared" si="7"/>
        <v>283461984.33837891</v>
      </c>
    </row>
    <row r="35" spans="1:23" s="36" customFormat="1" ht="18" customHeight="1">
      <c r="E35" s="63"/>
      <c r="F35" s="63"/>
      <c r="G35" s="238">
        <v>30</v>
      </c>
      <c r="H35" s="239">
        <f>'CPU (Workload)'!D46</f>
        <v>26495.525000000001</v>
      </c>
      <c r="I35" s="240">
        <f t="shared" si="0"/>
        <v>5299.1050000000005</v>
      </c>
      <c r="J35" s="241">
        <f t="shared" si="1"/>
        <v>15897.315000000001</v>
      </c>
      <c r="K35" s="242">
        <f t="shared" si="2"/>
        <v>5299.1050000000005</v>
      </c>
      <c r="L35" s="240">
        <f t="shared" si="8"/>
        <v>108.67305175781252</v>
      </c>
      <c r="M35" s="241">
        <f t="shared" si="9"/>
        <v>558.88998046874997</v>
      </c>
      <c r="N35" s="242">
        <f t="shared" si="10"/>
        <v>232.87082519531253</v>
      </c>
      <c r="O35" s="243">
        <f t="shared" si="3"/>
        <v>900.43385742187502</v>
      </c>
      <c r="P35" s="244">
        <f t="shared" si="11"/>
        <v>1173668.9589843752</v>
      </c>
      <c r="Q35" s="245">
        <f t="shared" si="12"/>
        <v>6036011.7890625</v>
      </c>
      <c r="R35" s="245">
        <f t="shared" si="13"/>
        <v>2515004.9121093755</v>
      </c>
      <c r="S35" s="246">
        <f t="shared" si="4"/>
        <v>9724685.66015625</v>
      </c>
      <c r="T35" s="244">
        <f t="shared" si="14"/>
        <v>35699097.502441414</v>
      </c>
      <c r="U35" s="245">
        <f t="shared" si="5"/>
        <v>183595358.58398438</v>
      </c>
      <c r="V35" s="245">
        <f t="shared" si="6"/>
        <v>76498066.076660171</v>
      </c>
      <c r="W35" s="246">
        <f t="shared" si="7"/>
        <v>295792522.16308594</v>
      </c>
    </row>
    <row r="36" spans="1:23" s="36" customFormat="1" ht="18" customHeight="1">
      <c r="E36" s="63"/>
      <c r="F36" s="63"/>
      <c r="G36" s="238">
        <v>31</v>
      </c>
      <c r="H36" s="239">
        <f>'CPU (Workload)'!D47</f>
        <v>27966.799999999999</v>
      </c>
      <c r="I36" s="240">
        <f t="shared" si="0"/>
        <v>5593.3600000000006</v>
      </c>
      <c r="J36" s="241">
        <f t="shared" si="1"/>
        <v>16780.079999999998</v>
      </c>
      <c r="K36" s="242">
        <f t="shared" si="2"/>
        <v>5593.3600000000006</v>
      </c>
      <c r="L36" s="240">
        <f t="shared" si="8"/>
        <v>114.70757812500001</v>
      </c>
      <c r="M36" s="241">
        <f t="shared" si="9"/>
        <v>589.92468749999989</v>
      </c>
      <c r="N36" s="242">
        <f t="shared" si="10"/>
        <v>245.80195312500001</v>
      </c>
      <c r="O36" s="243">
        <f t="shared" si="3"/>
        <v>950.4342187499999</v>
      </c>
      <c r="P36" s="244">
        <f t="shared" si="11"/>
        <v>1238841.8437500002</v>
      </c>
      <c r="Q36" s="245">
        <f t="shared" si="12"/>
        <v>6371186.6249999981</v>
      </c>
      <c r="R36" s="245">
        <f t="shared" si="13"/>
        <v>2654661.09375</v>
      </c>
      <c r="S36" s="246">
        <f t="shared" si="4"/>
        <v>10264689.562499998</v>
      </c>
      <c r="T36" s="244">
        <f t="shared" si="14"/>
        <v>37681439.414062507</v>
      </c>
      <c r="U36" s="245">
        <f t="shared" si="5"/>
        <v>193790259.84374997</v>
      </c>
      <c r="V36" s="245">
        <f t="shared" si="6"/>
        <v>80745941.6015625</v>
      </c>
      <c r="W36" s="246">
        <f t="shared" si="7"/>
        <v>312217640.859375</v>
      </c>
    </row>
    <row r="37" spans="1:23" s="36" customFormat="1" ht="18" customHeight="1">
      <c r="E37" s="63"/>
      <c r="F37" s="63"/>
      <c r="G37" s="238">
        <v>32</v>
      </c>
      <c r="H37" s="239">
        <f>'CPU (Workload)'!D48</f>
        <v>29438.075000000001</v>
      </c>
      <c r="I37" s="240">
        <f t="shared" si="0"/>
        <v>5887.6150000000007</v>
      </c>
      <c r="J37" s="241">
        <f t="shared" si="1"/>
        <v>17662.845000000001</v>
      </c>
      <c r="K37" s="242">
        <f t="shared" si="2"/>
        <v>5887.6150000000007</v>
      </c>
      <c r="L37" s="240">
        <f t="shared" si="8"/>
        <v>120.74210449218751</v>
      </c>
      <c r="M37" s="241">
        <f t="shared" si="9"/>
        <v>620.95939453125004</v>
      </c>
      <c r="N37" s="242">
        <f t="shared" si="10"/>
        <v>258.73308105468755</v>
      </c>
      <c r="O37" s="243">
        <f t="shared" si="3"/>
        <v>1000.4345800781251</v>
      </c>
      <c r="P37" s="244">
        <f t="shared" si="11"/>
        <v>1304014.728515625</v>
      </c>
      <c r="Q37" s="245">
        <f t="shared" si="12"/>
        <v>6706361.4609375</v>
      </c>
      <c r="R37" s="245">
        <f t="shared" si="13"/>
        <v>2794317.2753906255</v>
      </c>
      <c r="S37" s="246">
        <f t="shared" si="4"/>
        <v>10804693.46484375</v>
      </c>
      <c r="T37" s="244">
        <f t="shared" si="14"/>
        <v>39663781.325683594</v>
      </c>
      <c r="U37" s="245">
        <f t="shared" si="5"/>
        <v>203985161.10351562</v>
      </c>
      <c r="V37" s="245">
        <f t="shared" si="6"/>
        <v>84993817.126464859</v>
      </c>
      <c r="W37" s="246">
        <f t="shared" si="7"/>
        <v>328642759.55566406</v>
      </c>
    </row>
    <row r="38" spans="1:23" s="36" customFormat="1" ht="18" customHeight="1">
      <c r="E38" s="63"/>
      <c r="F38" s="63"/>
      <c r="G38" s="238">
        <v>33</v>
      </c>
      <c r="H38" s="239">
        <f>'CPU (Workload)'!D49</f>
        <v>30909.35</v>
      </c>
      <c r="I38" s="240">
        <f t="shared" si="0"/>
        <v>6181.87</v>
      </c>
      <c r="J38" s="241">
        <f t="shared" si="1"/>
        <v>18545.609999999997</v>
      </c>
      <c r="K38" s="242">
        <f t="shared" si="2"/>
        <v>6181.87</v>
      </c>
      <c r="L38" s="240">
        <f t="shared" si="8"/>
        <v>126.776630859375</v>
      </c>
      <c r="M38" s="241">
        <f t="shared" si="9"/>
        <v>651.99410156249985</v>
      </c>
      <c r="N38" s="242">
        <f t="shared" si="10"/>
        <v>271.66420898437502</v>
      </c>
      <c r="O38" s="243">
        <f t="shared" si="3"/>
        <v>1050.4349414062499</v>
      </c>
      <c r="P38" s="244">
        <f t="shared" si="11"/>
        <v>1369187.61328125</v>
      </c>
      <c r="Q38" s="245">
        <f t="shared" si="12"/>
        <v>7041536.2968749981</v>
      </c>
      <c r="R38" s="245">
        <f t="shared" si="13"/>
        <v>2933973.4570312505</v>
      </c>
      <c r="S38" s="246">
        <f t="shared" si="4"/>
        <v>11344697.367187498</v>
      </c>
      <c r="T38" s="244">
        <f t="shared" si="14"/>
        <v>41646123.237304688</v>
      </c>
      <c r="U38" s="245">
        <f t="shared" si="5"/>
        <v>214180062.36328122</v>
      </c>
      <c r="V38" s="245">
        <f t="shared" si="6"/>
        <v>89241692.651367202</v>
      </c>
      <c r="W38" s="246">
        <f t="shared" si="7"/>
        <v>345067878.25195312</v>
      </c>
    </row>
    <row r="39" spans="1:23" s="36" customFormat="1" ht="18" customHeight="1">
      <c r="E39" s="63"/>
      <c r="F39" s="63"/>
      <c r="G39" s="238">
        <v>34</v>
      </c>
      <c r="H39" s="239">
        <f>'CPU (Workload)'!D50</f>
        <v>32380.624999999993</v>
      </c>
      <c r="I39" s="240">
        <f t="shared" si="0"/>
        <v>6476.1249999999991</v>
      </c>
      <c r="J39" s="241">
        <f t="shared" si="1"/>
        <v>19428.374999999996</v>
      </c>
      <c r="K39" s="242">
        <f t="shared" si="2"/>
        <v>6476.1249999999991</v>
      </c>
      <c r="L39" s="240">
        <f t="shared" si="8"/>
        <v>132.81115722656247</v>
      </c>
      <c r="M39" s="241">
        <f t="shared" si="9"/>
        <v>683.02880859374989</v>
      </c>
      <c r="N39" s="242">
        <f t="shared" si="10"/>
        <v>284.59533691406244</v>
      </c>
      <c r="O39" s="243">
        <f t="shared" si="3"/>
        <v>1100.4353027343748</v>
      </c>
      <c r="P39" s="244">
        <f t="shared" si="11"/>
        <v>1434360.4980468745</v>
      </c>
      <c r="Q39" s="245">
        <f t="shared" si="12"/>
        <v>7376711.1328124981</v>
      </c>
      <c r="R39" s="245">
        <f t="shared" si="13"/>
        <v>3073629.6386718741</v>
      </c>
      <c r="S39" s="246">
        <f t="shared" si="4"/>
        <v>11884701.269531246</v>
      </c>
      <c r="T39" s="244">
        <f t="shared" si="14"/>
        <v>43628465.148925766</v>
      </c>
      <c r="U39" s="245">
        <f t="shared" si="5"/>
        <v>224374963.62304685</v>
      </c>
      <c r="V39" s="245">
        <f t="shared" si="6"/>
        <v>93489568.176269516</v>
      </c>
      <c r="W39" s="246">
        <f t="shared" si="7"/>
        <v>361492996.94824213</v>
      </c>
    </row>
    <row r="40" spans="1:23" s="36" customFormat="1" ht="18" customHeight="1">
      <c r="E40" s="63"/>
      <c r="F40" s="63"/>
      <c r="G40" s="238">
        <v>35</v>
      </c>
      <c r="H40" s="239">
        <f>'CPU (Workload)'!D51</f>
        <v>33851.899999999994</v>
      </c>
      <c r="I40" s="240">
        <f t="shared" si="0"/>
        <v>6770.3799999999992</v>
      </c>
      <c r="J40" s="241">
        <f t="shared" si="1"/>
        <v>20311.139999999996</v>
      </c>
      <c r="K40" s="242">
        <f t="shared" si="2"/>
        <v>6770.3799999999992</v>
      </c>
      <c r="L40" s="240">
        <f t="shared" si="8"/>
        <v>138.84568359374998</v>
      </c>
      <c r="M40" s="241">
        <f t="shared" si="9"/>
        <v>714.06351562499981</v>
      </c>
      <c r="N40" s="242">
        <f t="shared" si="10"/>
        <v>297.52646484374998</v>
      </c>
      <c r="O40" s="243">
        <f t="shared" si="3"/>
        <v>1150.4356640624997</v>
      </c>
      <c r="P40" s="244">
        <f t="shared" si="11"/>
        <v>1499533.3828124998</v>
      </c>
      <c r="Q40" s="245">
        <f t="shared" si="12"/>
        <v>7711885.9687499981</v>
      </c>
      <c r="R40" s="245">
        <f t="shared" si="13"/>
        <v>3213285.8203125</v>
      </c>
      <c r="S40" s="246">
        <f t="shared" si="4"/>
        <v>12424705.171874998</v>
      </c>
      <c r="T40" s="244">
        <f t="shared" si="14"/>
        <v>45610807.060546868</v>
      </c>
      <c r="U40" s="245">
        <f t="shared" si="5"/>
        <v>234569864.88281247</v>
      </c>
      <c r="V40" s="245">
        <f t="shared" si="6"/>
        <v>97737443.701171875</v>
      </c>
      <c r="W40" s="246">
        <f t="shared" si="7"/>
        <v>377918115.64453119</v>
      </c>
    </row>
    <row r="41" spans="1:23" s="36" customFormat="1" ht="18" customHeight="1" thickBot="1">
      <c r="E41" s="63"/>
      <c r="F41" s="63"/>
      <c r="G41" s="247">
        <v>36</v>
      </c>
      <c r="H41" s="248">
        <f>'CPU (Workload)'!D52</f>
        <v>35323.174999999996</v>
      </c>
      <c r="I41" s="249">
        <f t="shared" si="0"/>
        <v>7064.6349999999993</v>
      </c>
      <c r="J41" s="250">
        <f t="shared" si="1"/>
        <v>21193.904999999995</v>
      </c>
      <c r="K41" s="251">
        <f t="shared" si="2"/>
        <v>7064.6349999999993</v>
      </c>
      <c r="L41" s="249">
        <f t="shared" si="8"/>
        <v>144.88020996093749</v>
      </c>
      <c r="M41" s="250">
        <f t="shared" si="9"/>
        <v>745.09822265624985</v>
      </c>
      <c r="N41" s="251">
        <f t="shared" si="10"/>
        <v>310.45759277343745</v>
      </c>
      <c r="O41" s="252">
        <f t="shared" si="3"/>
        <v>1200.4360253906248</v>
      </c>
      <c r="P41" s="253">
        <f t="shared" si="11"/>
        <v>1564706.267578125</v>
      </c>
      <c r="Q41" s="254">
        <f t="shared" si="12"/>
        <v>8047060.8046874981</v>
      </c>
      <c r="R41" s="254">
        <f t="shared" si="13"/>
        <v>3352942.0019531241</v>
      </c>
      <c r="S41" s="255">
        <f t="shared" si="4"/>
        <v>12964709.074218746</v>
      </c>
      <c r="T41" s="253">
        <f t="shared" si="14"/>
        <v>47593148.972167969</v>
      </c>
      <c r="U41" s="254">
        <f t="shared" si="5"/>
        <v>244764766.1425781</v>
      </c>
      <c r="V41" s="254">
        <f t="shared" si="6"/>
        <v>101985319.2260742</v>
      </c>
      <c r="W41" s="255">
        <f t="shared" si="7"/>
        <v>394343234.34082031</v>
      </c>
    </row>
    <row r="42" spans="1:23" s="36" customFormat="1" ht="18" customHeight="1">
      <c r="E42" s="63"/>
      <c r="F42" s="63"/>
      <c r="G42"/>
      <c r="H42"/>
      <c r="I42"/>
      <c r="J42"/>
      <c r="K42"/>
      <c r="L42"/>
      <c r="M42" s="12"/>
      <c r="N42" s="12"/>
      <c r="O42" s="12"/>
      <c r="P42" s="64"/>
    </row>
    <row r="43" spans="1:23" s="36" customFormat="1" ht="18" customHeight="1">
      <c r="E43" s="63"/>
      <c r="F43" s="63"/>
      <c r="G43"/>
      <c r="H43"/>
      <c r="I43"/>
      <c r="J43"/>
      <c r="K43"/>
      <c r="L43"/>
      <c r="M43" s="12"/>
      <c r="N43" s="12"/>
      <c r="O43" s="12"/>
      <c r="P43" s="64"/>
    </row>
    <row r="44" spans="1:23" s="36" customFormat="1" ht="18" customHeight="1">
      <c r="E44" s="63"/>
      <c r="F44" s="63"/>
      <c r="G44"/>
      <c r="H44"/>
      <c r="I44"/>
      <c r="J44"/>
      <c r="K44"/>
      <c r="L44"/>
      <c r="M44" s="12"/>
      <c r="N44" s="12"/>
      <c r="O44" s="12"/>
      <c r="P44" s="64"/>
    </row>
    <row r="45" spans="1:23" s="36" customFormat="1" ht="18" customHeight="1">
      <c r="E45" s="63"/>
      <c r="F45" s="63"/>
      <c r="G45"/>
      <c r="H45"/>
      <c r="I45"/>
      <c r="J45"/>
      <c r="K45"/>
      <c r="L45"/>
      <c r="M45" s="12"/>
      <c r="N45" s="12"/>
      <c r="O45" s="12"/>
      <c r="P45" s="64"/>
    </row>
    <row r="46" spans="1:23" ht="17" thickBot="1">
      <c r="A46" s="9" t="s">
        <v>12</v>
      </c>
      <c r="B46" t="s">
        <v>121</v>
      </c>
      <c r="M46" s="216"/>
      <c r="N46" s="216"/>
      <c r="O46" s="72"/>
    </row>
    <row r="47" spans="1:23" ht="35" thickBot="1">
      <c r="B47" t="s">
        <v>23</v>
      </c>
      <c r="D47" s="62">
        <f>down_song</f>
        <v>7.0312500000000002E-3</v>
      </c>
      <c r="G47" s="256" t="s">
        <v>246</v>
      </c>
      <c r="H47" s="263" t="s">
        <v>119</v>
      </c>
      <c r="I47" s="257" t="s">
        <v>308</v>
      </c>
      <c r="J47" s="257" t="s">
        <v>306</v>
      </c>
      <c r="K47" s="257" t="s">
        <v>307</v>
      </c>
      <c r="M47" s="139"/>
      <c r="N47" s="259"/>
      <c r="O47" s="64"/>
    </row>
    <row r="48" spans="1:23" ht="18" customHeight="1">
      <c r="B48" t="s">
        <v>13</v>
      </c>
      <c r="D48" s="29">
        <f>down_req</f>
        <v>4</v>
      </c>
      <c r="G48" s="229">
        <v>0</v>
      </c>
      <c r="H48" s="230">
        <f>'CPU (Workload)'!E16</f>
        <v>523.95833333333337</v>
      </c>
      <c r="I48" s="230">
        <f t="shared" ref="I48:I84" si="16">H48*$D$47*8</f>
        <v>29.472656250000004</v>
      </c>
      <c r="J48" s="260">
        <f>I48*3600*24/8</f>
        <v>318304.68750000006</v>
      </c>
      <c r="K48" s="311">
        <f>J48*365/12</f>
        <v>9681767.5781250019</v>
      </c>
      <c r="M48" s="139"/>
      <c r="N48" s="259"/>
      <c r="O48" s="64"/>
    </row>
    <row r="49" spans="7:15" ht="18" customHeight="1">
      <c r="G49" s="238">
        <v>1</v>
      </c>
      <c r="H49" s="239">
        <f>'CPU (Workload)'!E17</f>
        <v>553.12534722222222</v>
      </c>
      <c r="I49" s="239">
        <f t="shared" si="16"/>
        <v>31.11330078125</v>
      </c>
      <c r="J49" s="261">
        <f t="shared" ref="J49:J84" si="17">I49*3600*24/8</f>
        <v>336023.6484375</v>
      </c>
      <c r="K49" s="261">
        <f t="shared" ref="K49:K84" si="18">J49*365/12</f>
        <v>10220719.306640625</v>
      </c>
      <c r="M49" s="139"/>
      <c r="N49" s="259"/>
      <c r="O49" s="64"/>
    </row>
    <row r="50" spans="7:15" ht="18" customHeight="1">
      <c r="G50" s="238">
        <v>2</v>
      </c>
      <c r="H50" s="239">
        <f>'CPU (Workload)'!E18</f>
        <v>582.29236111111106</v>
      </c>
      <c r="I50" s="239">
        <f t="shared" si="16"/>
        <v>32.753945312500001</v>
      </c>
      <c r="J50" s="261">
        <f t="shared" si="17"/>
        <v>353742.609375</v>
      </c>
      <c r="K50" s="261">
        <f t="shared" si="18"/>
        <v>10759671.03515625</v>
      </c>
    </row>
    <row r="51" spans="7:15" ht="18" customHeight="1">
      <c r="G51" s="238">
        <v>3</v>
      </c>
      <c r="H51" s="239">
        <f>'CPU (Workload)'!E19</f>
        <v>611.45937500000002</v>
      </c>
      <c r="I51" s="239">
        <f t="shared" si="16"/>
        <v>34.394589843750005</v>
      </c>
      <c r="J51" s="261">
        <f t="shared" si="17"/>
        <v>371461.57031250006</v>
      </c>
      <c r="K51" s="261">
        <f t="shared" si="18"/>
        <v>11298622.763671877</v>
      </c>
    </row>
    <row r="52" spans="7:15" ht="18" customHeight="1">
      <c r="G52" s="238">
        <v>4</v>
      </c>
      <c r="H52" s="239">
        <f>'CPU (Workload)'!E20</f>
        <v>640.62638888888887</v>
      </c>
      <c r="I52" s="239">
        <f t="shared" si="16"/>
        <v>36.035234375000002</v>
      </c>
      <c r="J52" s="261">
        <f t="shared" si="17"/>
        <v>389180.53125</v>
      </c>
      <c r="K52" s="261">
        <f t="shared" si="18"/>
        <v>11837574.4921875</v>
      </c>
    </row>
    <row r="53" spans="7:15" ht="18" customHeight="1">
      <c r="G53" s="238">
        <v>5</v>
      </c>
      <c r="H53" s="239">
        <f>'CPU (Workload)'!E21</f>
        <v>669.79340277777783</v>
      </c>
      <c r="I53" s="239">
        <f t="shared" si="16"/>
        <v>37.675878906250006</v>
      </c>
      <c r="J53" s="261">
        <f t="shared" si="17"/>
        <v>406899.49218750012</v>
      </c>
      <c r="K53" s="261">
        <f t="shared" si="18"/>
        <v>12376526.220703127</v>
      </c>
    </row>
    <row r="54" spans="7:15" ht="18" customHeight="1">
      <c r="G54" s="238">
        <v>6</v>
      </c>
      <c r="H54" s="239">
        <f>'CPU (Workload)'!E22</f>
        <v>698.96041666666667</v>
      </c>
      <c r="I54" s="239">
        <f t="shared" si="16"/>
        <v>39.316523437500003</v>
      </c>
      <c r="J54" s="261">
        <f t="shared" si="17"/>
        <v>424618.453125</v>
      </c>
      <c r="K54" s="261">
        <f t="shared" si="18"/>
        <v>12915477.94921875</v>
      </c>
    </row>
    <row r="55" spans="7:15" ht="18" customHeight="1">
      <c r="G55" s="238">
        <v>7</v>
      </c>
      <c r="H55" s="239">
        <f>'CPU (Workload)'!E23</f>
        <v>815.36649305555557</v>
      </c>
      <c r="I55" s="239">
        <f t="shared" si="16"/>
        <v>45.864365234375001</v>
      </c>
      <c r="J55" s="261">
        <f t="shared" si="17"/>
        <v>495335.14453125</v>
      </c>
      <c r="K55" s="261">
        <f t="shared" si="18"/>
        <v>15066443.979492188</v>
      </c>
    </row>
    <row r="56" spans="7:15" ht="18" customHeight="1">
      <c r="G56" s="238">
        <v>8</v>
      </c>
      <c r="H56" s="239">
        <f>'CPU (Workload)'!E24</f>
        <v>931.77256944444446</v>
      </c>
      <c r="I56" s="239">
        <f t="shared" si="16"/>
        <v>52.412207031249999</v>
      </c>
      <c r="J56" s="261">
        <f t="shared" si="17"/>
        <v>566051.8359375</v>
      </c>
      <c r="K56" s="261">
        <f t="shared" si="18"/>
        <v>17217410.009765625</v>
      </c>
    </row>
    <row r="57" spans="7:15" ht="18" customHeight="1">
      <c r="G57" s="238">
        <v>9</v>
      </c>
      <c r="H57" s="239">
        <f>'CPU (Workload)'!E25</f>
        <v>1048.1786458333333</v>
      </c>
      <c r="I57" s="239">
        <f t="shared" si="16"/>
        <v>58.960048828125004</v>
      </c>
      <c r="J57" s="261">
        <f t="shared" si="17"/>
        <v>636768.52734375</v>
      </c>
      <c r="K57" s="261">
        <f t="shared" si="18"/>
        <v>19368376.040039062</v>
      </c>
    </row>
    <row r="58" spans="7:15" ht="18" customHeight="1">
      <c r="G58" s="238">
        <v>10</v>
      </c>
      <c r="H58" s="239">
        <f>'CPU (Workload)'!E26</f>
        <v>1164.5847222222221</v>
      </c>
      <c r="I58" s="239">
        <f t="shared" si="16"/>
        <v>65.507890625000002</v>
      </c>
      <c r="J58" s="261">
        <f t="shared" si="17"/>
        <v>707485.21875</v>
      </c>
      <c r="K58" s="261">
        <f t="shared" si="18"/>
        <v>21519342.0703125</v>
      </c>
    </row>
    <row r="59" spans="7:15" ht="18" customHeight="1">
      <c r="G59" s="238">
        <v>11</v>
      </c>
      <c r="H59" s="239">
        <f>'CPU (Workload)'!E27</f>
        <v>1280.9907986111111</v>
      </c>
      <c r="I59" s="239">
        <f t="shared" si="16"/>
        <v>72.055732421875007</v>
      </c>
      <c r="J59" s="261">
        <f t="shared" si="17"/>
        <v>778201.91015625012</v>
      </c>
      <c r="K59" s="261">
        <f t="shared" si="18"/>
        <v>23670308.100585941</v>
      </c>
    </row>
    <row r="60" spans="7:15" ht="18" customHeight="1">
      <c r="G60" s="238">
        <v>12</v>
      </c>
      <c r="H60" s="239">
        <f>'CPU (Workload)'!E28</f>
        <v>1397.3968749999999</v>
      </c>
      <c r="I60" s="239">
        <f t="shared" si="16"/>
        <v>78.603574218749998</v>
      </c>
      <c r="J60" s="261">
        <f t="shared" si="17"/>
        <v>848918.6015625</v>
      </c>
      <c r="K60" s="261">
        <f t="shared" si="18"/>
        <v>25821274.130859375</v>
      </c>
    </row>
    <row r="61" spans="7:15" ht="18" customHeight="1">
      <c r="G61" s="238">
        <v>13</v>
      </c>
      <c r="H61" s="239">
        <f>'CPU (Workload)'!E29</f>
        <v>1474.9427083333333</v>
      </c>
      <c r="I61" s="239">
        <f t="shared" si="16"/>
        <v>82.965527343749997</v>
      </c>
      <c r="J61" s="261">
        <f t="shared" si="17"/>
        <v>896027.6953125</v>
      </c>
      <c r="K61" s="261">
        <f t="shared" si="18"/>
        <v>27254175.732421875</v>
      </c>
    </row>
    <row r="62" spans="7:15" ht="18" customHeight="1">
      <c r="G62" s="238">
        <v>14</v>
      </c>
      <c r="H62" s="239">
        <f>'CPU (Workload)'!E30</f>
        <v>1552.4885416666666</v>
      </c>
      <c r="I62" s="239">
        <f t="shared" si="16"/>
        <v>87.327480468749997</v>
      </c>
      <c r="J62" s="261">
        <f t="shared" si="17"/>
        <v>943136.7890625</v>
      </c>
      <c r="K62" s="261">
        <f t="shared" si="18"/>
        <v>28687077.333984375</v>
      </c>
    </row>
    <row r="63" spans="7:15" ht="18" customHeight="1">
      <c r="G63" s="238">
        <v>15</v>
      </c>
      <c r="H63" s="239">
        <f>'CPU (Workload)'!E31</f>
        <v>1630.034375</v>
      </c>
      <c r="I63" s="239">
        <f t="shared" si="16"/>
        <v>91.689433593749996</v>
      </c>
      <c r="J63" s="261">
        <f t="shared" si="17"/>
        <v>990245.8828125</v>
      </c>
      <c r="K63" s="261">
        <f t="shared" si="18"/>
        <v>30119978.935546875</v>
      </c>
    </row>
    <row r="64" spans="7:15" ht="18" customHeight="1">
      <c r="G64" s="238">
        <v>16</v>
      </c>
      <c r="H64" s="239">
        <f>'CPU (Workload)'!E32</f>
        <v>1707.5802083333333</v>
      </c>
      <c r="I64" s="239">
        <f t="shared" si="16"/>
        <v>96.051386718749995</v>
      </c>
      <c r="J64" s="261">
        <f t="shared" si="17"/>
        <v>1037354.9765625</v>
      </c>
      <c r="K64" s="261">
        <f t="shared" si="18"/>
        <v>31552880.537109375</v>
      </c>
    </row>
    <row r="65" spans="7:11" ht="18" customHeight="1">
      <c r="G65" s="238">
        <v>17</v>
      </c>
      <c r="H65" s="239">
        <f>'CPU (Workload)'!E33</f>
        <v>1785.1260416666667</v>
      </c>
      <c r="I65" s="239">
        <f t="shared" si="16"/>
        <v>100.41333984374999</v>
      </c>
      <c r="J65" s="261">
        <f t="shared" si="17"/>
        <v>1084464.0703125</v>
      </c>
      <c r="K65" s="261">
        <f t="shared" si="18"/>
        <v>32985782.138671875</v>
      </c>
    </row>
    <row r="66" spans="7:11" ht="18" customHeight="1">
      <c r="G66" s="238">
        <v>18</v>
      </c>
      <c r="H66" s="239">
        <f>'CPU (Workload)'!E34</f>
        <v>1862.671875</v>
      </c>
      <c r="I66" s="239">
        <f t="shared" si="16"/>
        <v>104.77529296875001</v>
      </c>
      <c r="J66" s="261">
        <f t="shared" si="17"/>
        <v>1131573.1640625002</v>
      </c>
      <c r="K66" s="261">
        <f t="shared" si="18"/>
        <v>34418683.740234382</v>
      </c>
    </row>
    <row r="67" spans="7:11" ht="18" customHeight="1">
      <c r="G67" s="238">
        <v>19</v>
      </c>
      <c r="H67" s="239">
        <f>'CPU (Workload)'!E35</f>
        <v>2104.1293402777778</v>
      </c>
      <c r="I67" s="239">
        <f t="shared" si="16"/>
        <v>118.35727539062501</v>
      </c>
      <c r="J67" s="261">
        <f t="shared" si="17"/>
        <v>1278258.57421875</v>
      </c>
      <c r="K67" s="261">
        <f t="shared" si="18"/>
        <v>38880364.965820312</v>
      </c>
    </row>
    <row r="68" spans="7:11" ht="18" customHeight="1">
      <c r="G68" s="238">
        <v>20</v>
      </c>
      <c r="H68" s="239">
        <f>'CPU (Workload)'!E36</f>
        <v>2345.5868055555557</v>
      </c>
      <c r="I68" s="239">
        <f t="shared" si="16"/>
        <v>131.93925781250002</v>
      </c>
      <c r="J68" s="261">
        <f t="shared" si="17"/>
        <v>1424943.9843750002</v>
      </c>
      <c r="K68" s="261">
        <f t="shared" si="18"/>
        <v>43342046.191406257</v>
      </c>
    </row>
    <row r="69" spans="7:11" ht="18" customHeight="1">
      <c r="G69" s="238">
        <v>21</v>
      </c>
      <c r="H69" s="239">
        <f>'CPU (Workload)'!E37</f>
        <v>2587.0442708333335</v>
      </c>
      <c r="I69" s="239">
        <f t="shared" si="16"/>
        <v>145.521240234375</v>
      </c>
      <c r="J69" s="261">
        <f t="shared" si="17"/>
        <v>1571629.39453125</v>
      </c>
      <c r="K69" s="261">
        <f t="shared" si="18"/>
        <v>47803727.416992188</v>
      </c>
    </row>
    <row r="70" spans="7:11" ht="18" customHeight="1">
      <c r="G70" s="238">
        <v>22</v>
      </c>
      <c r="H70" s="239">
        <f>'CPU (Workload)'!E38</f>
        <v>2828.5017361111113</v>
      </c>
      <c r="I70" s="239">
        <f t="shared" si="16"/>
        <v>159.10322265625001</v>
      </c>
      <c r="J70" s="261">
        <f t="shared" si="17"/>
        <v>1718314.8046875</v>
      </c>
      <c r="K70" s="261">
        <f t="shared" si="18"/>
        <v>52265408.642578125</v>
      </c>
    </row>
    <row r="71" spans="7:11" ht="18" customHeight="1">
      <c r="G71" s="238">
        <v>23</v>
      </c>
      <c r="H71" s="239">
        <f>'CPU (Workload)'!E39</f>
        <v>3069.9592013888887</v>
      </c>
      <c r="I71" s="239">
        <f t="shared" si="16"/>
        <v>172.68520507812499</v>
      </c>
      <c r="J71" s="261">
        <f t="shared" si="17"/>
        <v>1865000.21484375</v>
      </c>
      <c r="K71" s="261">
        <f t="shared" si="18"/>
        <v>56727089.868164062</v>
      </c>
    </row>
    <row r="72" spans="7:11" ht="18" customHeight="1">
      <c r="G72" s="238">
        <v>24</v>
      </c>
      <c r="H72" s="239">
        <f>'CPU (Workload)'!E40</f>
        <v>3311.4166666666665</v>
      </c>
      <c r="I72" s="239">
        <f t="shared" si="16"/>
        <v>186.26718750000001</v>
      </c>
      <c r="J72" s="261">
        <f t="shared" si="17"/>
        <v>2011685.625</v>
      </c>
      <c r="K72" s="261">
        <f t="shared" si="18"/>
        <v>61188771.09375</v>
      </c>
    </row>
    <row r="73" spans="7:11" ht="18" customHeight="1">
      <c r="G73" s="238">
        <v>25</v>
      </c>
      <c r="H73" s="239">
        <f>'CPU (Workload)'!E41</f>
        <v>3495.5006944444444</v>
      </c>
      <c r="I73" s="239">
        <f t="shared" si="16"/>
        <v>196.6219140625</v>
      </c>
      <c r="J73" s="261">
        <f t="shared" si="17"/>
        <v>2123516.671875</v>
      </c>
      <c r="K73" s="261">
        <f t="shared" si="18"/>
        <v>64590298.76953125</v>
      </c>
    </row>
    <row r="74" spans="7:11" ht="18" customHeight="1">
      <c r="G74" s="238">
        <v>26</v>
      </c>
      <c r="H74" s="239">
        <f>'CPU (Workload)'!E42</f>
        <v>3679.5847222222224</v>
      </c>
      <c r="I74" s="239">
        <f t="shared" si="16"/>
        <v>206.97664062500002</v>
      </c>
      <c r="J74" s="261">
        <f t="shared" si="17"/>
        <v>2235347.71875</v>
      </c>
      <c r="K74" s="261">
        <f t="shared" si="18"/>
        <v>67991826.4453125</v>
      </c>
    </row>
    <row r="75" spans="7:11" ht="18" customHeight="1">
      <c r="G75" s="238">
        <v>27</v>
      </c>
      <c r="H75" s="239">
        <f>'CPU (Workload)'!E43</f>
        <v>3863.6687499999998</v>
      </c>
      <c r="I75" s="239">
        <f t="shared" si="16"/>
        <v>217.33136718750001</v>
      </c>
      <c r="J75" s="261">
        <f t="shared" si="17"/>
        <v>2347178.765625</v>
      </c>
      <c r="K75" s="261">
        <f t="shared" si="18"/>
        <v>71393354.12109375</v>
      </c>
    </row>
    <row r="76" spans="7:11" ht="18" customHeight="1">
      <c r="G76" s="238">
        <v>28</v>
      </c>
      <c r="H76" s="239">
        <f>'CPU (Workload)'!E44</f>
        <v>4047.7527777777777</v>
      </c>
      <c r="I76" s="239">
        <f t="shared" si="16"/>
        <v>227.68609375</v>
      </c>
      <c r="J76" s="261">
        <f t="shared" si="17"/>
        <v>2459009.8125</v>
      </c>
      <c r="K76" s="261">
        <f t="shared" si="18"/>
        <v>74794881.796875</v>
      </c>
    </row>
    <row r="77" spans="7:11" ht="18" customHeight="1">
      <c r="G77" s="238">
        <v>29</v>
      </c>
      <c r="H77" s="239">
        <f>'CPU (Workload)'!E45</f>
        <v>4231.8368055555557</v>
      </c>
      <c r="I77" s="239">
        <f t="shared" si="16"/>
        <v>238.04082031250002</v>
      </c>
      <c r="J77" s="261">
        <f t="shared" si="17"/>
        <v>2570840.8593750005</v>
      </c>
      <c r="K77" s="261">
        <f t="shared" si="18"/>
        <v>78196409.472656265</v>
      </c>
    </row>
    <row r="78" spans="7:11" ht="18" customHeight="1">
      <c r="G78" s="238">
        <v>30</v>
      </c>
      <c r="H78" s="239">
        <f>'CPU (Workload)'!E46</f>
        <v>4415.9208333333336</v>
      </c>
      <c r="I78" s="239">
        <f t="shared" si="16"/>
        <v>248.39554687500001</v>
      </c>
      <c r="J78" s="261">
        <f t="shared" si="17"/>
        <v>2682671.90625</v>
      </c>
      <c r="K78" s="261">
        <f t="shared" si="18"/>
        <v>81597937.1484375</v>
      </c>
    </row>
    <row r="79" spans="7:11" ht="18" customHeight="1">
      <c r="G79" s="238">
        <v>31</v>
      </c>
      <c r="H79" s="239">
        <f>'CPU (Workload)'!E47</f>
        <v>4661.1333333333332</v>
      </c>
      <c r="I79" s="239">
        <f t="shared" si="16"/>
        <v>262.18875000000003</v>
      </c>
      <c r="J79" s="261">
        <f t="shared" si="17"/>
        <v>2831638.5000000005</v>
      </c>
      <c r="K79" s="261">
        <f t="shared" si="18"/>
        <v>86129004.375000015</v>
      </c>
    </row>
    <row r="80" spans="7:11" ht="18" customHeight="1">
      <c r="G80" s="238">
        <v>32</v>
      </c>
      <c r="H80" s="239">
        <f>'CPU (Workload)'!E48</f>
        <v>4906.3458333333338</v>
      </c>
      <c r="I80" s="239">
        <f t="shared" si="16"/>
        <v>275.98195312500002</v>
      </c>
      <c r="J80" s="261">
        <f t="shared" si="17"/>
        <v>2980605.0937500005</v>
      </c>
      <c r="K80" s="261">
        <f t="shared" si="18"/>
        <v>90660071.601562515</v>
      </c>
    </row>
    <row r="81" spans="1:16" ht="18" customHeight="1">
      <c r="G81" s="238">
        <v>33</v>
      </c>
      <c r="H81" s="239">
        <f>'CPU (Workload)'!E49</f>
        <v>5151.5583333333334</v>
      </c>
      <c r="I81" s="239">
        <f t="shared" si="16"/>
        <v>289.77515625000001</v>
      </c>
      <c r="J81" s="261">
        <f t="shared" si="17"/>
        <v>3129571.6875</v>
      </c>
      <c r="K81" s="261">
        <f t="shared" si="18"/>
        <v>95191138.828125</v>
      </c>
    </row>
    <row r="82" spans="1:16" ht="18" customHeight="1">
      <c r="G82" s="238">
        <v>34</v>
      </c>
      <c r="H82" s="239">
        <f>'CPU (Workload)'!E50</f>
        <v>5396.770833333333</v>
      </c>
      <c r="I82" s="239">
        <f t="shared" si="16"/>
        <v>303.568359375</v>
      </c>
      <c r="J82" s="261">
        <f t="shared" si="17"/>
        <v>3278538.28125</v>
      </c>
      <c r="K82" s="261">
        <f t="shared" si="18"/>
        <v>99722206.0546875</v>
      </c>
    </row>
    <row r="83" spans="1:16" ht="18" customHeight="1">
      <c r="G83" s="238">
        <v>35</v>
      </c>
      <c r="H83" s="239">
        <f>'CPU (Workload)'!E51</f>
        <v>5641.9833333333336</v>
      </c>
      <c r="I83" s="239">
        <f t="shared" si="16"/>
        <v>317.36156250000005</v>
      </c>
      <c r="J83" s="261">
        <f t="shared" si="17"/>
        <v>3427504.8750000009</v>
      </c>
      <c r="K83" s="261">
        <f t="shared" si="18"/>
        <v>104253273.28125001</v>
      </c>
    </row>
    <row r="84" spans="1:16" ht="18" customHeight="1" thickBot="1">
      <c r="G84" s="247">
        <v>36</v>
      </c>
      <c r="H84" s="248">
        <f>'CPU (Workload)'!E52</f>
        <v>5887.1958333333332</v>
      </c>
      <c r="I84" s="248">
        <f t="shared" si="16"/>
        <v>331.15476562499998</v>
      </c>
      <c r="J84" s="262">
        <f t="shared" si="17"/>
        <v>3576471.46875</v>
      </c>
      <c r="K84" s="262">
        <f t="shared" si="18"/>
        <v>108784340.5078125</v>
      </c>
    </row>
    <row r="86" spans="1:16" ht="18" customHeight="1" thickBot="1">
      <c r="A86" s="9" t="s">
        <v>15</v>
      </c>
      <c r="M86" s="216"/>
      <c r="N86" s="276"/>
      <c r="O86" s="276"/>
      <c r="P86" s="72"/>
    </row>
    <row r="87" spans="1:16" ht="35" thickBot="1">
      <c r="B87" t="s">
        <v>101</v>
      </c>
      <c r="D87" s="61">
        <f>req_size</f>
        <v>1.9531250000000001E-4</v>
      </c>
      <c r="G87" s="256" t="s">
        <v>246</v>
      </c>
      <c r="H87" s="263" t="s">
        <v>119</v>
      </c>
      <c r="I87" s="257" t="s">
        <v>308</v>
      </c>
      <c r="J87" s="257" t="s">
        <v>306</v>
      </c>
      <c r="K87" s="257" t="s">
        <v>307</v>
      </c>
      <c r="M87" s="139"/>
      <c r="N87" s="259"/>
      <c r="O87" s="64"/>
      <c r="P87" s="72"/>
    </row>
    <row r="88" spans="1:16" ht="18" customHeight="1">
      <c r="B88" t="s">
        <v>14</v>
      </c>
      <c r="D88" s="29">
        <f>perm_req</f>
        <v>16</v>
      </c>
      <c r="E88" s="10"/>
      <c r="G88" s="229">
        <v>0</v>
      </c>
      <c r="H88" s="230">
        <f>'CPU (Workload)'!F16</f>
        <v>2095.8333333333335</v>
      </c>
      <c r="I88" s="230">
        <f>H88*$D$87*8</f>
        <v>3.2747395833333339</v>
      </c>
      <c r="J88" s="260">
        <f>I88*3600*24/8</f>
        <v>35367.187500000007</v>
      </c>
      <c r="K88" s="311">
        <f>J88*365/12</f>
        <v>1075751.9531250002</v>
      </c>
      <c r="M88" s="139"/>
      <c r="N88" s="259"/>
      <c r="O88" s="64"/>
      <c r="P88" s="72"/>
    </row>
    <row r="89" spans="1:16" ht="18" customHeight="1">
      <c r="G89" s="238">
        <v>1</v>
      </c>
      <c r="H89" s="239">
        <f>'CPU (Workload)'!F17</f>
        <v>2212.5013888888889</v>
      </c>
      <c r="I89" s="239">
        <f t="shared" ref="I89:I124" si="19">H89*$D$87*8</f>
        <v>3.457033420138889</v>
      </c>
      <c r="J89" s="261">
        <f t="shared" ref="J89:J124" si="20">I89*3600*24/8</f>
        <v>37335.9609375</v>
      </c>
      <c r="K89" s="261">
        <f t="shared" ref="K89:K124" si="21">J89*365/12</f>
        <v>1135635.478515625</v>
      </c>
      <c r="M89" s="139"/>
      <c r="N89" s="259"/>
      <c r="O89" s="64"/>
      <c r="P89" s="72"/>
    </row>
    <row r="90" spans="1:16" ht="18" customHeight="1">
      <c r="G90" s="238">
        <v>2</v>
      </c>
      <c r="H90" s="239">
        <f>'CPU (Workload)'!F18</f>
        <v>2329.1694444444443</v>
      </c>
      <c r="I90" s="239">
        <f t="shared" si="19"/>
        <v>3.6393272569444441</v>
      </c>
      <c r="J90" s="261">
        <f t="shared" si="20"/>
        <v>39304.734374999993</v>
      </c>
      <c r="K90" s="261">
        <f t="shared" si="21"/>
        <v>1195519.0039062498</v>
      </c>
      <c r="O90" s="41"/>
    </row>
    <row r="91" spans="1:16" ht="16">
      <c r="G91" s="238">
        <v>3</v>
      </c>
      <c r="H91" s="239">
        <f>'CPU (Workload)'!F19</f>
        <v>2445.8375000000001</v>
      </c>
      <c r="I91" s="239">
        <f t="shared" si="19"/>
        <v>3.8216210937500001</v>
      </c>
      <c r="J91" s="261">
        <f t="shared" si="20"/>
        <v>41273.5078125</v>
      </c>
      <c r="K91" s="261">
        <f t="shared" si="21"/>
        <v>1255402.529296875</v>
      </c>
      <c r="P91" s="2"/>
    </row>
    <row r="92" spans="1:16" ht="16">
      <c r="G92" s="238">
        <v>4</v>
      </c>
      <c r="H92" s="239">
        <f>'CPU (Workload)'!F20</f>
        <v>2562.5055555555555</v>
      </c>
      <c r="I92" s="239">
        <f t="shared" si="19"/>
        <v>4.0039149305555553</v>
      </c>
      <c r="J92" s="261">
        <f t="shared" si="20"/>
        <v>43242.281249999993</v>
      </c>
      <c r="K92" s="261">
        <f t="shared" si="21"/>
        <v>1315286.0546874998</v>
      </c>
      <c r="P92" s="2"/>
    </row>
    <row r="93" spans="1:16" ht="16">
      <c r="G93" s="238">
        <v>5</v>
      </c>
      <c r="H93" s="239">
        <f>'CPU (Workload)'!F21</f>
        <v>2679.1736111111113</v>
      </c>
      <c r="I93" s="239">
        <f t="shared" si="19"/>
        <v>4.1862087673611112</v>
      </c>
      <c r="J93" s="261">
        <f t="shared" si="20"/>
        <v>45211.0546875</v>
      </c>
      <c r="K93" s="261">
        <f t="shared" si="21"/>
        <v>1375169.580078125</v>
      </c>
      <c r="P93" s="2"/>
    </row>
    <row r="94" spans="1:16" ht="16">
      <c r="G94" s="238">
        <v>6</v>
      </c>
      <c r="H94" s="239">
        <f>'CPU (Workload)'!F22</f>
        <v>2795.8416666666667</v>
      </c>
      <c r="I94" s="239">
        <f t="shared" si="19"/>
        <v>4.3685026041666672</v>
      </c>
      <c r="J94" s="261">
        <f t="shared" si="20"/>
        <v>47179.828125000007</v>
      </c>
      <c r="K94" s="261">
        <f t="shared" si="21"/>
        <v>1435053.1054687502</v>
      </c>
      <c r="P94" s="2"/>
    </row>
    <row r="95" spans="1:16" ht="16">
      <c r="G95" s="238">
        <v>7</v>
      </c>
      <c r="H95" s="239">
        <f>'CPU (Workload)'!F23</f>
        <v>3261.4659722222223</v>
      </c>
      <c r="I95" s="239">
        <f t="shared" si="19"/>
        <v>5.0960405815972223</v>
      </c>
      <c r="J95" s="261">
        <f t="shared" si="20"/>
        <v>55037.23828125</v>
      </c>
      <c r="K95" s="261">
        <f t="shared" si="21"/>
        <v>1674049.3310546875</v>
      </c>
      <c r="P95" s="2"/>
    </row>
    <row r="96" spans="1:16" ht="16">
      <c r="G96" s="238">
        <v>8</v>
      </c>
      <c r="H96" s="239">
        <f>'CPU (Workload)'!F24</f>
        <v>3727.0902777777778</v>
      </c>
      <c r="I96" s="239">
        <f t="shared" si="19"/>
        <v>5.8235785590277782</v>
      </c>
      <c r="J96" s="261">
        <f t="shared" si="20"/>
        <v>62894.6484375</v>
      </c>
      <c r="K96" s="261">
        <f t="shared" si="21"/>
        <v>1913045.556640625</v>
      </c>
      <c r="P96" s="2"/>
    </row>
    <row r="97" spans="7:16" ht="16">
      <c r="G97" s="238">
        <v>9</v>
      </c>
      <c r="H97" s="239">
        <f>'CPU (Workload)'!F25</f>
        <v>4192.7145833333334</v>
      </c>
      <c r="I97" s="239">
        <f t="shared" si="19"/>
        <v>6.5511165364583341</v>
      </c>
      <c r="J97" s="261">
        <f t="shared" si="20"/>
        <v>70752.058593750015</v>
      </c>
      <c r="K97" s="261">
        <f t="shared" si="21"/>
        <v>2152041.782226563</v>
      </c>
      <c r="P97" s="2"/>
    </row>
    <row r="98" spans="7:16" ht="16">
      <c r="G98" s="238">
        <v>10</v>
      </c>
      <c r="H98" s="239">
        <f>'CPU (Workload)'!F26</f>
        <v>4658.3388888888885</v>
      </c>
      <c r="I98" s="239">
        <f t="shared" si="19"/>
        <v>7.2786545138888883</v>
      </c>
      <c r="J98" s="261">
        <f t="shared" si="20"/>
        <v>78609.468749999985</v>
      </c>
      <c r="K98" s="261">
        <f t="shared" si="21"/>
        <v>2391038.0078124995</v>
      </c>
      <c r="P98" s="2"/>
    </row>
    <row r="99" spans="7:16" ht="16">
      <c r="G99" s="238">
        <v>11</v>
      </c>
      <c r="H99" s="239">
        <f>'CPU (Workload)'!F27</f>
        <v>5123.9631944444445</v>
      </c>
      <c r="I99" s="239">
        <f t="shared" si="19"/>
        <v>8.0061924913194442</v>
      </c>
      <c r="J99" s="261">
        <f t="shared" si="20"/>
        <v>86466.87890625</v>
      </c>
      <c r="K99" s="261">
        <f t="shared" si="21"/>
        <v>2630034.2333984375</v>
      </c>
      <c r="P99" s="2"/>
    </row>
    <row r="100" spans="7:16" ht="16">
      <c r="G100" s="238">
        <v>12</v>
      </c>
      <c r="H100" s="239">
        <f>'CPU (Workload)'!F28</f>
        <v>5589.5874999999996</v>
      </c>
      <c r="I100" s="239">
        <f t="shared" si="19"/>
        <v>8.7337304687500001</v>
      </c>
      <c r="J100" s="261">
        <f t="shared" si="20"/>
        <v>94324.2890625</v>
      </c>
      <c r="K100" s="261">
        <f t="shared" si="21"/>
        <v>2869030.458984375</v>
      </c>
      <c r="P100" s="2"/>
    </row>
    <row r="101" spans="7:16" ht="16">
      <c r="G101" s="238">
        <v>13</v>
      </c>
      <c r="H101" s="239">
        <f>'CPU (Workload)'!F29</f>
        <v>5899.770833333333</v>
      </c>
      <c r="I101" s="239">
        <f t="shared" si="19"/>
        <v>9.2183919270833332</v>
      </c>
      <c r="J101" s="261">
        <f t="shared" si="20"/>
        <v>99558.6328125</v>
      </c>
      <c r="K101" s="261">
        <f t="shared" si="21"/>
        <v>3028241.748046875</v>
      </c>
      <c r="P101" s="2"/>
    </row>
    <row r="102" spans="7:16" ht="16">
      <c r="G102" s="238">
        <v>14</v>
      </c>
      <c r="H102" s="239">
        <f>'CPU (Workload)'!F30</f>
        <v>6209.9541666666664</v>
      </c>
      <c r="I102" s="239">
        <f t="shared" si="19"/>
        <v>9.7030533854166663</v>
      </c>
      <c r="J102" s="261">
        <f t="shared" si="20"/>
        <v>104792.9765625</v>
      </c>
      <c r="K102" s="261">
        <f t="shared" si="21"/>
        <v>3187453.037109375</v>
      </c>
      <c r="P102" s="2"/>
    </row>
    <row r="103" spans="7:16" ht="16">
      <c r="G103" s="238">
        <v>15</v>
      </c>
      <c r="H103" s="239">
        <f>'CPU (Workload)'!F31</f>
        <v>6520.1374999999998</v>
      </c>
      <c r="I103" s="239">
        <f t="shared" si="19"/>
        <v>10.187714843750001</v>
      </c>
      <c r="J103" s="261">
        <f t="shared" si="20"/>
        <v>110027.32031250003</v>
      </c>
      <c r="K103" s="261">
        <f t="shared" si="21"/>
        <v>3346664.3261718755</v>
      </c>
      <c r="P103" s="2"/>
    </row>
    <row r="104" spans="7:16" ht="16">
      <c r="G104" s="238">
        <v>16</v>
      </c>
      <c r="H104" s="239">
        <f>'CPU (Workload)'!F32</f>
        <v>6830.3208333333332</v>
      </c>
      <c r="I104" s="239">
        <f t="shared" si="19"/>
        <v>10.672376302083334</v>
      </c>
      <c r="J104" s="261">
        <f t="shared" si="20"/>
        <v>115261.6640625</v>
      </c>
      <c r="K104" s="261">
        <f t="shared" si="21"/>
        <v>3505875.615234375</v>
      </c>
      <c r="P104" s="2"/>
    </row>
    <row r="105" spans="7:16" ht="16">
      <c r="G105" s="238">
        <v>17</v>
      </c>
      <c r="H105" s="239">
        <f>'CPU (Workload)'!F33</f>
        <v>7140.5041666666666</v>
      </c>
      <c r="I105" s="239">
        <f t="shared" si="19"/>
        <v>11.157037760416667</v>
      </c>
      <c r="J105" s="261">
        <f t="shared" si="20"/>
        <v>120496.0078125</v>
      </c>
      <c r="K105" s="261">
        <f t="shared" si="21"/>
        <v>3665086.904296875</v>
      </c>
      <c r="P105" s="2"/>
    </row>
    <row r="106" spans="7:16" ht="16">
      <c r="G106" s="238">
        <v>18</v>
      </c>
      <c r="H106" s="239">
        <f>'CPU (Workload)'!F34</f>
        <v>7450.6875</v>
      </c>
      <c r="I106" s="239">
        <f t="shared" si="19"/>
        <v>11.64169921875</v>
      </c>
      <c r="J106" s="261">
        <f t="shared" si="20"/>
        <v>125730.3515625</v>
      </c>
      <c r="K106" s="261">
        <f t="shared" si="21"/>
        <v>3824298.193359375</v>
      </c>
      <c r="P106" s="2"/>
    </row>
    <row r="107" spans="7:16" ht="16">
      <c r="G107" s="238">
        <v>19</v>
      </c>
      <c r="H107" s="239">
        <f>'CPU (Workload)'!F35</f>
        <v>8416.5173611111113</v>
      </c>
      <c r="I107" s="239">
        <f t="shared" si="19"/>
        <v>13.150808376736112</v>
      </c>
      <c r="J107" s="261">
        <f t="shared" si="20"/>
        <v>142028.73046875003</v>
      </c>
      <c r="K107" s="261">
        <f t="shared" si="21"/>
        <v>4320040.5517578134</v>
      </c>
      <c r="P107" s="2"/>
    </row>
    <row r="108" spans="7:16" ht="16">
      <c r="G108" s="238">
        <v>20</v>
      </c>
      <c r="H108" s="239">
        <f>'CPU (Workload)'!F36</f>
        <v>9382.3472222222226</v>
      </c>
      <c r="I108" s="239">
        <f t="shared" si="19"/>
        <v>14.659917534722224</v>
      </c>
      <c r="J108" s="261">
        <f t="shared" si="20"/>
        <v>158327.10937500003</v>
      </c>
      <c r="K108" s="261">
        <f t="shared" si="21"/>
        <v>4815782.9101562509</v>
      </c>
      <c r="P108" s="2"/>
    </row>
    <row r="109" spans="7:16" ht="16">
      <c r="G109" s="238">
        <v>21</v>
      </c>
      <c r="H109" s="239">
        <f>'CPU (Workload)'!F37</f>
        <v>10348.177083333334</v>
      </c>
      <c r="I109" s="239">
        <f t="shared" si="19"/>
        <v>16.169026692708336</v>
      </c>
      <c r="J109" s="261">
        <f t="shared" si="20"/>
        <v>174625.48828125003</v>
      </c>
      <c r="K109" s="261">
        <f t="shared" si="21"/>
        <v>5311525.2685546884</v>
      </c>
      <c r="P109" s="2"/>
    </row>
    <row r="110" spans="7:16" ht="16">
      <c r="G110" s="238">
        <v>22</v>
      </c>
      <c r="H110" s="239">
        <f>'CPU (Workload)'!F38</f>
        <v>11314.006944444445</v>
      </c>
      <c r="I110" s="239">
        <f t="shared" si="19"/>
        <v>17.678135850694446</v>
      </c>
      <c r="J110" s="261">
        <f t="shared" si="20"/>
        <v>190923.86718750003</v>
      </c>
      <c r="K110" s="261">
        <f t="shared" si="21"/>
        <v>5807267.6269531259</v>
      </c>
      <c r="P110" s="2"/>
    </row>
    <row r="111" spans="7:16" ht="16">
      <c r="G111" s="238">
        <v>23</v>
      </c>
      <c r="H111" s="239">
        <f>'CPU (Workload)'!F39</f>
        <v>12279.836805555555</v>
      </c>
      <c r="I111" s="239">
        <f t="shared" si="19"/>
        <v>19.187245008680556</v>
      </c>
      <c r="J111" s="261">
        <f t="shared" si="20"/>
        <v>207222.24609375</v>
      </c>
      <c r="K111" s="261">
        <f t="shared" si="21"/>
        <v>6303009.9853515625</v>
      </c>
      <c r="P111" s="2"/>
    </row>
    <row r="112" spans="7:16" ht="16">
      <c r="G112" s="238">
        <v>24</v>
      </c>
      <c r="H112" s="239">
        <f>'CPU (Workload)'!F40</f>
        <v>13245.666666666666</v>
      </c>
      <c r="I112" s="239">
        <f t="shared" si="19"/>
        <v>20.696354166666666</v>
      </c>
      <c r="J112" s="261">
        <f t="shared" si="20"/>
        <v>223520.625</v>
      </c>
      <c r="K112" s="261">
        <f t="shared" si="21"/>
        <v>6798752.34375</v>
      </c>
      <c r="P112" s="2"/>
    </row>
    <row r="113" spans="1:28" ht="16">
      <c r="G113" s="238">
        <v>25</v>
      </c>
      <c r="H113" s="239">
        <f>'CPU (Workload)'!F41</f>
        <v>13982.002777777778</v>
      </c>
      <c r="I113" s="239">
        <f t="shared" si="19"/>
        <v>21.846879340277781</v>
      </c>
      <c r="J113" s="261">
        <f t="shared" si="20"/>
        <v>235946.29687500006</v>
      </c>
      <c r="K113" s="261">
        <f t="shared" si="21"/>
        <v>7176699.8632812509</v>
      </c>
      <c r="P113" s="2"/>
    </row>
    <row r="114" spans="1:28" ht="16">
      <c r="G114" s="238">
        <v>26</v>
      </c>
      <c r="H114" s="239">
        <f>'CPU (Workload)'!F42</f>
        <v>14718.338888888889</v>
      </c>
      <c r="I114" s="239">
        <f t="shared" si="19"/>
        <v>22.997404513888892</v>
      </c>
      <c r="J114" s="261">
        <f t="shared" si="20"/>
        <v>248371.96875000006</v>
      </c>
      <c r="K114" s="261">
        <f t="shared" si="21"/>
        <v>7554647.3828125009</v>
      </c>
      <c r="P114" s="2"/>
    </row>
    <row r="115" spans="1:28" ht="16">
      <c r="G115" s="238">
        <v>27</v>
      </c>
      <c r="H115" s="239">
        <f>'CPU (Workload)'!F43</f>
        <v>15454.674999999999</v>
      </c>
      <c r="I115" s="239">
        <f t="shared" si="19"/>
        <v>24.1479296875</v>
      </c>
      <c r="J115" s="261">
        <f t="shared" si="20"/>
        <v>260797.640625</v>
      </c>
      <c r="K115" s="261">
        <f t="shared" si="21"/>
        <v>7932594.90234375</v>
      </c>
      <c r="P115" s="2"/>
    </row>
    <row r="116" spans="1:28" ht="16">
      <c r="G116" s="238">
        <v>28</v>
      </c>
      <c r="H116" s="239">
        <f>'CPU (Workload)'!F44</f>
        <v>16191.011111111111</v>
      </c>
      <c r="I116" s="239">
        <f t="shared" si="19"/>
        <v>25.298454861111111</v>
      </c>
      <c r="J116" s="261">
        <f t="shared" si="20"/>
        <v>273223.3125</v>
      </c>
      <c r="K116" s="261">
        <f t="shared" si="21"/>
        <v>8310542.421875</v>
      </c>
      <c r="P116" s="2"/>
    </row>
    <row r="117" spans="1:28" ht="16">
      <c r="G117" s="238">
        <v>29</v>
      </c>
      <c r="H117" s="239">
        <f>'CPU (Workload)'!F45</f>
        <v>16927.347222222223</v>
      </c>
      <c r="I117" s="239">
        <f t="shared" si="19"/>
        <v>26.448980034722226</v>
      </c>
      <c r="J117" s="261">
        <f t="shared" si="20"/>
        <v>285648.98437500006</v>
      </c>
      <c r="K117" s="261">
        <f t="shared" si="21"/>
        <v>8688489.9414062519</v>
      </c>
      <c r="P117" s="2"/>
    </row>
    <row r="118" spans="1:28" ht="16">
      <c r="G118" s="238">
        <v>30</v>
      </c>
      <c r="H118" s="239">
        <f>'CPU (Workload)'!F46</f>
        <v>17663.683333333334</v>
      </c>
      <c r="I118" s="239">
        <f t="shared" si="19"/>
        <v>27.599505208333337</v>
      </c>
      <c r="J118" s="261">
        <f t="shared" si="20"/>
        <v>298074.65625000006</v>
      </c>
      <c r="K118" s="261">
        <f t="shared" si="21"/>
        <v>9066437.4609375019</v>
      </c>
      <c r="P118" s="2"/>
    </row>
    <row r="119" spans="1:28" ht="16">
      <c r="G119" s="238">
        <v>31</v>
      </c>
      <c r="H119" s="239">
        <f>'CPU (Workload)'!F47</f>
        <v>18644.533333333333</v>
      </c>
      <c r="I119" s="239">
        <f t="shared" si="19"/>
        <v>29.132083333333334</v>
      </c>
      <c r="J119" s="261">
        <f t="shared" si="20"/>
        <v>314626.5</v>
      </c>
      <c r="K119" s="261">
        <f t="shared" si="21"/>
        <v>9569889.375</v>
      </c>
      <c r="P119" s="2"/>
    </row>
    <row r="120" spans="1:28" ht="16">
      <c r="G120" s="238">
        <v>32</v>
      </c>
      <c r="H120" s="239">
        <f>'CPU (Workload)'!F48</f>
        <v>19625.383333333335</v>
      </c>
      <c r="I120" s="239">
        <f t="shared" si="19"/>
        <v>30.664661458333338</v>
      </c>
      <c r="J120" s="261">
        <f t="shared" si="20"/>
        <v>331178.34375000006</v>
      </c>
      <c r="K120" s="261">
        <f t="shared" si="21"/>
        <v>10073341.289062502</v>
      </c>
      <c r="P120" s="2"/>
    </row>
    <row r="121" spans="1:28" ht="16">
      <c r="G121" s="238">
        <v>33</v>
      </c>
      <c r="H121" s="239">
        <f>'CPU (Workload)'!F49</f>
        <v>20606.233333333334</v>
      </c>
      <c r="I121" s="239">
        <f t="shared" si="19"/>
        <v>32.197239583333335</v>
      </c>
      <c r="J121" s="261">
        <f t="shared" si="20"/>
        <v>347730.1875</v>
      </c>
      <c r="K121" s="261">
        <f t="shared" si="21"/>
        <v>10576793.203125</v>
      </c>
      <c r="P121" s="2"/>
    </row>
    <row r="122" spans="1:28" ht="16">
      <c r="G122" s="238">
        <v>34</v>
      </c>
      <c r="H122" s="239">
        <f>'CPU (Workload)'!F50</f>
        <v>21587.083333333332</v>
      </c>
      <c r="I122" s="239">
        <f t="shared" si="19"/>
        <v>33.729817708333336</v>
      </c>
      <c r="J122" s="261">
        <f t="shared" si="20"/>
        <v>364282.03125000006</v>
      </c>
      <c r="K122" s="261">
        <f t="shared" si="21"/>
        <v>11080245.117187502</v>
      </c>
      <c r="P122" s="2"/>
    </row>
    <row r="123" spans="1:28" ht="16">
      <c r="G123" s="238">
        <v>35</v>
      </c>
      <c r="H123" s="239">
        <f>'CPU (Workload)'!F51</f>
        <v>22567.933333333334</v>
      </c>
      <c r="I123" s="239">
        <f t="shared" si="19"/>
        <v>35.262395833333336</v>
      </c>
      <c r="J123" s="261">
        <f t="shared" si="20"/>
        <v>380833.87500000006</v>
      </c>
      <c r="K123" s="261">
        <f t="shared" si="21"/>
        <v>11583697.031250002</v>
      </c>
      <c r="P123" s="2"/>
    </row>
    <row r="124" spans="1:28" ht="17" thickBot="1">
      <c r="G124" s="247">
        <v>36</v>
      </c>
      <c r="H124" s="248">
        <f>'CPU (Workload)'!F52</f>
        <v>23548.783333333333</v>
      </c>
      <c r="I124" s="248">
        <f t="shared" si="19"/>
        <v>36.794973958333337</v>
      </c>
      <c r="J124" s="262">
        <f t="shared" si="20"/>
        <v>397385.71875</v>
      </c>
      <c r="K124" s="262">
        <f t="shared" si="21"/>
        <v>12087148.9453125</v>
      </c>
      <c r="P124" s="2"/>
    </row>
    <row r="125" spans="1:28" ht="16">
      <c r="P125" s="2"/>
    </row>
    <row r="126" spans="1:28" ht="17" thickBot="1">
      <c r="P126" s="2"/>
    </row>
    <row r="127" spans="1:28" ht="18" customHeight="1" thickBot="1">
      <c r="A127" s="9" t="s">
        <v>124</v>
      </c>
      <c r="G127" s="256" t="s">
        <v>246</v>
      </c>
      <c r="H127" s="263" t="s">
        <v>119</v>
      </c>
      <c r="I127" s="257" t="s">
        <v>308</v>
      </c>
      <c r="J127" s="257" t="s">
        <v>306</v>
      </c>
      <c r="K127" s="257" t="s">
        <v>307</v>
      </c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</row>
    <row r="128" spans="1:28" ht="18" customHeight="1">
      <c r="G128" s="229">
        <v>0</v>
      </c>
      <c r="H128" s="230">
        <f>SUM(H5,H48,H88)</f>
        <v>5763.541666666667</v>
      </c>
      <c r="I128" s="230">
        <f>SUM(O5,I48,I88)</f>
        <v>139.58577473958334</v>
      </c>
      <c r="J128" s="260">
        <f>I128*3600*24/8</f>
        <v>1507526.3671875002</v>
      </c>
      <c r="K128" s="311">
        <f>J128*365/12</f>
        <v>45853927.001953132</v>
      </c>
      <c r="L128" s="298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</row>
    <row r="129" spans="7:28" ht="18" customHeight="1">
      <c r="G129" s="238">
        <v>1</v>
      </c>
      <c r="H129" s="239">
        <f t="shared" ref="H129:H164" si="22">SUM(H6,H49,H89)</f>
        <v>6084.3788194444442</v>
      </c>
      <c r="I129" s="239">
        <f t="shared" ref="I129:I164" si="23">SUM(O6,I49,I89)</f>
        <v>147.35604953342013</v>
      </c>
      <c r="J129" s="261">
        <f t="shared" ref="J129:J164" si="24">I129*3600*24/8</f>
        <v>1591445.3349609375</v>
      </c>
      <c r="K129" s="261">
        <f t="shared" ref="K129:K164" si="25">J129*365/12</f>
        <v>48406462.271728516</v>
      </c>
      <c r="L129" s="298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</row>
    <row r="130" spans="7:28" ht="18" customHeight="1">
      <c r="G130" s="238">
        <v>2</v>
      </c>
      <c r="H130" s="239">
        <f t="shared" si="22"/>
        <v>6405.2159722222223</v>
      </c>
      <c r="I130" s="239">
        <f t="shared" si="23"/>
        <v>155.12632432725695</v>
      </c>
      <c r="J130" s="261">
        <f t="shared" si="24"/>
        <v>1675364.302734375</v>
      </c>
      <c r="K130" s="261">
        <f t="shared" si="25"/>
        <v>50958997.541503906</v>
      </c>
      <c r="L130" s="298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</row>
    <row r="131" spans="7:28" ht="18" customHeight="1">
      <c r="G131" s="238">
        <v>3</v>
      </c>
      <c r="H131" s="239">
        <f t="shared" si="22"/>
        <v>6726.0531250000004</v>
      </c>
      <c r="I131" s="239">
        <f t="shared" si="23"/>
        <v>162.89659912109374</v>
      </c>
      <c r="J131" s="261">
        <f t="shared" si="24"/>
        <v>1759283.2705078125</v>
      </c>
      <c r="K131" s="261">
        <f t="shared" si="25"/>
        <v>53511532.811279297</v>
      </c>
      <c r="L131" s="298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</row>
    <row r="132" spans="7:28" ht="18" customHeight="1">
      <c r="G132" s="238">
        <v>4</v>
      </c>
      <c r="H132" s="239">
        <f t="shared" si="22"/>
        <v>7046.8902777777776</v>
      </c>
      <c r="I132" s="239">
        <f t="shared" si="23"/>
        <v>170.66687391493056</v>
      </c>
      <c r="J132" s="261">
        <f t="shared" si="24"/>
        <v>1843202.23828125</v>
      </c>
      <c r="K132" s="261">
        <f t="shared" si="25"/>
        <v>56064068.081054688</v>
      </c>
      <c r="L132" s="298"/>
    </row>
    <row r="133" spans="7:28" ht="18" customHeight="1">
      <c r="G133" s="238">
        <v>5</v>
      </c>
      <c r="H133" s="239">
        <f t="shared" si="22"/>
        <v>7367.7274305555547</v>
      </c>
      <c r="I133" s="239">
        <f t="shared" si="23"/>
        <v>178.43714870876735</v>
      </c>
      <c r="J133" s="261">
        <f t="shared" si="24"/>
        <v>1927121.2060546875</v>
      </c>
      <c r="K133" s="261">
        <f t="shared" si="25"/>
        <v>58616603.350830078</v>
      </c>
      <c r="L133" s="298"/>
    </row>
    <row r="134" spans="7:28" ht="18" customHeight="1">
      <c r="G134" s="238">
        <v>6</v>
      </c>
      <c r="H134" s="239">
        <f t="shared" si="22"/>
        <v>7688.5645833333328</v>
      </c>
      <c r="I134" s="239">
        <f t="shared" si="23"/>
        <v>186.20742350260414</v>
      </c>
      <c r="J134" s="261">
        <f t="shared" si="24"/>
        <v>2011040.1738281245</v>
      </c>
      <c r="K134" s="261">
        <f t="shared" si="25"/>
        <v>61169138.620605461</v>
      </c>
      <c r="L134" s="298"/>
    </row>
    <row r="135" spans="7:28" ht="18" customHeight="1">
      <c r="G135" s="238">
        <v>7</v>
      </c>
      <c r="H135" s="239">
        <f t="shared" si="22"/>
        <v>8969.0314236111099</v>
      </c>
      <c r="I135" s="239">
        <f t="shared" si="23"/>
        <v>217.21872979058156</v>
      </c>
      <c r="J135" s="261">
        <f t="shared" si="24"/>
        <v>2345962.2817382808</v>
      </c>
      <c r="K135" s="261">
        <f t="shared" si="25"/>
        <v>71356352.73620604</v>
      </c>
      <c r="L135" s="298"/>
    </row>
    <row r="136" spans="7:28" ht="18" customHeight="1">
      <c r="G136" s="238">
        <v>8</v>
      </c>
      <c r="H136" s="239">
        <f t="shared" si="22"/>
        <v>10249.498263888889</v>
      </c>
      <c r="I136" s="239">
        <f t="shared" si="23"/>
        <v>248.23003607855901</v>
      </c>
      <c r="J136" s="261">
        <f t="shared" si="24"/>
        <v>2680884.389648437</v>
      </c>
      <c r="K136" s="261">
        <f t="shared" si="25"/>
        <v>81543566.851806626</v>
      </c>
      <c r="L136" s="298"/>
    </row>
    <row r="137" spans="7:28" ht="18" customHeight="1">
      <c r="G137" s="238">
        <v>9</v>
      </c>
      <c r="H137" s="239">
        <f t="shared" si="22"/>
        <v>11529.965104166666</v>
      </c>
      <c r="I137" s="239">
        <f t="shared" si="23"/>
        <v>279.24134236653646</v>
      </c>
      <c r="J137" s="261">
        <f t="shared" si="24"/>
        <v>3015806.4975585938</v>
      </c>
      <c r="K137" s="261">
        <f t="shared" si="25"/>
        <v>91730780.967407227</v>
      </c>
      <c r="L137" s="298"/>
    </row>
    <row r="138" spans="7:28" ht="18" customHeight="1">
      <c r="G138" s="238">
        <v>10</v>
      </c>
      <c r="H138" s="239">
        <f t="shared" si="22"/>
        <v>12810.431944444445</v>
      </c>
      <c r="I138" s="239">
        <f t="shared" si="23"/>
        <v>310.25264865451391</v>
      </c>
      <c r="J138" s="261">
        <f t="shared" si="24"/>
        <v>3350728.60546875</v>
      </c>
      <c r="K138" s="261">
        <f t="shared" si="25"/>
        <v>101917995.08300781</v>
      </c>
      <c r="L138" s="298"/>
    </row>
    <row r="139" spans="7:28" ht="18" customHeight="1">
      <c r="G139" s="238">
        <v>11</v>
      </c>
      <c r="H139" s="239">
        <f t="shared" si="22"/>
        <v>14090.898784722223</v>
      </c>
      <c r="I139" s="239">
        <f t="shared" si="23"/>
        <v>341.2639549424913</v>
      </c>
      <c r="J139" s="261">
        <f t="shared" si="24"/>
        <v>3685650.7133789062</v>
      </c>
      <c r="K139" s="261">
        <f t="shared" si="25"/>
        <v>112105209.1986084</v>
      </c>
      <c r="L139" s="298"/>
    </row>
    <row r="140" spans="7:28" ht="18" customHeight="1">
      <c r="G140" s="238">
        <v>12</v>
      </c>
      <c r="H140" s="239">
        <f t="shared" si="22"/>
        <v>15371.365624999999</v>
      </c>
      <c r="I140" s="239">
        <f t="shared" si="23"/>
        <v>372.27526123046869</v>
      </c>
      <c r="J140" s="261">
        <f t="shared" si="24"/>
        <v>4020572.8212890616</v>
      </c>
      <c r="K140" s="261">
        <f t="shared" si="25"/>
        <v>122292423.31420897</v>
      </c>
      <c r="L140" s="298"/>
    </row>
    <row r="141" spans="7:28" ht="18" customHeight="1">
      <c r="G141" s="238">
        <v>13</v>
      </c>
      <c r="H141" s="239">
        <f t="shared" si="22"/>
        <v>16224.369791666664</v>
      </c>
      <c r="I141" s="239">
        <f t="shared" si="23"/>
        <v>392.93395589192704</v>
      </c>
      <c r="J141" s="261">
        <f t="shared" si="24"/>
        <v>4243686.7236328116</v>
      </c>
      <c r="K141" s="261">
        <f t="shared" si="25"/>
        <v>129078804.51049803</v>
      </c>
      <c r="L141" s="298"/>
    </row>
    <row r="142" spans="7:28" ht="18" customHeight="1">
      <c r="G142" s="238">
        <v>14</v>
      </c>
      <c r="H142" s="239">
        <f t="shared" si="22"/>
        <v>17077.37395833333</v>
      </c>
      <c r="I142" s="239">
        <f t="shared" si="23"/>
        <v>413.59265055338528</v>
      </c>
      <c r="J142" s="261">
        <f t="shared" si="24"/>
        <v>4466800.6259765606</v>
      </c>
      <c r="K142" s="261">
        <f t="shared" si="25"/>
        <v>135865185.70678705</v>
      </c>
      <c r="L142" s="298"/>
    </row>
    <row r="143" spans="7:28" ht="18" customHeight="1">
      <c r="G143" s="238">
        <v>15</v>
      </c>
      <c r="H143" s="239">
        <f t="shared" si="22"/>
        <v>17930.378124999999</v>
      </c>
      <c r="I143" s="239">
        <f t="shared" si="23"/>
        <v>434.2513452148437</v>
      </c>
      <c r="J143" s="261">
        <f t="shared" si="24"/>
        <v>4689914.5283203116</v>
      </c>
      <c r="K143" s="261">
        <f t="shared" si="25"/>
        <v>142651566.90307614</v>
      </c>
      <c r="L143" s="298"/>
    </row>
    <row r="144" spans="7:28" ht="18" customHeight="1">
      <c r="G144" s="238">
        <v>16</v>
      </c>
      <c r="H144" s="239">
        <f t="shared" si="22"/>
        <v>18783.382291666665</v>
      </c>
      <c r="I144" s="239">
        <f t="shared" si="23"/>
        <v>454.91003987630199</v>
      </c>
      <c r="J144" s="261">
        <f t="shared" si="24"/>
        <v>4913028.4306640616</v>
      </c>
      <c r="K144" s="261">
        <f t="shared" si="25"/>
        <v>149437948.0993652</v>
      </c>
      <c r="L144" s="298"/>
    </row>
    <row r="145" spans="7:12" ht="18" customHeight="1">
      <c r="G145" s="238">
        <v>17</v>
      </c>
      <c r="H145" s="239">
        <f t="shared" si="22"/>
        <v>19636.386458333331</v>
      </c>
      <c r="I145" s="239">
        <f t="shared" si="23"/>
        <v>475.56873453776041</v>
      </c>
      <c r="J145" s="261">
        <f t="shared" si="24"/>
        <v>5136142.3330078125</v>
      </c>
      <c r="K145" s="261">
        <f t="shared" si="25"/>
        <v>156224329.2956543</v>
      </c>
      <c r="L145" s="298"/>
    </row>
    <row r="146" spans="7:12" ht="18" customHeight="1">
      <c r="G146" s="238">
        <v>18</v>
      </c>
      <c r="H146" s="239">
        <f t="shared" si="22"/>
        <v>20489.390625</v>
      </c>
      <c r="I146" s="239">
        <f t="shared" si="23"/>
        <v>496.2274291992187</v>
      </c>
      <c r="J146" s="261">
        <f t="shared" si="24"/>
        <v>5359256.2353515616</v>
      </c>
      <c r="K146" s="261">
        <f t="shared" si="25"/>
        <v>163010710.49194333</v>
      </c>
      <c r="L146" s="298"/>
    </row>
    <row r="147" spans="7:12" ht="18" customHeight="1">
      <c r="G147" s="238">
        <v>19</v>
      </c>
      <c r="H147" s="239">
        <f t="shared" si="22"/>
        <v>23145.422743055555</v>
      </c>
      <c r="I147" s="239">
        <f t="shared" si="23"/>
        <v>560.55320705837676</v>
      </c>
      <c r="J147" s="261">
        <f t="shared" si="24"/>
        <v>6053974.6362304688</v>
      </c>
      <c r="K147" s="261">
        <f t="shared" si="25"/>
        <v>184141728.51867676</v>
      </c>
      <c r="L147" s="298"/>
    </row>
    <row r="148" spans="7:12" ht="18" customHeight="1">
      <c r="G148" s="238">
        <v>20</v>
      </c>
      <c r="H148" s="239">
        <f t="shared" si="22"/>
        <v>25801.454861111113</v>
      </c>
      <c r="I148" s="239">
        <f t="shared" si="23"/>
        <v>624.87898491753481</v>
      </c>
      <c r="J148" s="261">
        <f t="shared" si="24"/>
        <v>6748693.0371093769</v>
      </c>
      <c r="K148" s="261">
        <f t="shared" si="25"/>
        <v>205272746.54541019</v>
      </c>
      <c r="L148" s="298"/>
    </row>
    <row r="149" spans="7:12" ht="18" customHeight="1">
      <c r="G149" s="238">
        <v>21</v>
      </c>
      <c r="H149" s="239">
        <f t="shared" si="22"/>
        <v>28457.486979166664</v>
      </c>
      <c r="I149" s="239">
        <f t="shared" si="23"/>
        <v>689.20476277669275</v>
      </c>
      <c r="J149" s="261">
        <f t="shared" si="24"/>
        <v>7443411.4379882812</v>
      </c>
      <c r="K149" s="261">
        <f t="shared" si="25"/>
        <v>226403764.57214355</v>
      </c>
      <c r="L149" s="298"/>
    </row>
    <row r="150" spans="7:12" ht="18" customHeight="1">
      <c r="G150" s="238">
        <v>22</v>
      </c>
      <c r="H150" s="239">
        <f t="shared" si="22"/>
        <v>31113.519097222219</v>
      </c>
      <c r="I150" s="239">
        <f t="shared" si="23"/>
        <v>753.53054063585068</v>
      </c>
      <c r="J150" s="261">
        <f t="shared" si="24"/>
        <v>8138129.8388671875</v>
      </c>
      <c r="K150" s="261">
        <f t="shared" si="25"/>
        <v>247534782.59887695</v>
      </c>
      <c r="L150" s="298"/>
    </row>
    <row r="151" spans="7:12" ht="18" customHeight="1">
      <c r="G151" s="238">
        <v>23</v>
      </c>
      <c r="H151" s="239">
        <f t="shared" si="22"/>
        <v>33769.551215277774</v>
      </c>
      <c r="I151" s="239">
        <f t="shared" si="23"/>
        <v>817.85631849500862</v>
      </c>
      <c r="J151" s="261">
        <f t="shared" si="24"/>
        <v>8832848.2397460938</v>
      </c>
      <c r="K151" s="261">
        <f t="shared" si="25"/>
        <v>268665800.62561035</v>
      </c>
      <c r="L151" s="298"/>
    </row>
    <row r="152" spans="7:12" ht="18" customHeight="1">
      <c r="G152" s="238">
        <v>24</v>
      </c>
      <c r="H152" s="239">
        <f t="shared" si="22"/>
        <v>36425.583333333328</v>
      </c>
      <c r="I152" s="239">
        <f t="shared" si="23"/>
        <v>882.18209635416645</v>
      </c>
      <c r="J152" s="261">
        <f t="shared" si="24"/>
        <v>9527566.6406249963</v>
      </c>
      <c r="K152" s="261">
        <f t="shared" si="25"/>
        <v>289796818.65234363</v>
      </c>
      <c r="L152" s="298"/>
    </row>
    <row r="153" spans="7:12" ht="18" customHeight="1">
      <c r="G153" s="238">
        <v>25</v>
      </c>
      <c r="H153" s="239">
        <f t="shared" si="22"/>
        <v>38450.507638888885</v>
      </c>
      <c r="I153" s="239">
        <f t="shared" si="23"/>
        <v>931.22323187934035</v>
      </c>
      <c r="J153" s="261">
        <f t="shared" si="24"/>
        <v>10057210.904296877</v>
      </c>
      <c r="K153" s="261">
        <f t="shared" si="25"/>
        <v>305906831.67236334</v>
      </c>
      <c r="L153" s="298"/>
    </row>
    <row r="154" spans="7:12" ht="18" customHeight="1">
      <c r="G154" s="238">
        <v>26</v>
      </c>
      <c r="H154" s="239">
        <f t="shared" si="22"/>
        <v>40475.431944444441</v>
      </c>
      <c r="I154" s="239">
        <f t="shared" si="23"/>
        <v>980.26436740451379</v>
      </c>
      <c r="J154" s="261">
        <f t="shared" si="24"/>
        <v>10586855.167968748</v>
      </c>
      <c r="K154" s="261">
        <f t="shared" si="25"/>
        <v>322016844.69238275</v>
      </c>
      <c r="L154" s="298"/>
    </row>
    <row r="155" spans="7:12" ht="18" customHeight="1">
      <c r="G155" s="238">
        <v>27</v>
      </c>
      <c r="H155" s="239">
        <f t="shared" si="22"/>
        <v>42500.356249999997</v>
      </c>
      <c r="I155" s="239">
        <f t="shared" si="23"/>
        <v>1029.3055029296875</v>
      </c>
      <c r="J155" s="261">
        <f t="shared" si="24"/>
        <v>11116499.431640625</v>
      </c>
      <c r="K155" s="261">
        <f t="shared" si="25"/>
        <v>338126857.71240234</v>
      </c>
      <c r="L155" s="298"/>
    </row>
    <row r="156" spans="7:12" ht="18" customHeight="1">
      <c r="G156" s="238">
        <v>28</v>
      </c>
      <c r="H156" s="239">
        <f t="shared" si="22"/>
        <v>44525.280555555553</v>
      </c>
      <c r="I156" s="239">
        <f t="shared" si="23"/>
        <v>1078.346638454861</v>
      </c>
      <c r="J156" s="261">
        <f t="shared" si="24"/>
        <v>11646143.695312498</v>
      </c>
      <c r="K156" s="261">
        <f t="shared" si="25"/>
        <v>354236870.73242182</v>
      </c>
      <c r="L156" s="298"/>
    </row>
    <row r="157" spans="7:12" ht="18" customHeight="1">
      <c r="G157" s="238">
        <v>29</v>
      </c>
      <c r="H157" s="239">
        <f t="shared" si="22"/>
        <v>46550.204861111109</v>
      </c>
      <c r="I157" s="239">
        <f t="shared" si="23"/>
        <v>1127.3877739800346</v>
      </c>
      <c r="J157" s="261">
        <f t="shared" si="24"/>
        <v>12175787.958984373</v>
      </c>
      <c r="K157" s="261">
        <f t="shared" si="25"/>
        <v>370346883.75244135</v>
      </c>
      <c r="L157" s="298"/>
    </row>
    <row r="158" spans="7:12" ht="18" customHeight="1">
      <c r="G158" s="238">
        <v>30</v>
      </c>
      <c r="H158" s="239">
        <f t="shared" si="22"/>
        <v>48575.129166666666</v>
      </c>
      <c r="I158" s="239">
        <f t="shared" si="23"/>
        <v>1176.4289095052084</v>
      </c>
      <c r="J158" s="261">
        <f t="shared" si="24"/>
        <v>12705432.22265625</v>
      </c>
      <c r="K158" s="261">
        <f t="shared" si="25"/>
        <v>386456896.77246094</v>
      </c>
      <c r="L158" s="298"/>
    </row>
    <row r="159" spans="7:12" ht="18" customHeight="1">
      <c r="G159" s="238">
        <v>31</v>
      </c>
      <c r="H159" s="239">
        <f t="shared" si="22"/>
        <v>51272.466666666667</v>
      </c>
      <c r="I159" s="239">
        <f t="shared" si="23"/>
        <v>1241.7550520833333</v>
      </c>
      <c r="J159" s="261">
        <f t="shared" si="24"/>
        <v>13410954.5625</v>
      </c>
      <c r="K159" s="261">
        <f t="shared" si="25"/>
        <v>407916534.609375</v>
      </c>
      <c r="L159" s="298"/>
    </row>
    <row r="160" spans="7:12" ht="18" customHeight="1">
      <c r="G160" s="238">
        <v>32</v>
      </c>
      <c r="H160" s="239">
        <f t="shared" si="22"/>
        <v>53969.804166666669</v>
      </c>
      <c r="I160" s="239">
        <f t="shared" si="23"/>
        <v>1307.0811946614585</v>
      </c>
      <c r="J160" s="261">
        <f t="shared" si="24"/>
        <v>14116476.902343754</v>
      </c>
      <c r="K160" s="261">
        <f t="shared" si="25"/>
        <v>429376172.44628912</v>
      </c>
      <c r="L160" s="298"/>
    </row>
    <row r="161" spans="7:12" ht="18" customHeight="1">
      <c r="G161" s="238">
        <v>33</v>
      </c>
      <c r="H161" s="239">
        <f t="shared" si="22"/>
        <v>56667.141666666663</v>
      </c>
      <c r="I161" s="239">
        <f t="shared" si="23"/>
        <v>1372.4073372395833</v>
      </c>
      <c r="J161" s="261">
        <f t="shared" si="24"/>
        <v>14821999.2421875</v>
      </c>
      <c r="K161" s="261">
        <f t="shared" si="25"/>
        <v>450835810.28320312</v>
      </c>
      <c r="L161" s="298"/>
    </row>
    <row r="162" spans="7:12" ht="18" customHeight="1">
      <c r="G162" s="238">
        <v>34</v>
      </c>
      <c r="H162" s="239">
        <f t="shared" si="22"/>
        <v>59364.479166666657</v>
      </c>
      <c r="I162" s="239">
        <f t="shared" si="23"/>
        <v>1437.733479817708</v>
      </c>
      <c r="J162" s="261">
        <f t="shared" si="24"/>
        <v>15527521.582031246</v>
      </c>
      <c r="K162" s="261">
        <f t="shared" si="25"/>
        <v>472295448.12011713</v>
      </c>
      <c r="L162" s="298"/>
    </row>
    <row r="163" spans="7:12" ht="18" customHeight="1">
      <c r="G163" s="238">
        <v>35</v>
      </c>
      <c r="H163" s="239">
        <f t="shared" si="22"/>
        <v>62061.816666666666</v>
      </c>
      <c r="I163" s="239">
        <f t="shared" si="23"/>
        <v>1503.059622395833</v>
      </c>
      <c r="J163" s="261">
        <f t="shared" si="24"/>
        <v>16233043.921874996</v>
      </c>
      <c r="K163" s="261">
        <f t="shared" si="25"/>
        <v>493755085.95703119</v>
      </c>
      <c r="L163" s="298"/>
    </row>
    <row r="164" spans="7:12" ht="18" customHeight="1" thickBot="1">
      <c r="G164" s="247">
        <v>36</v>
      </c>
      <c r="H164" s="248">
        <f t="shared" si="22"/>
        <v>64759.15416666666</v>
      </c>
      <c r="I164" s="248">
        <f t="shared" si="23"/>
        <v>1568.385764973958</v>
      </c>
      <c r="J164" s="262">
        <f t="shared" si="24"/>
        <v>16938566.261718746</v>
      </c>
      <c r="K164" s="262">
        <f t="shared" si="25"/>
        <v>515214723.79394525</v>
      </c>
      <c r="L164" s="298"/>
    </row>
  </sheetData>
  <mergeCells count="6">
    <mergeCell ref="T3:W3"/>
    <mergeCell ref="G3:G4"/>
    <mergeCell ref="H3:H4"/>
    <mergeCell ref="L3:O3"/>
    <mergeCell ref="P3:S3"/>
    <mergeCell ref="I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4462-82A4-C747-88EA-AE2B6DDB8501}">
  <dimension ref="A1:X165"/>
  <sheetViews>
    <sheetView topLeftCell="A150" workbookViewId="0">
      <selection activeCell="E136" sqref="E136"/>
    </sheetView>
  </sheetViews>
  <sheetFormatPr baseColWidth="10" defaultColWidth="11" defaultRowHeight="16"/>
  <cols>
    <col min="1" max="1" width="18.5" bestFit="1" customWidth="1"/>
    <col min="3" max="3" width="10.6640625" customWidth="1"/>
    <col min="4" max="4" width="12.83203125" bestFit="1" customWidth="1"/>
    <col min="8" max="8" width="13" bestFit="1" customWidth="1"/>
    <col min="14" max="14" width="13" bestFit="1" customWidth="1"/>
  </cols>
  <sheetData>
    <row r="1" spans="1:24" ht="24">
      <c r="A1" s="32" t="s">
        <v>180</v>
      </c>
    </row>
    <row r="3" spans="1:24" ht="16" customHeight="1" thickBot="1">
      <c r="A3" s="9" t="s">
        <v>5</v>
      </c>
      <c r="B3" s="95" t="s">
        <v>181</v>
      </c>
    </row>
    <row r="4" spans="1:24" ht="16" customHeight="1">
      <c r="B4" t="s">
        <v>118</v>
      </c>
      <c r="G4" s="265"/>
      <c r="H4" s="365" t="s">
        <v>186</v>
      </c>
      <c r="I4" s="367"/>
      <c r="J4" s="367"/>
      <c r="K4" s="370"/>
      <c r="L4" s="365" t="s">
        <v>309</v>
      </c>
      <c r="M4" s="367"/>
      <c r="N4" s="367"/>
      <c r="O4" s="370"/>
    </row>
    <row r="5" spans="1:24" ht="52" thickBot="1">
      <c r="B5" t="s">
        <v>1</v>
      </c>
      <c r="D5" s="27">
        <f>stream_dur</f>
        <v>192</v>
      </c>
      <c r="G5" s="266" t="s">
        <v>246</v>
      </c>
      <c r="H5" s="267" t="s">
        <v>182</v>
      </c>
      <c r="I5" s="226" t="s">
        <v>184</v>
      </c>
      <c r="J5" s="226" t="s">
        <v>185</v>
      </c>
      <c r="K5" s="228" t="s">
        <v>183</v>
      </c>
      <c r="L5" s="225" t="s">
        <v>2</v>
      </c>
      <c r="M5" s="227" t="s">
        <v>11</v>
      </c>
      <c r="N5" s="227" t="s">
        <v>8</v>
      </c>
      <c r="O5" s="228" t="s">
        <v>310</v>
      </c>
      <c r="U5" s="92"/>
      <c r="V5" s="92"/>
      <c r="W5" s="92"/>
      <c r="X5" s="93"/>
    </row>
    <row r="6" spans="1:24" ht="16" customHeight="1">
      <c r="B6" t="s">
        <v>6</v>
      </c>
      <c r="C6" s="7" t="s">
        <v>3</v>
      </c>
      <c r="D6" s="7" t="s">
        <v>10</v>
      </c>
      <c r="E6" s="7" t="s">
        <v>4</v>
      </c>
      <c r="G6" s="229">
        <v>0</v>
      </c>
      <c r="H6" s="230">
        <f>'CPU (Workload)'!D16</f>
        <v>3143.75</v>
      </c>
      <c r="I6" s="268">
        <f t="shared" ref="I6:I42" si="0">$H6*$E$7</f>
        <v>628.75</v>
      </c>
      <c r="J6" s="268">
        <f t="shared" ref="J6:J42" si="1">$H6*$E$8</f>
        <v>1886.25</v>
      </c>
      <c r="K6" s="269">
        <f t="shared" ref="K6:K42" si="2">$H6*$E$9</f>
        <v>628.75</v>
      </c>
      <c r="L6" s="270">
        <f>I6*$D$7/2^20/8</f>
        <v>1.611785888671875</v>
      </c>
      <c r="M6" s="268">
        <f>J6*$D$8/2^20/8</f>
        <v>8.2891845703125</v>
      </c>
      <c r="N6" s="269">
        <f>K6*$D$9/2^20/8</f>
        <v>3.453826904296875</v>
      </c>
      <c r="O6" s="258">
        <f t="shared" ref="O6:O42" si="3">SUM(L6:N6)</f>
        <v>13.35479736328125</v>
      </c>
      <c r="U6" s="139"/>
      <c r="V6" s="2"/>
      <c r="W6" s="2"/>
      <c r="X6" s="2"/>
    </row>
    <row r="7" spans="1:24">
      <c r="B7" s="11" t="s">
        <v>7</v>
      </c>
      <c r="C7" s="27">
        <f>stream_lbr</f>
        <v>112</v>
      </c>
      <c r="D7" s="1">
        <f>$D$5*C7</f>
        <v>21504</v>
      </c>
      <c r="E7" s="30">
        <f>lbr_percent</f>
        <v>0.2</v>
      </c>
      <c r="G7" s="238">
        <v>1</v>
      </c>
      <c r="H7" s="239">
        <f>'CPU (Workload)'!D17</f>
        <v>3318.7520833333333</v>
      </c>
      <c r="I7" s="268">
        <f t="shared" si="0"/>
        <v>663.75041666666675</v>
      </c>
      <c r="J7" s="268">
        <f t="shared" si="1"/>
        <v>1991.2512499999998</v>
      </c>
      <c r="K7" s="269">
        <f t="shared" si="2"/>
        <v>663.75041666666675</v>
      </c>
      <c r="L7" s="270">
        <f t="shared" ref="L7:L42" si="4">I7*$D$7/2^20/8</f>
        <v>1.7015086364746095</v>
      </c>
      <c r="M7" s="268">
        <f t="shared" ref="M7:M42" si="5">J7*$D$8/2^20/8</f>
        <v>8.7506158447265623</v>
      </c>
      <c r="N7" s="269">
        <f t="shared" ref="N7:N42" si="6">K7*$D$9/2^20/8</f>
        <v>3.6460899353027347</v>
      </c>
      <c r="O7" s="258">
        <f t="shared" si="3"/>
        <v>14.098214416503906</v>
      </c>
      <c r="U7" s="139"/>
      <c r="V7" s="2"/>
      <c r="W7" s="2"/>
      <c r="X7" s="2"/>
    </row>
    <row r="8" spans="1:24">
      <c r="B8" s="11" t="s">
        <v>11</v>
      </c>
      <c r="C8" s="27">
        <f>stream_sbr</f>
        <v>192</v>
      </c>
      <c r="D8" s="1">
        <f>$D$5*C8</f>
        <v>36864</v>
      </c>
      <c r="E8" s="30">
        <f>sbr_percent</f>
        <v>0.6</v>
      </c>
      <c r="G8" s="238">
        <v>2</v>
      </c>
      <c r="H8" s="239">
        <f>'CPU (Workload)'!D18</f>
        <v>3493.7541666666666</v>
      </c>
      <c r="I8" s="268">
        <f t="shared" si="0"/>
        <v>698.75083333333339</v>
      </c>
      <c r="J8" s="268">
        <f t="shared" si="1"/>
        <v>2096.2525000000001</v>
      </c>
      <c r="K8" s="269">
        <f t="shared" si="2"/>
        <v>698.75083333333339</v>
      </c>
      <c r="L8" s="270">
        <f t="shared" si="4"/>
        <v>1.791231384277344</v>
      </c>
      <c r="M8" s="268">
        <f t="shared" si="5"/>
        <v>9.2120471191406246</v>
      </c>
      <c r="N8" s="269">
        <f t="shared" si="6"/>
        <v>3.838352966308594</v>
      </c>
      <c r="O8" s="258">
        <f t="shared" si="3"/>
        <v>14.841631469726563</v>
      </c>
      <c r="U8" s="139"/>
      <c r="V8" s="2"/>
      <c r="W8" s="2"/>
      <c r="X8" s="2"/>
    </row>
    <row r="9" spans="1:24">
      <c r="B9" s="11" t="s">
        <v>8</v>
      </c>
      <c r="C9" s="27">
        <f>stream_hbr</f>
        <v>240</v>
      </c>
      <c r="D9" s="1">
        <f>$D$5*C9</f>
        <v>46080</v>
      </c>
      <c r="E9" s="30">
        <f>hbr_percent</f>
        <v>0.2</v>
      </c>
      <c r="G9" s="238">
        <v>3</v>
      </c>
      <c r="H9" s="239">
        <f>'CPU (Workload)'!D19</f>
        <v>3668.7562499999999</v>
      </c>
      <c r="I9" s="268">
        <f t="shared" si="0"/>
        <v>733.75125000000003</v>
      </c>
      <c r="J9" s="268">
        <f t="shared" si="1"/>
        <v>2201.2537499999999</v>
      </c>
      <c r="K9" s="269">
        <f t="shared" si="2"/>
        <v>733.75125000000003</v>
      </c>
      <c r="L9" s="270">
        <f t="shared" si="4"/>
        <v>1.8809541320800782</v>
      </c>
      <c r="M9" s="268">
        <f t="shared" si="5"/>
        <v>9.6734783935546869</v>
      </c>
      <c r="N9" s="269">
        <f t="shared" si="6"/>
        <v>4.0306159973144533</v>
      </c>
      <c r="O9" s="258">
        <f t="shared" si="3"/>
        <v>15.585048522949219</v>
      </c>
    </row>
    <row r="10" spans="1:24">
      <c r="G10" s="238">
        <v>4</v>
      </c>
      <c r="H10" s="239">
        <f>'CPU (Workload)'!D20</f>
        <v>3843.7583333333332</v>
      </c>
      <c r="I10" s="268">
        <f t="shared" si="0"/>
        <v>768.75166666666667</v>
      </c>
      <c r="J10" s="268">
        <f t="shared" si="1"/>
        <v>2306.2549999999997</v>
      </c>
      <c r="K10" s="269">
        <f t="shared" si="2"/>
        <v>768.75166666666667</v>
      </c>
      <c r="L10" s="270">
        <f t="shared" si="4"/>
        <v>1.9706768798828125</v>
      </c>
      <c r="M10" s="268">
        <f t="shared" si="5"/>
        <v>10.134909667968749</v>
      </c>
      <c r="N10" s="269">
        <f t="shared" si="6"/>
        <v>4.2228790283203121</v>
      </c>
      <c r="O10" s="258">
        <f t="shared" si="3"/>
        <v>16.328465576171872</v>
      </c>
    </row>
    <row r="11" spans="1:24">
      <c r="G11" s="238">
        <v>5</v>
      </c>
      <c r="H11" s="239">
        <f>'CPU (Workload)'!D21</f>
        <v>4018.7604166666661</v>
      </c>
      <c r="I11" s="268">
        <f t="shared" si="0"/>
        <v>803.7520833333333</v>
      </c>
      <c r="J11" s="268">
        <f t="shared" si="1"/>
        <v>2411.2562499999995</v>
      </c>
      <c r="K11" s="269">
        <f t="shared" si="2"/>
        <v>803.7520833333333</v>
      </c>
      <c r="L11" s="270">
        <f t="shared" si="4"/>
        <v>2.060399627685547</v>
      </c>
      <c r="M11" s="268">
        <f t="shared" si="5"/>
        <v>10.59634094238281</v>
      </c>
      <c r="N11" s="269">
        <f t="shared" si="6"/>
        <v>4.4151420593261719</v>
      </c>
      <c r="O11" s="258">
        <f t="shared" si="3"/>
        <v>17.07188262939453</v>
      </c>
    </row>
    <row r="12" spans="1:24">
      <c r="G12" s="238">
        <v>6</v>
      </c>
      <c r="H12" s="239">
        <f>'CPU (Workload)'!D22</f>
        <v>4193.7624999999989</v>
      </c>
      <c r="I12" s="268">
        <f t="shared" si="0"/>
        <v>838.75249999999983</v>
      </c>
      <c r="J12" s="268">
        <f t="shared" si="1"/>
        <v>2516.2574999999993</v>
      </c>
      <c r="K12" s="269">
        <f t="shared" si="2"/>
        <v>838.75249999999983</v>
      </c>
      <c r="L12" s="270">
        <f t="shared" si="4"/>
        <v>2.150122375488281</v>
      </c>
      <c r="M12" s="268">
        <f t="shared" si="5"/>
        <v>11.057772216796872</v>
      </c>
      <c r="N12" s="269">
        <f t="shared" si="6"/>
        <v>4.6074050903320307</v>
      </c>
      <c r="O12" s="258">
        <f t="shared" si="3"/>
        <v>17.815299682617184</v>
      </c>
    </row>
    <row r="13" spans="1:24">
      <c r="G13" s="238">
        <v>7</v>
      </c>
      <c r="H13" s="239">
        <f>'CPU (Workload)'!D23</f>
        <v>4892.1989583333325</v>
      </c>
      <c r="I13" s="268">
        <f t="shared" si="0"/>
        <v>978.43979166666657</v>
      </c>
      <c r="J13" s="268">
        <f t="shared" si="1"/>
        <v>2935.3193749999996</v>
      </c>
      <c r="K13" s="269">
        <f t="shared" si="2"/>
        <v>978.43979166666657</v>
      </c>
      <c r="L13" s="270">
        <f t="shared" si="4"/>
        <v>2.5082074737548825</v>
      </c>
      <c r="M13" s="268">
        <f t="shared" si="5"/>
        <v>12.899352722167967</v>
      </c>
      <c r="N13" s="269">
        <f t="shared" si="6"/>
        <v>5.3747303009033196</v>
      </c>
      <c r="O13" s="258">
        <f t="shared" si="3"/>
        <v>20.782290496826171</v>
      </c>
    </row>
    <row r="14" spans="1:24">
      <c r="G14" s="238">
        <v>8</v>
      </c>
      <c r="H14" s="239">
        <f>'CPU (Workload)'!D24</f>
        <v>5590.6354166666661</v>
      </c>
      <c r="I14" s="268">
        <f t="shared" si="0"/>
        <v>1118.1270833333333</v>
      </c>
      <c r="J14" s="268">
        <f t="shared" si="1"/>
        <v>3354.3812499999995</v>
      </c>
      <c r="K14" s="269">
        <f t="shared" si="2"/>
        <v>1118.1270833333333</v>
      </c>
      <c r="L14" s="270">
        <f t="shared" si="4"/>
        <v>2.8662925720214845</v>
      </c>
      <c r="M14" s="268">
        <f t="shared" si="5"/>
        <v>14.74093322753906</v>
      </c>
      <c r="N14" s="269">
        <f t="shared" si="6"/>
        <v>6.1420555114746094</v>
      </c>
      <c r="O14" s="258">
        <f t="shared" si="3"/>
        <v>23.749281311035155</v>
      </c>
    </row>
    <row r="15" spans="1:24">
      <c r="G15" s="238">
        <v>9</v>
      </c>
      <c r="H15" s="239">
        <f>'CPU (Workload)'!D25</f>
        <v>6289.0718749999996</v>
      </c>
      <c r="I15" s="268">
        <f t="shared" si="0"/>
        <v>1257.8143749999999</v>
      </c>
      <c r="J15" s="268">
        <f t="shared" si="1"/>
        <v>3773.4431249999998</v>
      </c>
      <c r="K15" s="269">
        <f t="shared" si="2"/>
        <v>1257.8143749999999</v>
      </c>
      <c r="L15" s="270">
        <f t="shared" si="4"/>
        <v>3.224377670288086</v>
      </c>
      <c r="M15" s="268">
        <f t="shared" si="5"/>
        <v>16.582513732910154</v>
      </c>
      <c r="N15" s="269">
        <f t="shared" si="6"/>
        <v>6.9093807220458983</v>
      </c>
      <c r="O15" s="258">
        <f t="shared" si="3"/>
        <v>26.716272125244139</v>
      </c>
    </row>
    <row r="16" spans="1:24">
      <c r="G16" s="238">
        <v>10</v>
      </c>
      <c r="H16" s="239">
        <f>'CPU (Workload)'!D26</f>
        <v>6987.5083333333332</v>
      </c>
      <c r="I16" s="268">
        <f t="shared" si="0"/>
        <v>1397.5016666666668</v>
      </c>
      <c r="J16" s="268">
        <f t="shared" si="1"/>
        <v>4192.5050000000001</v>
      </c>
      <c r="K16" s="269">
        <f t="shared" si="2"/>
        <v>1397.5016666666668</v>
      </c>
      <c r="L16" s="270">
        <f t="shared" si="4"/>
        <v>3.5824627685546879</v>
      </c>
      <c r="M16" s="268">
        <f t="shared" si="5"/>
        <v>18.424094238281249</v>
      </c>
      <c r="N16" s="269">
        <f t="shared" si="6"/>
        <v>7.676705932617188</v>
      </c>
      <c r="O16" s="258">
        <f t="shared" si="3"/>
        <v>29.683262939453126</v>
      </c>
    </row>
    <row r="17" spans="7:15">
      <c r="G17" s="238">
        <v>11</v>
      </c>
      <c r="H17" s="239">
        <f>'CPU (Workload)'!D27</f>
        <v>7685.9447916666668</v>
      </c>
      <c r="I17" s="268">
        <f t="shared" si="0"/>
        <v>1537.1889583333334</v>
      </c>
      <c r="J17" s="268">
        <f t="shared" si="1"/>
        <v>4611.5668749999995</v>
      </c>
      <c r="K17" s="269">
        <f t="shared" si="2"/>
        <v>1537.1889583333334</v>
      </c>
      <c r="L17" s="270">
        <f t="shared" si="4"/>
        <v>3.9405478668212894</v>
      </c>
      <c r="M17" s="268">
        <f t="shared" si="5"/>
        <v>20.26567474365234</v>
      </c>
      <c r="N17" s="269">
        <f t="shared" si="6"/>
        <v>8.4440311431884769</v>
      </c>
      <c r="O17" s="258">
        <f t="shared" si="3"/>
        <v>32.650253753662106</v>
      </c>
    </row>
    <row r="18" spans="7:15">
      <c r="G18" s="238">
        <v>12</v>
      </c>
      <c r="H18" s="239">
        <f>'CPU (Workload)'!D28</f>
        <v>8384.3812499999985</v>
      </c>
      <c r="I18" s="268">
        <f t="shared" si="0"/>
        <v>1676.8762499999998</v>
      </c>
      <c r="J18" s="268">
        <f t="shared" si="1"/>
        <v>5030.6287499999989</v>
      </c>
      <c r="K18" s="269">
        <f t="shared" si="2"/>
        <v>1676.8762499999998</v>
      </c>
      <c r="L18" s="270">
        <f t="shared" si="4"/>
        <v>4.2986329650878901</v>
      </c>
      <c r="M18" s="268">
        <f t="shared" si="5"/>
        <v>22.107255249023432</v>
      </c>
      <c r="N18" s="269">
        <f t="shared" si="6"/>
        <v>9.2113563537597649</v>
      </c>
      <c r="O18" s="258">
        <f t="shared" si="3"/>
        <v>35.617244567871083</v>
      </c>
    </row>
    <row r="19" spans="7:15">
      <c r="G19" s="238">
        <v>13</v>
      </c>
      <c r="H19" s="239">
        <f>'CPU (Workload)'!D29</f>
        <v>8849.6562499999982</v>
      </c>
      <c r="I19" s="268">
        <f t="shared" si="0"/>
        <v>1769.9312499999996</v>
      </c>
      <c r="J19" s="268">
        <f t="shared" si="1"/>
        <v>5309.7937499999989</v>
      </c>
      <c r="K19" s="269">
        <f t="shared" si="2"/>
        <v>1769.9312499999996</v>
      </c>
      <c r="L19" s="270">
        <f t="shared" si="4"/>
        <v>4.5371772766113274</v>
      </c>
      <c r="M19" s="268">
        <f t="shared" si="5"/>
        <v>23.334054565429682</v>
      </c>
      <c r="N19" s="269">
        <f t="shared" si="6"/>
        <v>9.7225227355957013</v>
      </c>
      <c r="O19" s="258">
        <f t="shared" si="3"/>
        <v>37.593754577636709</v>
      </c>
    </row>
    <row r="20" spans="7:15">
      <c r="G20" s="238">
        <v>14</v>
      </c>
      <c r="H20" s="239">
        <f>'CPU (Workload)'!D30</f>
        <v>9314.9312499999978</v>
      </c>
      <c r="I20" s="268">
        <f t="shared" si="0"/>
        <v>1862.9862499999997</v>
      </c>
      <c r="J20" s="268">
        <f t="shared" si="1"/>
        <v>5588.9587499999989</v>
      </c>
      <c r="K20" s="269">
        <f t="shared" si="2"/>
        <v>1862.9862499999997</v>
      </c>
      <c r="L20" s="270">
        <f t="shared" si="4"/>
        <v>4.7757215881347648</v>
      </c>
      <c r="M20" s="268">
        <f t="shared" si="5"/>
        <v>24.560853881835932</v>
      </c>
      <c r="N20" s="269">
        <f t="shared" si="6"/>
        <v>10.23368911743164</v>
      </c>
      <c r="O20" s="258">
        <f t="shared" si="3"/>
        <v>39.570264587402335</v>
      </c>
    </row>
    <row r="21" spans="7:15">
      <c r="G21" s="238">
        <v>15</v>
      </c>
      <c r="H21" s="239">
        <f>'CPU (Workload)'!D31</f>
        <v>9780.2062499999993</v>
      </c>
      <c r="I21" s="268">
        <f t="shared" si="0"/>
        <v>1956.04125</v>
      </c>
      <c r="J21" s="268">
        <f t="shared" si="1"/>
        <v>5868.1237499999997</v>
      </c>
      <c r="K21" s="269">
        <f t="shared" si="2"/>
        <v>1956.04125</v>
      </c>
      <c r="L21" s="270">
        <f t="shared" si="4"/>
        <v>5.014265899658203</v>
      </c>
      <c r="M21" s="268">
        <f t="shared" si="5"/>
        <v>25.787653198242186</v>
      </c>
      <c r="N21" s="269">
        <f t="shared" si="6"/>
        <v>10.744855499267578</v>
      </c>
      <c r="O21" s="258">
        <f t="shared" si="3"/>
        <v>41.546774597167968</v>
      </c>
    </row>
    <row r="22" spans="7:15">
      <c r="G22" s="238">
        <v>16</v>
      </c>
      <c r="H22" s="239">
        <f>'CPU (Workload)'!D32</f>
        <v>10245.481249999999</v>
      </c>
      <c r="I22" s="268">
        <f t="shared" si="0"/>
        <v>2049.0962500000001</v>
      </c>
      <c r="J22" s="268">
        <f t="shared" si="1"/>
        <v>6147.2887499999988</v>
      </c>
      <c r="K22" s="269">
        <f t="shared" si="2"/>
        <v>2049.0962500000001</v>
      </c>
      <c r="L22" s="270">
        <f t="shared" si="4"/>
        <v>5.2528102111816404</v>
      </c>
      <c r="M22" s="268">
        <f t="shared" si="5"/>
        <v>27.014452514648433</v>
      </c>
      <c r="N22" s="269">
        <f t="shared" si="6"/>
        <v>11.256021881103516</v>
      </c>
      <c r="O22" s="258">
        <f t="shared" si="3"/>
        <v>43.523284606933586</v>
      </c>
    </row>
    <row r="23" spans="7:15">
      <c r="G23" s="238">
        <v>17</v>
      </c>
      <c r="H23" s="239">
        <f>'CPU (Workload)'!D33</f>
        <v>10710.756249999999</v>
      </c>
      <c r="I23" s="268">
        <f t="shared" si="0"/>
        <v>2142.1512499999999</v>
      </c>
      <c r="J23" s="268">
        <f t="shared" si="1"/>
        <v>6426.4537499999988</v>
      </c>
      <c r="K23" s="269">
        <f t="shared" si="2"/>
        <v>2142.1512499999999</v>
      </c>
      <c r="L23" s="270">
        <f t="shared" si="4"/>
        <v>5.4913545227050777</v>
      </c>
      <c r="M23" s="268">
        <f t="shared" si="5"/>
        <v>28.241251831054683</v>
      </c>
      <c r="N23" s="269">
        <f t="shared" si="6"/>
        <v>11.767188262939452</v>
      </c>
      <c r="O23" s="258">
        <f t="shared" si="3"/>
        <v>45.499794616699219</v>
      </c>
    </row>
    <row r="24" spans="7:15">
      <c r="G24" s="238">
        <v>18</v>
      </c>
      <c r="H24" s="239">
        <f>'CPU (Workload)'!D34</f>
        <v>11176.031249999998</v>
      </c>
      <c r="I24" s="268">
        <f t="shared" si="0"/>
        <v>2235.2062499999997</v>
      </c>
      <c r="J24" s="268">
        <f t="shared" si="1"/>
        <v>6705.6187499999987</v>
      </c>
      <c r="K24" s="269">
        <f t="shared" si="2"/>
        <v>2235.2062499999997</v>
      </c>
      <c r="L24" s="270">
        <f t="shared" si="4"/>
        <v>5.7298988342285151</v>
      </c>
      <c r="M24" s="268">
        <f t="shared" si="5"/>
        <v>29.468051147460933</v>
      </c>
      <c r="N24" s="269">
        <f t="shared" si="6"/>
        <v>12.278354644775389</v>
      </c>
      <c r="O24" s="258">
        <f t="shared" si="3"/>
        <v>47.476304626464838</v>
      </c>
    </row>
    <row r="25" spans="7:15">
      <c r="G25" s="238">
        <v>19</v>
      </c>
      <c r="H25" s="239">
        <f>'CPU (Workload)'!D35</f>
        <v>12624.776041666666</v>
      </c>
      <c r="I25" s="268">
        <f t="shared" si="0"/>
        <v>2524.9552083333333</v>
      </c>
      <c r="J25" s="268">
        <f t="shared" si="1"/>
        <v>7574.8656249999995</v>
      </c>
      <c r="K25" s="269">
        <f t="shared" si="2"/>
        <v>2524.9552083333333</v>
      </c>
      <c r="L25" s="270">
        <f t="shared" si="4"/>
        <v>6.4726634979248043</v>
      </c>
      <c r="M25" s="268">
        <f t="shared" si="5"/>
        <v>33.287983703613278</v>
      </c>
      <c r="N25" s="269">
        <f t="shared" si="6"/>
        <v>13.869993209838867</v>
      </c>
      <c r="O25" s="258">
        <f t="shared" si="3"/>
        <v>53.630640411376952</v>
      </c>
    </row>
    <row r="26" spans="7:15">
      <c r="G26" s="238">
        <v>20</v>
      </c>
      <c r="H26" s="239">
        <f>'CPU (Workload)'!D36</f>
        <v>14073.520833333334</v>
      </c>
      <c r="I26" s="268">
        <f t="shared" si="0"/>
        <v>2814.7041666666669</v>
      </c>
      <c r="J26" s="268">
        <f t="shared" si="1"/>
        <v>8444.1124999999993</v>
      </c>
      <c r="K26" s="269">
        <f t="shared" si="2"/>
        <v>2814.7041666666669</v>
      </c>
      <c r="L26" s="270">
        <f t="shared" si="4"/>
        <v>7.2154281616210945</v>
      </c>
      <c r="M26" s="268">
        <f t="shared" si="5"/>
        <v>37.107916259765624</v>
      </c>
      <c r="N26" s="269">
        <f t="shared" si="6"/>
        <v>15.461631774902346</v>
      </c>
      <c r="O26" s="258">
        <f t="shared" si="3"/>
        <v>59.784976196289065</v>
      </c>
    </row>
    <row r="27" spans="7:15">
      <c r="G27" s="238">
        <v>21</v>
      </c>
      <c r="H27" s="239">
        <f>'CPU (Workload)'!D37</f>
        <v>15522.265625</v>
      </c>
      <c r="I27" s="268">
        <f t="shared" si="0"/>
        <v>3104.453125</v>
      </c>
      <c r="J27" s="268">
        <f t="shared" si="1"/>
        <v>9313.359375</v>
      </c>
      <c r="K27" s="269">
        <f t="shared" si="2"/>
        <v>3104.453125</v>
      </c>
      <c r="L27" s="270">
        <f t="shared" si="4"/>
        <v>7.9581928253173828</v>
      </c>
      <c r="M27" s="268">
        <f t="shared" si="5"/>
        <v>40.927848815917969</v>
      </c>
      <c r="N27" s="269">
        <f t="shared" si="6"/>
        <v>17.05327033996582</v>
      </c>
      <c r="O27" s="258">
        <f t="shared" si="3"/>
        <v>65.939311981201172</v>
      </c>
    </row>
    <row r="28" spans="7:15">
      <c r="G28" s="238">
        <v>22</v>
      </c>
      <c r="H28" s="239">
        <f>'CPU (Workload)'!D38</f>
        <v>16971.010416666664</v>
      </c>
      <c r="I28" s="268">
        <f t="shared" si="0"/>
        <v>3394.2020833333331</v>
      </c>
      <c r="J28" s="268">
        <f t="shared" si="1"/>
        <v>10182.606249999999</v>
      </c>
      <c r="K28" s="269">
        <f t="shared" si="2"/>
        <v>3394.2020833333331</v>
      </c>
      <c r="L28" s="270">
        <f t="shared" si="4"/>
        <v>8.7009574890136712</v>
      </c>
      <c r="M28" s="268">
        <f t="shared" si="5"/>
        <v>44.747781372070307</v>
      </c>
      <c r="N28" s="269">
        <f t="shared" si="6"/>
        <v>18.644908905029297</v>
      </c>
      <c r="O28" s="258">
        <f t="shared" si="3"/>
        <v>72.093647766113278</v>
      </c>
    </row>
    <row r="29" spans="7:15">
      <c r="G29" s="238">
        <v>23</v>
      </c>
      <c r="H29" s="239">
        <f>'CPU (Workload)'!D39</f>
        <v>18419.755208333332</v>
      </c>
      <c r="I29" s="268">
        <f t="shared" si="0"/>
        <v>3683.9510416666667</v>
      </c>
      <c r="J29" s="268">
        <f t="shared" si="1"/>
        <v>11051.853125</v>
      </c>
      <c r="K29" s="269">
        <f t="shared" si="2"/>
        <v>3683.9510416666667</v>
      </c>
      <c r="L29" s="270">
        <f t="shared" si="4"/>
        <v>9.4437221527099613</v>
      </c>
      <c r="M29" s="268">
        <f t="shared" si="5"/>
        <v>48.567713928222652</v>
      </c>
      <c r="N29" s="269">
        <f t="shared" si="6"/>
        <v>20.236547470092773</v>
      </c>
      <c r="O29" s="258">
        <f t="shared" si="3"/>
        <v>78.247983551025385</v>
      </c>
    </row>
    <row r="30" spans="7:15">
      <c r="G30" s="238">
        <v>24</v>
      </c>
      <c r="H30" s="239">
        <f>'CPU (Workload)'!D40</f>
        <v>19868.499999999996</v>
      </c>
      <c r="I30" s="268">
        <f t="shared" si="0"/>
        <v>3973.6999999999994</v>
      </c>
      <c r="J30" s="268">
        <f t="shared" si="1"/>
        <v>11921.099999999997</v>
      </c>
      <c r="K30" s="269">
        <f t="shared" si="2"/>
        <v>3973.6999999999994</v>
      </c>
      <c r="L30" s="270">
        <f t="shared" si="4"/>
        <v>10.186486816406248</v>
      </c>
      <c r="M30" s="268">
        <f t="shared" si="5"/>
        <v>52.387646484374983</v>
      </c>
      <c r="N30" s="269">
        <f t="shared" si="6"/>
        <v>21.828186035156246</v>
      </c>
      <c r="O30" s="258">
        <f t="shared" si="3"/>
        <v>84.402319335937477</v>
      </c>
    </row>
    <row r="31" spans="7:15">
      <c r="G31" s="238">
        <v>25</v>
      </c>
      <c r="H31" s="239">
        <f>'CPU (Workload)'!D41</f>
        <v>20973.004166666666</v>
      </c>
      <c r="I31" s="268">
        <f t="shared" si="0"/>
        <v>4194.600833333333</v>
      </c>
      <c r="J31" s="268">
        <f t="shared" si="1"/>
        <v>12583.8025</v>
      </c>
      <c r="K31" s="269">
        <f t="shared" si="2"/>
        <v>4194.600833333333</v>
      </c>
      <c r="L31" s="270">
        <f t="shared" si="4"/>
        <v>10.752760925292968</v>
      </c>
      <c r="M31" s="268">
        <f t="shared" si="5"/>
        <v>55.299913330078127</v>
      </c>
      <c r="N31" s="269">
        <f t="shared" si="6"/>
        <v>23.041630554199216</v>
      </c>
      <c r="O31" s="258">
        <f t="shared" si="3"/>
        <v>89.094304809570318</v>
      </c>
    </row>
    <row r="32" spans="7:15">
      <c r="G32" s="238">
        <v>26</v>
      </c>
      <c r="H32" s="239">
        <f>'CPU (Workload)'!D42</f>
        <v>22077.508333333331</v>
      </c>
      <c r="I32" s="268">
        <f t="shared" si="0"/>
        <v>4415.5016666666661</v>
      </c>
      <c r="J32" s="268">
        <f t="shared" si="1"/>
        <v>13246.504999999999</v>
      </c>
      <c r="K32" s="269">
        <f t="shared" si="2"/>
        <v>4415.5016666666661</v>
      </c>
      <c r="L32" s="270">
        <f t="shared" si="4"/>
        <v>11.319035034179686</v>
      </c>
      <c r="M32" s="268">
        <f t="shared" si="5"/>
        <v>58.212180175781249</v>
      </c>
      <c r="N32" s="269">
        <f t="shared" si="6"/>
        <v>24.255075073242185</v>
      </c>
      <c r="O32" s="258">
        <f t="shared" si="3"/>
        <v>93.786290283203115</v>
      </c>
    </row>
    <row r="33" spans="1:15">
      <c r="G33" s="238">
        <v>27</v>
      </c>
      <c r="H33" s="239">
        <f>'CPU (Workload)'!D43</f>
        <v>23182.012499999997</v>
      </c>
      <c r="I33" s="268">
        <f t="shared" si="0"/>
        <v>4636.4024999999992</v>
      </c>
      <c r="J33" s="268">
        <f t="shared" si="1"/>
        <v>13909.207499999999</v>
      </c>
      <c r="K33" s="269">
        <f t="shared" si="2"/>
        <v>4636.4024999999992</v>
      </c>
      <c r="L33" s="270">
        <f t="shared" si="4"/>
        <v>11.885309143066404</v>
      </c>
      <c r="M33" s="268">
        <f t="shared" si="5"/>
        <v>61.124447021484372</v>
      </c>
      <c r="N33" s="269">
        <f t="shared" si="6"/>
        <v>25.468519592285151</v>
      </c>
      <c r="O33" s="258">
        <f t="shared" si="3"/>
        <v>98.478275756835927</v>
      </c>
    </row>
    <row r="34" spans="1:15">
      <c r="G34" s="238">
        <v>28</v>
      </c>
      <c r="H34" s="239">
        <f>'CPU (Workload)'!D44</f>
        <v>24286.516666666663</v>
      </c>
      <c r="I34" s="268">
        <f t="shared" si="0"/>
        <v>4857.3033333333324</v>
      </c>
      <c r="J34" s="268">
        <f t="shared" si="1"/>
        <v>14571.909999999998</v>
      </c>
      <c r="K34" s="269">
        <f t="shared" si="2"/>
        <v>4857.3033333333324</v>
      </c>
      <c r="L34" s="270">
        <f t="shared" si="4"/>
        <v>12.451583251953123</v>
      </c>
      <c r="M34" s="268">
        <f t="shared" si="5"/>
        <v>64.036713867187487</v>
      </c>
      <c r="N34" s="269">
        <f t="shared" si="6"/>
        <v>26.681964111328121</v>
      </c>
      <c r="O34" s="258">
        <f t="shared" si="3"/>
        <v>103.17026123046872</v>
      </c>
    </row>
    <row r="35" spans="1:15">
      <c r="G35" s="238">
        <v>29</v>
      </c>
      <c r="H35" s="239">
        <f>'CPU (Workload)'!D45</f>
        <v>25391.020833333332</v>
      </c>
      <c r="I35" s="268">
        <f t="shared" si="0"/>
        <v>5078.2041666666664</v>
      </c>
      <c r="J35" s="268">
        <f t="shared" si="1"/>
        <v>15234.612499999999</v>
      </c>
      <c r="K35" s="269">
        <f t="shared" si="2"/>
        <v>5078.2041666666664</v>
      </c>
      <c r="L35" s="270">
        <f t="shared" si="4"/>
        <v>13.017857360839843</v>
      </c>
      <c r="M35" s="268">
        <f t="shared" si="5"/>
        <v>66.948980712890616</v>
      </c>
      <c r="N35" s="269">
        <f t="shared" si="6"/>
        <v>27.895408630371094</v>
      </c>
      <c r="O35" s="258">
        <f t="shared" si="3"/>
        <v>107.86224670410155</v>
      </c>
    </row>
    <row r="36" spans="1:15">
      <c r="G36" s="238">
        <v>30</v>
      </c>
      <c r="H36" s="239">
        <f>'CPU (Workload)'!D46</f>
        <v>26495.525000000001</v>
      </c>
      <c r="I36" s="268">
        <f t="shared" si="0"/>
        <v>5299.1050000000005</v>
      </c>
      <c r="J36" s="268">
        <f t="shared" si="1"/>
        <v>15897.315000000001</v>
      </c>
      <c r="K36" s="269">
        <f t="shared" si="2"/>
        <v>5299.1050000000005</v>
      </c>
      <c r="L36" s="270">
        <f t="shared" si="4"/>
        <v>13.584131469726564</v>
      </c>
      <c r="M36" s="268">
        <f t="shared" si="5"/>
        <v>69.861247558593746</v>
      </c>
      <c r="N36" s="269">
        <f t="shared" si="6"/>
        <v>29.108853149414067</v>
      </c>
      <c r="O36" s="258">
        <f t="shared" si="3"/>
        <v>112.55423217773438</v>
      </c>
    </row>
    <row r="37" spans="1:15">
      <c r="G37" s="238">
        <v>31</v>
      </c>
      <c r="H37" s="239">
        <f>'CPU (Workload)'!D47</f>
        <v>27966.799999999999</v>
      </c>
      <c r="I37" s="268">
        <f t="shared" si="0"/>
        <v>5593.3600000000006</v>
      </c>
      <c r="J37" s="268">
        <f t="shared" si="1"/>
        <v>16780.079999999998</v>
      </c>
      <c r="K37" s="269">
        <f t="shared" si="2"/>
        <v>5593.3600000000006</v>
      </c>
      <c r="L37" s="270">
        <f t="shared" si="4"/>
        <v>14.338447265625001</v>
      </c>
      <c r="M37" s="268">
        <f t="shared" si="5"/>
        <v>73.740585937499986</v>
      </c>
      <c r="N37" s="269">
        <f t="shared" si="6"/>
        <v>30.725244140625001</v>
      </c>
      <c r="O37" s="258">
        <f t="shared" si="3"/>
        <v>118.80427734374999</v>
      </c>
    </row>
    <row r="38" spans="1:15">
      <c r="G38" s="238">
        <v>32</v>
      </c>
      <c r="H38" s="239">
        <f>'CPU (Workload)'!D48</f>
        <v>29438.075000000001</v>
      </c>
      <c r="I38" s="268">
        <f t="shared" si="0"/>
        <v>5887.6150000000007</v>
      </c>
      <c r="J38" s="268">
        <f t="shared" si="1"/>
        <v>17662.845000000001</v>
      </c>
      <c r="K38" s="269">
        <f t="shared" si="2"/>
        <v>5887.6150000000007</v>
      </c>
      <c r="L38" s="270">
        <f t="shared" si="4"/>
        <v>15.092763061523438</v>
      </c>
      <c r="M38" s="268">
        <f t="shared" si="5"/>
        <v>77.619924316406255</v>
      </c>
      <c r="N38" s="269">
        <f t="shared" si="6"/>
        <v>32.341635131835943</v>
      </c>
      <c r="O38" s="258">
        <f t="shared" si="3"/>
        <v>125.05432250976564</v>
      </c>
    </row>
    <row r="39" spans="1:15">
      <c r="G39" s="238">
        <v>33</v>
      </c>
      <c r="H39" s="239">
        <f>'CPU (Workload)'!D49</f>
        <v>30909.35</v>
      </c>
      <c r="I39" s="268">
        <f t="shared" si="0"/>
        <v>6181.87</v>
      </c>
      <c r="J39" s="268">
        <f t="shared" si="1"/>
        <v>18545.609999999997</v>
      </c>
      <c r="K39" s="269">
        <f t="shared" si="2"/>
        <v>6181.87</v>
      </c>
      <c r="L39" s="270">
        <f t="shared" si="4"/>
        <v>15.847078857421875</v>
      </c>
      <c r="M39" s="268">
        <f t="shared" si="5"/>
        <v>81.499262695312481</v>
      </c>
      <c r="N39" s="269">
        <f t="shared" si="6"/>
        <v>33.958026123046878</v>
      </c>
      <c r="O39" s="258">
        <f t="shared" si="3"/>
        <v>131.30436767578124</v>
      </c>
    </row>
    <row r="40" spans="1:15">
      <c r="G40" s="238">
        <v>34</v>
      </c>
      <c r="H40" s="239">
        <f>'CPU (Workload)'!D50</f>
        <v>32380.624999999993</v>
      </c>
      <c r="I40" s="268">
        <f t="shared" si="0"/>
        <v>6476.1249999999991</v>
      </c>
      <c r="J40" s="268">
        <f t="shared" si="1"/>
        <v>19428.374999999996</v>
      </c>
      <c r="K40" s="269">
        <f t="shared" si="2"/>
        <v>6476.1249999999991</v>
      </c>
      <c r="L40" s="270">
        <f t="shared" si="4"/>
        <v>16.601394653320309</v>
      </c>
      <c r="M40" s="268">
        <f t="shared" si="5"/>
        <v>85.378601074218736</v>
      </c>
      <c r="N40" s="269">
        <f t="shared" si="6"/>
        <v>35.574417114257805</v>
      </c>
      <c r="O40" s="258">
        <f t="shared" si="3"/>
        <v>137.55441284179685</v>
      </c>
    </row>
    <row r="41" spans="1:15">
      <c r="G41" s="238">
        <v>35</v>
      </c>
      <c r="H41" s="239">
        <f>'CPU (Workload)'!D51</f>
        <v>33851.899999999994</v>
      </c>
      <c r="I41" s="268">
        <f t="shared" si="0"/>
        <v>6770.3799999999992</v>
      </c>
      <c r="J41" s="268">
        <f t="shared" si="1"/>
        <v>20311.139999999996</v>
      </c>
      <c r="K41" s="269">
        <f t="shared" si="2"/>
        <v>6770.3799999999992</v>
      </c>
      <c r="L41" s="270">
        <f t="shared" si="4"/>
        <v>17.355710449218748</v>
      </c>
      <c r="M41" s="268">
        <f t="shared" si="5"/>
        <v>89.257939453124976</v>
      </c>
      <c r="N41" s="269">
        <f t="shared" si="6"/>
        <v>37.190808105468747</v>
      </c>
      <c r="O41" s="258">
        <f t="shared" si="3"/>
        <v>143.80445800781246</v>
      </c>
    </row>
    <row r="42" spans="1:15" ht="17" thickBot="1">
      <c r="G42" s="247">
        <v>36</v>
      </c>
      <c r="H42" s="248">
        <f>'CPU (Workload)'!D52</f>
        <v>35323.174999999996</v>
      </c>
      <c r="I42" s="271">
        <f t="shared" si="0"/>
        <v>7064.6349999999993</v>
      </c>
      <c r="J42" s="271">
        <f t="shared" si="1"/>
        <v>21193.904999999995</v>
      </c>
      <c r="K42" s="272">
        <f t="shared" si="2"/>
        <v>7064.6349999999993</v>
      </c>
      <c r="L42" s="273">
        <f t="shared" si="4"/>
        <v>18.110026245117187</v>
      </c>
      <c r="M42" s="271">
        <f t="shared" si="5"/>
        <v>93.137277832031231</v>
      </c>
      <c r="N42" s="272">
        <f t="shared" si="6"/>
        <v>38.807199096679682</v>
      </c>
      <c r="O42" s="274">
        <f t="shared" si="3"/>
        <v>150.0545031738281</v>
      </c>
    </row>
    <row r="45" spans="1:15" ht="17" thickBot="1">
      <c r="A45" s="9" t="s">
        <v>12</v>
      </c>
      <c r="B45" t="s">
        <v>121</v>
      </c>
      <c r="M45" s="216"/>
      <c r="N45" s="276"/>
      <c r="O45" s="276"/>
    </row>
    <row r="46" spans="1:15" ht="18" thickBot="1">
      <c r="B46" t="s">
        <v>304</v>
      </c>
      <c r="D46" s="62">
        <f>down_song</f>
        <v>7.0312500000000002E-3</v>
      </c>
      <c r="G46" s="169" t="s">
        <v>246</v>
      </c>
      <c r="H46" s="170" t="s">
        <v>119</v>
      </c>
      <c r="I46" s="170" t="s">
        <v>305</v>
      </c>
      <c r="M46" s="139"/>
      <c r="N46" s="259"/>
      <c r="O46" s="64"/>
    </row>
    <row r="47" spans="1:15">
      <c r="B47" t="s">
        <v>13</v>
      </c>
      <c r="D47" s="29">
        <f>down_req</f>
        <v>4</v>
      </c>
      <c r="G47" s="229">
        <v>0</v>
      </c>
      <c r="H47" s="230">
        <f>'CPU (Workload)'!E16</f>
        <v>523.95833333333337</v>
      </c>
      <c r="I47" s="278">
        <f>H47*$D$46</f>
        <v>3.6840820312500004</v>
      </c>
      <c r="M47" s="139"/>
      <c r="N47" s="259"/>
      <c r="O47" s="64"/>
    </row>
    <row r="48" spans="1:15">
      <c r="G48" s="238">
        <v>1</v>
      </c>
      <c r="H48" s="239">
        <f>'CPU (Workload)'!E17</f>
        <v>553.12534722222222</v>
      </c>
      <c r="I48" s="279">
        <f t="shared" ref="I48:I83" si="7">H48*$D$46</f>
        <v>3.8891625976562501</v>
      </c>
      <c r="M48" s="139"/>
      <c r="N48" s="259"/>
      <c r="O48" s="64"/>
    </row>
    <row r="49" spans="7:15">
      <c r="G49" s="238">
        <v>2</v>
      </c>
      <c r="H49" s="239">
        <f>'CPU (Workload)'!E18</f>
        <v>582.29236111111106</v>
      </c>
      <c r="I49" s="279">
        <f t="shared" si="7"/>
        <v>4.0942431640625001</v>
      </c>
      <c r="M49" s="72"/>
      <c r="N49" s="72"/>
      <c r="O49" s="72"/>
    </row>
    <row r="50" spans="7:15">
      <c r="G50" s="238">
        <v>3</v>
      </c>
      <c r="H50" s="239">
        <f>'CPU (Workload)'!E19</f>
        <v>611.45937500000002</v>
      </c>
      <c r="I50" s="279">
        <f t="shared" si="7"/>
        <v>4.2993237304687506</v>
      </c>
    </row>
    <row r="51" spans="7:15">
      <c r="G51" s="238">
        <v>4</v>
      </c>
      <c r="H51" s="239">
        <f>'CPU (Workload)'!E20</f>
        <v>640.62638888888887</v>
      </c>
      <c r="I51" s="279">
        <f t="shared" si="7"/>
        <v>4.5044042968750002</v>
      </c>
    </row>
    <row r="52" spans="7:15">
      <c r="G52" s="238">
        <v>5</v>
      </c>
      <c r="H52" s="239">
        <f>'CPU (Workload)'!E21</f>
        <v>669.79340277777783</v>
      </c>
      <c r="I52" s="279">
        <f t="shared" si="7"/>
        <v>4.7094848632812507</v>
      </c>
    </row>
    <row r="53" spans="7:15">
      <c r="G53" s="238">
        <v>6</v>
      </c>
      <c r="H53" s="239">
        <f>'CPU (Workload)'!E22</f>
        <v>698.96041666666667</v>
      </c>
      <c r="I53" s="279">
        <f t="shared" si="7"/>
        <v>4.9145654296875003</v>
      </c>
    </row>
    <row r="54" spans="7:15">
      <c r="G54" s="238">
        <v>7</v>
      </c>
      <c r="H54" s="239">
        <f>'CPU (Workload)'!E23</f>
        <v>815.36649305555557</v>
      </c>
      <c r="I54" s="279">
        <f t="shared" si="7"/>
        <v>5.7330456542968751</v>
      </c>
    </row>
    <row r="55" spans="7:15">
      <c r="G55" s="238">
        <v>8</v>
      </c>
      <c r="H55" s="239">
        <f>'CPU (Workload)'!E24</f>
        <v>931.77256944444446</v>
      </c>
      <c r="I55" s="279">
        <f t="shared" si="7"/>
        <v>6.5515258789062498</v>
      </c>
    </row>
    <row r="56" spans="7:15">
      <c r="G56" s="238">
        <v>9</v>
      </c>
      <c r="H56" s="239">
        <f>'CPU (Workload)'!E25</f>
        <v>1048.1786458333333</v>
      </c>
      <c r="I56" s="279">
        <f t="shared" si="7"/>
        <v>7.3700061035156255</v>
      </c>
    </row>
    <row r="57" spans="7:15">
      <c r="G57" s="238">
        <v>10</v>
      </c>
      <c r="H57" s="239">
        <f>'CPU (Workload)'!E26</f>
        <v>1164.5847222222221</v>
      </c>
      <c r="I57" s="279">
        <f t="shared" si="7"/>
        <v>8.1884863281250002</v>
      </c>
    </row>
    <row r="58" spans="7:15">
      <c r="G58" s="238">
        <v>11</v>
      </c>
      <c r="H58" s="239">
        <f>'CPU (Workload)'!E27</f>
        <v>1280.9907986111111</v>
      </c>
      <c r="I58" s="279">
        <f t="shared" si="7"/>
        <v>9.0069665527343759</v>
      </c>
    </row>
    <row r="59" spans="7:15">
      <c r="G59" s="238">
        <v>12</v>
      </c>
      <c r="H59" s="239">
        <f>'CPU (Workload)'!E28</f>
        <v>1397.3968749999999</v>
      </c>
      <c r="I59" s="279">
        <f t="shared" si="7"/>
        <v>9.8254467773437497</v>
      </c>
    </row>
    <row r="60" spans="7:15">
      <c r="G60" s="238">
        <v>13</v>
      </c>
      <c r="H60" s="239">
        <f>'CPU (Workload)'!E29</f>
        <v>1474.9427083333333</v>
      </c>
      <c r="I60" s="279">
        <f t="shared" si="7"/>
        <v>10.37069091796875</v>
      </c>
    </row>
    <row r="61" spans="7:15">
      <c r="G61" s="238">
        <v>14</v>
      </c>
      <c r="H61" s="239">
        <f>'CPU (Workload)'!E30</f>
        <v>1552.4885416666666</v>
      </c>
      <c r="I61" s="279">
        <f t="shared" si="7"/>
        <v>10.91593505859375</v>
      </c>
    </row>
    <row r="62" spans="7:15">
      <c r="G62" s="238">
        <v>15</v>
      </c>
      <c r="H62" s="239">
        <f>'CPU (Workload)'!E31</f>
        <v>1630.034375</v>
      </c>
      <c r="I62" s="279">
        <f t="shared" si="7"/>
        <v>11.46117919921875</v>
      </c>
    </row>
    <row r="63" spans="7:15">
      <c r="G63" s="238">
        <v>16</v>
      </c>
      <c r="H63" s="239">
        <f>'CPU (Workload)'!E32</f>
        <v>1707.5802083333333</v>
      </c>
      <c r="I63" s="279">
        <f t="shared" si="7"/>
        <v>12.006423339843749</v>
      </c>
    </row>
    <row r="64" spans="7:15">
      <c r="G64" s="238">
        <v>17</v>
      </c>
      <c r="H64" s="239">
        <f>'CPU (Workload)'!E33</f>
        <v>1785.1260416666667</v>
      </c>
      <c r="I64" s="279">
        <f t="shared" si="7"/>
        <v>12.551667480468749</v>
      </c>
    </row>
    <row r="65" spans="7:9">
      <c r="G65" s="238">
        <v>18</v>
      </c>
      <c r="H65" s="239">
        <f>'CPU (Workload)'!E34</f>
        <v>1862.671875</v>
      </c>
      <c r="I65" s="279">
        <f t="shared" si="7"/>
        <v>13.096911621093751</v>
      </c>
    </row>
    <row r="66" spans="7:9">
      <c r="G66" s="238">
        <v>19</v>
      </c>
      <c r="H66" s="239">
        <f>'CPU (Workload)'!E35</f>
        <v>2104.1293402777778</v>
      </c>
      <c r="I66" s="279">
        <f t="shared" si="7"/>
        <v>14.794659423828126</v>
      </c>
    </row>
    <row r="67" spans="7:9">
      <c r="G67" s="238">
        <v>20</v>
      </c>
      <c r="H67" s="239">
        <f>'CPU (Workload)'!E36</f>
        <v>2345.5868055555557</v>
      </c>
      <c r="I67" s="279">
        <f t="shared" si="7"/>
        <v>16.492407226562502</v>
      </c>
    </row>
    <row r="68" spans="7:9">
      <c r="G68" s="238">
        <v>21</v>
      </c>
      <c r="H68" s="239">
        <f>'CPU (Workload)'!E37</f>
        <v>2587.0442708333335</v>
      </c>
      <c r="I68" s="279">
        <f t="shared" si="7"/>
        <v>18.190155029296875</v>
      </c>
    </row>
    <row r="69" spans="7:9">
      <c r="G69" s="238">
        <v>22</v>
      </c>
      <c r="H69" s="239">
        <f>'CPU (Workload)'!E38</f>
        <v>2828.5017361111113</v>
      </c>
      <c r="I69" s="279">
        <f t="shared" si="7"/>
        <v>19.887902832031251</v>
      </c>
    </row>
    <row r="70" spans="7:9">
      <c r="G70" s="238">
        <v>23</v>
      </c>
      <c r="H70" s="239">
        <f>'CPU (Workload)'!E39</f>
        <v>3069.9592013888887</v>
      </c>
      <c r="I70" s="279">
        <f t="shared" si="7"/>
        <v>21.585650634765624</v>
      </c>
    </row>
    <row r="71" spans="7:9">
      <c r="G71" s="238">
        <v>24</v>
      </c>
      <c r="H71" s="239">
        <f>'CPU (Workload)'!E40</f>
        <v>3311.4166666666665</v>
      </c>
      <c r="I71" s="279">
        <f t="shared" si="7"/>
        <v>23.283398437500001</v>
      </c>
    </row>
    <row r="72" spans="7:9">
      <c r="G72" s="238">
        <v>25</v>
      </c>
      <c r="H72" s="239">
        <f>'CPU (Workload)'!E41</f>
        <v>3495.5006944444444</v>
      </c>
      <c r="I72" s="279">
        <f t="shared" si="7"/>
        <v>24.5777392578125</v>
      </c>
    </row>
    <row r="73" spans="7:9">
      <c r="G73" s="238">
        <v>26</v>
      </c>
      <c r="H73" s="239">
        <f>'CPU (Workload)'!E42</f>
        <v>3679.5847222222224</v>
      </c>
      <c r="I73" s="279">
        <f t="shared" si="7"/>
        <v>25.872080078125002</v>
      </c>
    </row>
    <row r="74" spans="7:9">
      <c r="G74" s="238">
        <v>27</v>
      </c>
      <c r="H74" s="239">
        <f>'CPU (Workload)'!E43</f>
        <v>3863.6687499999998</v>
      </c>
      <c r="I74" s="279">
        <f t="shared" si="7"/>
        <v>27.166420898437501</v>
      </c>
    </row>
    <row r="75" spans="7:9">
      <c r="G75" s="238">
        <v>28</v>
      </c>
      <c r="H75" s="239">
        <f>'CPU (Workload)'!E44</f>
        <v>4047.7527777777777</v>
      </c>
      <c r="I75" s="279">
        <f t="shared" si="7"/>
        <v>28.46076171875</v>
      </c>
    </row>
    <row r="76" spans="7:9">
      <c r="G76" s="238">
        <v>29</v>
      </c>
      <c r="H76" s="239">
        <f>'CPU (Workload)'!E45</f>
        <v>4231.8368055555557</v>
      </c>
      <c r="I76" s="279">
        <f t="shared" si="7"/>
        <v>29.755102539062502</v>
      </c>
    </row>
    <row r="77" spans="7:9">
      <c r="G77" s="238">
        <v>30</v>
      </c>
      <c r="H77" s="239">
        <f>'CPU (Workload)'!E46</f>
        <v>4415.9208333333336</v>
      </c>
      <c r="I77" s="279">
        <f t="shared" si="7"/>
        <v>31.049443359375001</v>
      </c>
    </row>
    <row r="78" spans="7:9">
      <c r="G78" s="238">
        <v>31</v>
      </c>
      <c r="H78" s="239">
        <f>'CPU (Workload)'!E47</f>
        <v>4661.1333333333332</v>
      </c>
      <c r="I78" s="279">
        <f t="shared" si="7"/>
        <v>32.773593750000003</v>
      </c>
    </row>
    <row r="79" spans="7:9">
      <c r="G79" s="238">
        <v>32</v>
      </c>
      <c r="H79" s="239">
        <f>'CPU (Workload)'!E48</f>
        <v>4906.3458333333338</v>
      </c>
      <c r="I79" s="279">
        <f t="shared" si="7"/>
        <v>34.497744140625002</v>
      </c>
    </row>
    <row r="80" spans="7:9">
      <c r="G80" s="238">
        <v>33</v>
      </c>
      <c r="H80" s="239">
        <f>'CPU (Workload)'!E49</f>
        <v>5151.5583333333334</v>
      </c>
      <c r="I80" s="279">
        <f t="shared" si="7"/>
        <v>36.221894531250001</v>
      </c>
    </row>
    <row r="81" spans="1:15">
      <c r="G81" s="238">
        <v>34</v>
      </c>
      <c r="H81" s="239">
        <f>'CPU (Workload)'!E50</f>
        <v>5396.770833333333</v>
      </c>
      <c r="I81" s="279">
        <f t="shared" si="7"/>
        <v>37.946044921875</v>
      </c>
    </row>
    <row r="82" spans="1:15">
      <c r="G82" s="238">
        <v>35</v>
      </c>
      <c r="H82" s="239">
        <f>'CPU (Workload)'!E51</f>
        <v>5641.9833333333336</v>
      </c>
      <c r="I82" s="279">
        <f t="shared" si="7"/>
        <v>39.670195312500006</v>
      </c>
    </row>
    <row r="83" spans="1:15" ht="17" thickBot="1">
      <c r="G83" s="247">
        <v>36</v>
      </c>
      <c r="H83" s="248">
        <f>'CPU (Workload)'!E52</f>
        <v>5887.1958333333332</v>
      </c>
      <c r="I83" s="248">
        <f t="shared" si="7"/>
        <v>41.394345703124998</v>
      </c>
    </row>
    <row r="86" spans="1:15" ht="17" thickBot="1">
      <c r="A86" s="9" t="s">
        <v>15</v>
      </c>
      <c r="M86" s="216"/>
      <c r="N86" s="276"/>
      <c r="O86" s="276"/>
    </row>
    <row r="87" spans="1:15" ht="18" thickBot="1">
      <c r="B87" t="s">
        <v>101</v>
      </c>
      <c r="D87" s="61">
        <f>req_size</f>
        <v>1.9531250000000001E-4</v>
      </c>
      <c r="G87" s="169" t="s">
        <v>246</v>
      </c>
      <c r="H87" s="170" t="s">
        <v>119</v>
      </c>
      <c r="I87" s="170" t="s">
        <v>305</v>
      </c>
      <c r="M87" s="139"/>
      <c r="N87" s="259"/>
      <c r="O87" s="64"/>
    </row>
    <row r="88" spans="1:15">
      <c r="B88" t="s">
        <v>14</v>
      </c>
      <c r="D88" s="29">
        <f>perm_req</f>
        <v>16</v>
      </c>
      <c r="E88" s="10"/>
      <c r="G88" s="229">
        <v>0</v>
      </c>
      <c r="H88" s="230">
        <f>'CPU (Workload)'!F16</f>
        <v>2095.8333333333335</v>
      </c>
      <c r="I88" s="278">
        <f>H88*$D$87</f>
        <v>0.40934244791666674</v>
      </c>
      <c r="M88" s="139"/>
      <c r="N88" s="259"/>
      <c r="O88" s="64"/>
    </row>
    <row r="89" spans="1:15">
      <c r="G89" s="238">
        <v>1</v>
      </c>
      <c r="H89" s="239">
        <f>'CPU (Workload)'!F17</f>
        <v>2212.5013888888889</v>
      </c>
      <c r="I89" s="279">
        <f t="shared" ref="I89:I124" si="8">H89*$D$87</f>
        <v>0.43212917751736113</v>
      </c>
      <c r="M89" s="139"/>
      <c r="N89" s="259"/>
      <c r="O89" s="64"/>
    </row>
    <row r="90" spans="1:15">
      <c r="G90" s="238">
        <v>2</v>
      </c>
      <c r="H90" s="239">
        <f>'CPU (Workload)'!F18</f>
        <v>2329.1694444444443</v>
      </c>
      <c r="I90" s="279">
        <f t="shared" si="8"/>
        <v>0.45491590711805552</v>
      </c>
      <c r="M90" s="72"/>
      <c r="N90" s="72"/>
      <c r="O90" s="277"/>
    </row>
    <row r="91" spans="1:15">
      <c r="G91" s="238">
        <v>3</v>
      </c>
      <c r="H91" s="239">
        <f>'CPU (Workload)'!F19</f>
        <v>2445.8375000000001</v>
      </c>
      <c r="I91" s="279">
        <f t="shared" si="8"/>
        <v>0.47770263671875002</v>
      </c>
      <c r="M91" s="72"/>
      <c r="N91" s="72"/>
      <c r="O91" s="72"/>
    </row>
    <row r="92" spans="1:15">
      <c r="G92" s="238">
        <v>4</v>
      </c>
      <c r="H92" s="239">
        <f>'CPU (Workload)'!F20</f>
        <v>2562.5055555555555</v>
      </c>
      <c r="I92" s="279">
        <f t="shared" si="8"/>
        <v>0.50048936631944441</v>
      </c>
      <c r="M92" s="72"/>
      <c r="N92" s="216"/>
      <c r="O92" s="276"/>
    </row>
    <row r="93" spans="1:15">
      <c r="G93" s="238">
        <v>5</v>
      </c>
      <c r="H93" s="239">
        <f>'CPU (Workload)'!F21</f>
        <v>2679.1736111111113</v>
      </c>
      <c r="I93" s="279">
        <f t="shared" si="8"/>
        <v>0.52327609592013891</v>
      </c>
      <c r="M93" s="72"/>
      <c r="N93" s="139"/>
      <c r="O93" s="64"/>
    </row>
    <row r="94" spans="1:15">
      <c r="G94" s="238">
        <v>6</v>
      </c>
      <c r="H94" s="239">
        <f>'CPU (Workload)'!F22</f>
        <v>2795.8416666666667</v>
      </c>
      <c r="I94" s="279">
        <f t="shared" si="8"/>
        <v>0.54606282552083341</v>
      </c>
      <c r="M94" s="72"/>
      <c r="N94" s="139"/>
      <c r="O94" s="64"/>
    </row>
    <row r="95" spans="1:15">
      <c r="G95" s="238">
        <v>7</v>
      </c>
      <c r="H95" s="239">
        <f>'CPU (Workload)'!F23</f>
        <v>3261.4659722222223</v>
      </c>
      <c r="I95" s="279">
        <f t="shared" si="8"/>
        <v>0.63700507269965279</v>
      </c>
      <c r="M95" s="72"/>
      <c r="N95" s="139"/>
      <c r="O95" s="64"/>
    </row>
    <row r="96" spans="1:15" ht="18" customHeight="1">
      <c r="A96" s="9"/>
      <c r="G96" s="238">
        <v>8</v>
      </c>
      <c r="H96" s="239">
        <f>'CPU (Workload)'!F24</f>
        <v>3727.0902777777778</v>
      </c>
      <c r="I96" s="279">
        <f t="shared" si="8"/>
        <v>0.72794731987847228</v>
      </c>
    </row>
    <row r="97" spans="7:9">
      <c r="G97" s="238">
        <v>9</v>
      </c>
      <c r="H97" s="239">
        <f>'CPU (Workload)'!F25</f>
        <v>4192.7145833333334</v>
      </c>
      <c r="I97" s="279">
        <f t="shared" si="8"/>
        <v>0.81888956705729177</v>
      </c>
    </row>
    <row r="98" spans="7:9">
      <c r="G98" s="238">
        <v>10</v>
      </c>
      <c r="H98" s="239">
        <f>'CPU (Workload)'!F26</f>
        <v>4658.3388888888885</v>
      </c>
      <c r="I98" s="279">
        <f t="shared" si="8"/>
        <v>0.90983181423611104</v>
      </c>
    </row>
    <row r="99" spans="7:9">
      <c r="G99" s="238">
        <v>11</v>
      </c>
      <c r="H99" s="239">
        <f>'CPU (Workload)'!F27</f>
        <v>5123.9631944444445</v>
      </c>
      <c r="I99" s="279">
        <f t="shared" si="8"/>
        <v>1.0007740614149305</v>
      </c>
    </row>
    <row r="100" spans="7:9">
      <c r="G100" s="238">
        <v>12</v>
      </c>
      <c r="H100" s="239">
        <f>'CPU (Workload)'!F28</f>
        <v>5589.5874999999996</v>
      </c>
      <c r="I100" s="279">
        <f t="shared" si="8"/>
        <v>1.09171630859375</v>
      </c>
    </row>
    <row r="101" spans="7:9">
      <c r="G101" s="238">
        <v>13</v>
      </c>
      <c r="H101" s="239">
        <f>'CPU (Workload)'!F29</f>
        <v>5899.770833333333</v>
      </c>
      <c r="I101" s="279">
        <f t="shared" si="8"/>
        <v>1.1522989908854167</v>
      </c>
    </row>
    <row r="102" spans="7:9">
      <c r="G102" s="238">
        <v>14</v>
      </c>
      <c r="H102" s="239">
        <f>'CPU (Workload)'!F30</f>
        <v>6209.9541666666664</v>
      </c>
      <c r="I102" s="279">
        <f t="shared" si="8"/>
        <v>1.2128816731770833</v>
      </c>
    </row>
    <row r="103" spans="7:9">
      <c r="G103" s="238">
        <v>15</v>
      </c>
      <c r="H103" s="239">
        <f>'CPU (Workload)'!F31</f>
        <v>6520.1374999999998</v>
      </c>
      <c r="I103" s="279">
        <f t="shared" si="8"/>
        <v>1.2734643554687501</v>
      </c>
    </row>
    <row r="104" spans="7:9">
      <c r="G104" s="238">
        <v>16</v>
      </c>
      <c r="H104" s="239">
        <f>'CPU (Workload)'!F32</f>
        <v>6830.3208333333332</v>
      </c>
      <c r="I104" s="279">
        <f t="shared" si="8"/>
        <v>1.3340470377604168</v>
      </c>
    </row>
    <row r="105" spans="7:9">
      <c r="G105" s="238">
        <v>17</v>
      </c>
      <c r="H105" s="239">
        <f>'CPU (Workload)'!F33</f>
        <v>7140.5041666666666</v>
      </c>
      <c r="I105" s="279">
        <f t="shared" si="8"/>
        <v>1.3946297200520834</v>
      </c>
    </row>
    <row r="106" spans="7:9">
      <c r="G106" s="238">
        <v>18</v>
      </c>
      <c r="H106" s="239">
        <f>'CPU (Workload)'!F34</f>
        <v>7450.6875</v>
      </c>
      <c r="I106" s="279">
        <f t="shared" si="8"/>
        <v>1.45521240234375</v>
      </c>
    </row>
    <row r="107" spans="7:9">
      <c r="G107" s="238">
        <v>19</v>
      </c>
      <c r="H107" s="239">
        <f>'CPU (Workload)'!F35</f>
        <v>8416.5173611111113</v>
      </c>
      <c r="I107" s="279">
        <f t="shared" si="8"/>
        <v>1.643851047092014</v>
      </c>
    </row>
    <row r="108" spans="7:9">
      <c r="G108" s="238">
        <v>20</v>
      </c>
      <c r="H108" s="239">
        <f>'CPU (Workload)'!F36</f>
        <v>9382.3472222222226</v>
      </c>
      <c r="I108" s="279">
        <f t="shared" si="8"/>
        <v>1.832489691840278</v>
      </c>
    </row>
    <row r="109" spans="7:9">
      <c r="G109" s="238">
        <v>21</v>
      </c>
      <c r="H109" s="239">
        <f>'CPU (Workload)'!F37</f>
        <v>10348.177083333334</v>
      </c>
      <c r="I109" s="279">
        <f t="shared" si="8"/>
        <v>2.021128336588542</v>
      </c>
    </row>
    <row r="110" spans="7:9">
      <c r="G110" s="238">
        <v>22</v>
      </c>
      <c r="H110" s="239">
        <f>'CPU (Workload)'!F38</f>
        <v>11314.006944444445</v>
      </c>
      <c r="I110" s="279">
        <f t="shared" si="8"/>
        <v>2.2097669813368057</v>
      </c>
    </row>
    <row r="111" spans="7:9">
      <c r="G111" s="238">
        <v>23</v>
      </c>
      <c r="H111" s="239">
        <f>'CPU (Workload)'!F39</f>
        <v>12279.836805555555</v>
      </c>
      <c r="I111" s="279">
        <f t="shared" si="8"/>
        <v>2.3984056260850695</v>
      </c>
    </row>
    <row r="112" spans="7:9">
      <c r="G112" s="238">
        <v>24</v>
      </c>
      <c r="H112" s="239">
        <f>'CPU (Workload)'!F40</f>
        <v>13245.666666666666</v>
      </c>
      <c r="I112" s="279">
        <f t="shared" si="8"/>
        <v>2.5870442708333332</v>
      </c>
    </row>
    <row r="113" spans="1:9">
      <c r="G113" s="238">
        <v>25</v>
      </c>
      <c r="H113" s="239">
        <f>'CPU (Workload)'!F41</f>
        <v>13982.002777777778</v>
      </c>
      <c r="I113" s="279">
        <f t="shared" si="8"/>
        <v>2.7308599175347226</v>
      </c>
    </row>
    <row r="114" spans="1:9">
      <c r="G114" s="238">
        <v>26</v>
      </c>
      <c r="H114" s="239">
        <f>'CPU (Workload)'!F42</f>
        <v>14718.338888888889</v>
      </c>
      <c r="I114" s="279">
        <f t="shared" si="8"/>
        <v>2.8746755642361115</v>
      </c>
    </row>
    <row r="115" spans="1:9">
      <c r="G115" s="238">
        <v>27</v>
      </c>
      <c r="H115" s="239">
        <f>'CPU (Workload)'!F43</f>
        <v>15454.674999999999</v>
      </c>
      <c r="I115" s="279">
        <f t="shared" si="8"/>
        <v>3.0184912109374999</v>
      </c>
    </row>
    <row r="116" spans="1:9">
      <c r="G116" s="238">
        <v>28</v>
      </c>
      <c r="H116" s="239">
        <f>'CPU (Workload)'!F44</f>
        <v>16191.011111111111</v>
      </c>
      <c r="I116" s="279">
        <f t="shared" si="8"/>
        <v>3.1623068576388889</v>
      </c>
    </row>
    <row r="117" spans="1:9">
      <c r="G117" s="238">
        <v>29</v>
      </c>
      <c r="H117" s="239">
        <f>'CPU (Workload)'!F45</f>
        <v>16927.347222222223</v>
      </c>
      <c r="I117" s="279">
        <f t="shared" si="8"/>
        <v>3.3061225043402782</v>
      </c>
    </row>
    <row r="118" spans="1:9">
      <c r="G118" s="238">
        <v>30</v>
      </c>
      <c r="H118" s="239">
        <f>'CPU (Workload)'!F46</f>
        <v>17663.683333333334</v>
      </c>
      <c r="I118" s="279">
        <f t="shared" si="8"/>
        <v>3.4499381510416671</v>
      </c>
    </row>
    <row r="119" spans="1:9">
      <c r="G119" s="238">
        <v>31</v>
      </c>
      <c r="H119" s="239">
        <f>'CPU (Workload)'!F47</f>
        <v>18644.533333333333</v>
      </c>
      <c r="I119" s="279">
        <f t="shared" si="8"/>
        <v>3.6415104166666667</v>
      </c>
    </row>
    <row r="120" spans="1:9">
      <c r="G120" s="238">
        <v>32</v>
      </c>
      <c r="H120" s="239">
        <f>'CPU (Workload)'!F48</f>
        <v>19625.383333333335</v>
      </c>
      <c r="I120" s="279">
        <f t="shared" si="8"/>
        <v>3.8330826822916673</v>
      </c>
    </row>
    <row r="121" spans="1:9">
      <c r="G121" s="238">
        <v>33</v>
      </c>
      <c r="H121" s="239">
        <f>'CPU (Workload)'!F49</f>
        <v>20606.233333333334</v>
      </c>
      <c r="I121" s="279">
        <f t="shared" si="8"/>
        <v>4.0246549479166669</v>
      </c>
    </row>
    <row r="122" spans="1:9">
      <c r="G122" s="238">
        <v>34</v>
      </c>
      <c r="H122" s="239">
        <f>'CPU (Workload)'!F50</f>
        <v>21587.083333333332</v>
      </c>
      <c r="I122" s="279">
        <f t="shared" si="8"/>
        <v>4.216227213541667</v>
      </c>
    </row>
    <row r="123" spans="1:9">
      <c r="G123" s="238">
        <v>35</v>
      </c>
      <c r="H123" s="239">
        <f>'CPU (Workload)'!F51</f>
        <v>22567.933333333334</v>
      </c>
      <c r="I123" s="279">
        <f t="shared" si="8"/>
        <v>4.407799479166667</v>
      </c>
    </row>
    <row r="124" spans="1:9" ht="17" thickBot="1">
      <c r="G124" s="247">
        <v>36</v>
      </c>
      <c r="H124" s="248">
        <f>'CPU (Workload)'!F52</f>
        <v>23548.783333333333</v>
      </c>
      <c r="I124" s="280">
        <f t="shared" si="8"/>
        <v>4.5993717447916671</v>
      </c>
    </row>
    <row r="127" spans="1:9" ht="17" thickBot="1">
      <c r="A127" s="9" t="s">
        <v>210</v>
      </c>
    </row>
    <row r="128" spans="1:9" ht="18" thickBot="1">
      <c r="G128" s="169" t="s">
        <v>246</v>
      </c>
      <c r="H128" s="170" t="s">
        <v>119</v>
      </c>
      <c r="I128" s="170" t="s">
        <v>305</v>
      </c>
    </row>
    <row r="129" spans="7:9">
      <c r="G129" s="229">
        <v>0</v>
      </c>
      <c r="H129" s="230">
        <f>SUM(H6,H47,H88)</f>
        <v>5763.541666666667</v>
      </c>
      <c r="I129" s="278">
        <f>SUM(O6,I47,I88)</f>
        <v>17.448221842447918</v>
      </c>
    </row>
    <row r="130" spans="7:9">
      <c r="G130" s="238">
        <v>1</v>
      </c>
      <c r="H130" s="239">
        <f t="shared" ref="H130:H165" si="9">SUM(H7,H48,H89)</f>
        <v>6084.3788194444442</v>
      </c>
      <c r="I130" s="279">
        <f t="shared" ref="I130:I165" si="10">SUM(O7,I48,I89)</f>
        <v>18.419506191677517</v>
      </c>
    </row>
    <row r="131" spans="7:9">
      <c r="G131" s="238">
        <v>2</v>
      </c>
      <c r="H131" s="239">
        <f t="shared" si="9"/>
        <v>6405.2159722222223</v>
      </c>
      <c r="I131" s="279">
        <f t="shared" si="10"/>
        <v>19.390790540907119</v>
      </c>
    </row>
    <row r="132" spans="7:9">
      <c r="G132" s="238">
        <v>3</v>
      </c>
      <c r="H132" s="239">
        <f t="shared" si="9"/>
        <v>6726.0531250000004</v>
      </c>
      <c r="I132" s="279">
        <f t="shared" si="10"/>
        <v>20.362074890136718</v>
      </c>
    </row>
    <row r="133" spans="7:9">
      <c r="G133" s="238">
        <v>4</v>
      </c>
      <c r="H133" s="239">
        <f t="shared" si="9"/>
        <v>7046.8902777777776</v>
      </c>
      <c r="I133" s="279">
        <f t="shared" si="10"/>
        <v>21.33335923936632</v>
      </c>
    </row>
    <row r="134" spans="7:9">
      <c r="G134" s="238">
        <v>5</v>
      </c>
      <c r="H134" s="239">
        <f t="shared" si="9"/>
        <v>7367.7274305555547</v>
      </c>
      <c r="I134" s="279">
        <f t="shared" si="10"/>
        <v>22.304643588595919</v>
      </c>
    </row>
    <row r="135" spans="7:9">
      <c r="G135" s="238">
        <v>6</v>
      </c>
      <c r="H135" s="239">
        <f t="shared" si="9"/>
        <v>7688.5645833333328</v>
      </c>
      <c r="I135" s="279">
        <f t="shared" si="10"/>
        <v>23.275927937825518</v>
      </c>
    </row>
    <row r="136" spans="7:9">
      <c r="G136" s="238">
        <v>7</v>
      </c>
      <c r="H136" s="239">
        <f t="shared" si="9"/>
        <v>8969.0314236111099</v>
      </c>
      <c r="I136" s="279">
        <f t="shared" si="10"/>
        <v>27.152341223822695</v>
      </c>
    </row>
    <row r="137" spans="7:9">
      <c r="G137" s="238">
        <v>8</v>
      </c>
      <c r="H137" s="239">
        <f t="shared" si="9"/>
        <v>10249.498263888889</v>
      </c>
      <c r="I137" s="279">
        <f t="shared" si="10"/>
        <v>31.028754509819876</v>
      </c>
    </row>
    <row r="138" spans="7:9">
      <c r="G138" s="238">
        <v>9</v>
      </c>
      <c r="H138" s="239">
        <f t="shared" si="9"/>
        <v>11529.965104166666</v>
      </c>
      <c r="I138" s="279">
        <f t="shared" si="10"/>
        <v>34.905167795817057</v>
      </c>
    </row>
    <row r="139" spans="7:9">
      <c r="G139" s="238">
        <v>10</v>
      </c>
      <c r="H139" s="239">
        <f t="shared" si="9"/>
        <v>12810.431944444445</v>
      </c>
      <c r="I139" s="279">
        <f t="shared" si="10"/>
        <v>38.781581081814238</v>
      </c>
    </row>
    <row r="140" spans="7:9">
      <c r="G140" s="238">
        <v>11</v>
      </c>
      <c r="H140" s="239">
        <f t="shared" si="9"/>
        <v>14090.898784722223</v>
      </c>
      <c r="I140" s="279">
        <f t="shared" si="10"/>
        <v>42.657994367811412</v>
      </c>
    </row>
    <row r="141" spans="7:9">
      <c r="G141" s="238">
        <v>12</v>
      </c>
      <c r="H141" s="239">
        <f t="shared" si="9"/>
        <v>15371.365624999999</v>
      </c>
      <c r="I141" s="279">
        <f t="shared" si="10"/>
        <v>46.534407653808586</v>
      </c>
    </row>
    <row r="142" spans="7:9">
      <c r="G142" s="238">
        <v>13</v>
      </c>
      <c r="H142" s="239">
        <f t="shared" si="9"/>
        <v>16224.369791666664</v>
      </c>
      <c r="I142" s="279">
        <f t="shared" si="10"/>
        <v>49.11674448649088</v>
      </c>
    </row>
    <row r="143" spans="7:9">
      <c r="G143" s="238">
        <v>14</v>
      </c>
      <c r="H143" s="239">
        <f t="shared" si="9"/>
        <v>17077.37395833333</v>
      </c>
      <c r="I143" s="279">
        <f t="shared" si="10"/>
        <v>51.69908131917316</v>
      </c>
    </row>
    <row r="144" spans="7:9">
      <c r="G144" s="238">
        <v>15</v>
      </c>
      <c r="H144" s="239">
        <f t="shared" si="9"/>
        <v>17930.378124999999</v>
      </c>
      <c r="I144" s="279">
        <f t="shared" si="10"/>
        <v>54.281418151855462</v>
      </c>
    </row>
    <row r="145" spans="7:9">
      <c r="G145" s="238">
        <v>16</v>
      </c>
      <c r="H145" s="239">
        <f t="shared" si="9"/>
        <v>18783.382291666665</v>
      </c>
      <c r="I145" s="279">
        <f t="shared" si="10"/>
        <v>56.863754984537749</v>
      </c>
    </row>
    <row r="146" spans="7:9">
      <c r="G146" s="238">
        <v>17</v>
      </c>
      <c r="H146" s="239">
        <f t="shared" si="9"/>
        <v>19636.386458333331</v>
      </c>
      <c r="I146" s="279">
        <f t="shared" si="10"/>
        <v>59.446091817220051</v>
      </c>
    </row>
    <row r="147" spans="7:9">
      <c r="G147" s="238">
        <v>18</v>
      </c>
      <c r="H147" s="239">
        <f t="shared" si="9"/>
        <v>20489.390625</v>
      </c>
      <c r="I147" s="279">
        <f t="shared" si="10"/>
        <v>62.028428649902338</v>
      </c>
    </row>
    <row r="148" spans="7:9">
      <c r="G148" s="238">
        <v>19</v>
      </c>
      <c r="H148" s="239">
        <f t="shared" si="9"/>
        <v>23145.422743055555</v>
      </c>
      <c r="I148" s="279">
        <f t="shared" si="10"/>
        <v>70.069150882297095</v>
      </c>
    </row>
    <row r="149" spans="7:9">
      <c r="G149" s="238">
        <v>20</v>
      </c>
      <c r="H149" s="239">
        <f t="shared" si="9"/>
        <v>25801.454861111113</v>
      </c>
      <c r="I149" s="279">
        <f t="shared" si="10"/>
        <v>78.109873114691851</v>
      </c>
    </row>
    <row r="150" spans="7:9">
      <c r="G150" s="238">
        <v>21</v>
      </c>
      <c r="H150" s="239">
        <f t="shared" si="9"/>
        <v>28457.486979166664</v>
      </c>
      <c r="I150" s="279">
        <f t="shared" si="10"/>
        <v>86.150595347086593</v>
      </c>
    </row>
    <row r="151" spans="7:9">
      <c r="G151" s="238">
        <v>22</v>
      </c>
      <c r="H151" s="239">
        <f t="shared" si="9"/>
        <v>31113.519097222219</v>
      </c>
      <c r="I151" s="279">
        <f t="shared" si="10"/>
        <v>94.191317579481336</v>
      </c>
    </row>
    <row r="152" spans="7:9">
      <c r="G152" s="238">
        <v>23</v>
      </c>
      <c r="H152" s="239">
        <f t="shared" si="9"/>
        <v>33769.551215277774</v>
      </c>
      <c r="I152" s="279">
        <f t="shared" si="10"/>
        <v>102.23203981187608</v>
      </c>
    </row>
    <row r="153" spans="7:9">
      <c r="G153" s="238">
        <v>24</v>
      </c>
      <c r="H153" s="239">
        <f t="shared" si="9"/>
        <v>36425.583333333328</v>
      </c>
      <c r="I153" s="279">
        <f t="shared" si="10"/>
        <v>110.27276204427081</v>
      </c>
    </row>
    <row r="154" spans="7:9">
      <c r="G154" s="238">
        <v>25</v>
      </c>
      <c r="H154" s="239">
        <f t="shared" si="9"/>
        <v>38450.507638888885</v>
      </c>
      <c r="I154" s="279">
        <f t="shared" si="10"/>
        <v>116.40290398491754</v>
      </c>
    </row>
    <row r="155" spans="7:9">
      <c r="G155" s="238">
        <v>26</v>
      </c>
      <c r="H155" s="239">
        <f t="shared" si="9"/>
        <v>40475.431944444441</v>
      </c>
      <c r="I155" s="279">
        <f t="shared" si="10"/>
        <v>122.53304592556422</v>
      </c>
    </row>
    <row r="156" spans="7:9">
      <c r="G156" s="238">
        <v>27</v>
      </c>
      <c r="H156" s="239">
        <f t="shared" si="9"/>
        <v>42500.356249999997</v>
      </c>
      <c r="I156" s="279">
        <f t="shared" si="10"/>
        <v>128.66318786621093</v>
      </c>
    </row>
    <row r="157" spans="7:9">
      <c r="G157" s="238">
        <v>28</v>
      </c>
      <c r="H157" s="239">
        <f t="shared" si="9"/>
        <v>44525.280555555553</v>
      </c>
      <c r="I157" s="279">
        <f t="shared" si="10"/>
        <v>134.79332980685763</v>
      </c>
    </row>
    <row r="158" spans="7:9">
      <c r="G158" s="238">
        <v>29</v>
      </c>
      <c r="H158" s="239">
        <f t="shared" si="9"/>
        <v>46550.204861111109</v>
      </c>
      <c r="I158" s="279">
        <f t="shared" si="10"/>
        <v>140.92347174750432</v>
      </c>
    </row>
    <row r="159" spans="7:9">
      <c r="G159" s="238">
        <v>30</v>
      </c>
      <c r="H159" s="239">
        <f t="shared" si="9"/>
        <v>48575.129166666666</v>
      </c>
      <c r="I159" s="279">
        <f t="shared" si="10"/>
        <v>147.05361368815105</v>
      </c>
    </row>
    <row r="160" spans="7:9">
      <c r="G160" s="238">
        <v>31</v>
      </c>
      <c r="H160" s="239">
        <f t="shared" si="9"/>
        <v>51272.466666666667</v>
      </c>
      <c r="I160" s="279">
        <f t="shared" si="10"/>
        <v>155.21938151041667</v>
      </c>
    </row>
    <row r="161" spans="7:9">
      <c r="G161" s="238">
        <v>32</v>
      </c>
      <c r="H161" s="239">
        <f t="shared" si="9"/>
        <v>53969.804166666669</v>
      </c>
      <c r="I161" s="279">
        <f t="shared" si="10"/>
        <v>163.38514933268232</v>
      </c>
    </row>
    <row r="162" spans="7:9">
      <c r="G162" s="238">
        <v>33</v>
      </c>
      <c r="H162" s="239">
        <f t="shared" si="9"/>
        <v>56667.141666666663</v>
      </c>
      <c r="I162" s="279">
        <f t="shared" si="10"/>
        <v>171.55091715494791</v>
      </c>
    </row>
    <row r="163" spans="7:9">
      <c r="G163" s="238">
        <v>34</v>
      </c>
      <c r="H163" s="239">
        <f t="shared" si="9"/>
        <v>59364.479166666657</v>
      </c>
      <c r="I163" s="279">
        <f t="shared" si="10"/>
        <v>179.7166849772135</v>
      </c>
    </row>
    <row r="164" spans="7:9">
      <c r="G164" s="238">
        <v>35</v>
      </c>
      <c r="H164" s="239">
        <f t="shared" si="9"/>
        <v>62061.816666666666</v>
      </c>
      <c r="I164" s="279">
        <f t="shared" si="10"/>
        <v>187.88245279947913</v>
      </c>
    </row>
    <row r="165" spans="7:9" ht="17" thickBot="1">
      <c r="G165" s="247">
        <v>36</v>
      </c>
      <c r="H165" s="248">
        <f t="shared" si="9"/>
        <v>64759.15416666666</v>
      </c>
      <c r="I165" s="280">
        <f t="shared" si="10"/>
        <v>196.04822062174475</v>
      </c>
    </row>
  </sheetData>
  <mergeCells count="2">
    <mergeCell ref="L4:O4"/>
    <mergeCell ref="H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DF17-A10B-784B-B67C-53D3273CBB9C}">
  <dimension ref="A1:P25"/>
  <sheetViews>
    <sheetView zoomScaleNormal="100" workbookViewId="0">
      <selection activeCell="G17" sqref="G17"/>
    </sheetView>
  </sheetViews>
  <sheetFormatPr baseColWidth="10" defaultRowHeight="16"/>
  <cols>
    <col min="1" max="1" width="31.5" customWidth="1"/>
    <col min="2" max="2" width="13.83203125" customWidth="1"/>
    <col min="3" max="3" width="13" bestFit="1" customWidth="1"/>
    <col min="4" max="4" width="15.33203125" customWidth="1"/>
    <col min="5" max="5" width="14.83203125" customWidth="1"/>
    <col min="6" max="6" width="17.1640625" customWidth="1"/>
    <col min="7" max="7" width="19.33203125" customWidth="1"/>
    <col min="8" max="9" width="17.33203125" customWidth="1"/>
    <col min="10" max="10" width="15.1640625" bestFit="1" customWidth="1"/>
    <col min="12" max="12" width="13.5" customWidth="1"/>
    <col min="13" max="13" width="15" bestFit="1" customWidth="1"/>
    <col min="14" max="14" width="17.6640625" bestFit="1" customWidth="1"/>
    <col min="15" max="15" width="18.1640625" customWidth="1"/>
    <col min="16" max="17" width="15" customWidth="1"/>
    <col min="18" max="18" width="15.6640625" customWidth="1"/>
  </cols>
  <sheetData>
    <row r="1" spans="1:5" ht="24">
      <c r="A1" s="32" t="s">
        <v>26</v>
      </c>
    </row>
    <row r="3" spans="1:5">
      <c r="A3" t="s">
        <v>16</v>
      </c>
      <c r="C3" s="6"/>
      <c r="D3" s="34">
        <f>tot_songs</f>
        <v>40000000</v>
      </c>
      <c r="E3" t="s">
        <v>17</v>
      </c>
    </row>
    <row r="5" spans="1:5">
      <c r="A5" t="s">
        <v>82</v>
      </c>
    </row>
    <row r="7" spans="1:5" ht="17" thickBot="1">
      <c r="A7" s="9" t="s">
        <v>18</v>
      </c>
    </row>
    <row r="8" spans="1:5" ht="35" thickBot="1">
      <c r="B8" t="s">
        <v>25</v>
      </c>
      <c r="C8" t="s">
        <v>21</v>
      </c>
      <c r="D8" t="s">
        <v>304</v>
      </c>
      <c r="E8" s="170" t="s">
        <v>311</v>
      </c>
    </row>
    <row r="9" spans="1:5">
      <c r="A9" s="11" t="s">
        <v>19</v>
      </c>
      <c r="B9" s="27">
        <f>stream_lbr</f>
        <v>112</v>
      </c>
      <c r="C9" s="27">
        <f>stream_dur</f>
        <v>192</v>
      </c>
      <c r="D9" s="68">
        <f>B9*C9/8/2^20</f>
        <v>2.5634765625E-3</v>
      </c>
      <c r="E9" s="281">
        <f>D9*tot_songs</f>
        <v>102539.0625</v>
      </c>
    </row>
    <row r="10" spans="1:5">
      <c r="A10" s="11" t="s">
        <v>20</v>
      </c>
      <c r="B10" s="27">
        <f>stream_sbr</f>
        <v>192</v>
      </c>
      <c r="C10" s="27">
        <f>stream_dur</f>
        <v>192</v>
      </c>
      <c r="D10" s="68">
        <f>B10*C10/8/2^20</f>
        <v>4.39453125E-3</v>
      </c>
      <c r="E10" s="282">
        <f>D10*tot_songs</f>
        <v>175781.25</v>
      </c>
    </row>
    <row r="11" spans="1:5" ht="17" thickBot="1">
      <c r="A11" s="11" t="s">
        <v>22</v>
      </c>
      <c r="B11" s="33">
        <f>stream_hbr</f>
        <v>240</v>
      </c>
      <c r="C11" s="27">
        <f>stream_dur</f>
        <v>192</v>
      </c>
      <c r="D11" s="68">
        <f>B11*C11/8/2^20</f>
        <v>5.4931640625E-3</v>
      </c>
      <c r="E11" s="283">
        <f>D11*tot_songs</f>
        <v>219726.5625</v>
      </c>
    </row>
    <row r="13" spans="1:5" ht="17" thickBot="1">
      <c r="A13" s="9" t="s">
        <v>24</v>
      </c>
    </row>
    <row r="14" spans="1:5" ht="35" thickBot="1">
      <c r="D14" s="14" t="s">
        <v>23</v>
      </c>
      <c r="E14" s="170" t="s">
        <v>311</v>
      </c>
    </row>
    <row r="15" spans="1:5" ht="17" thickBot="1">
      <c r="D15" s="27">
        <f>down_song</f>
        <v>7.0312500000000002E-3</v>
      </c>
      <c r="E15" s="18">
        <f>D15*tot_songs</f>
        <v>281250</v>
      </c>
    </row>
    <row r="17" spans="1:16">
      <c r="A17" s="9" t="s">
        <v>51</v>
      </c>
    </row>
    <row r="19" spans="1:16">
      <c r="A19" t="s">
        <v>83</v>
      </c>
      <c r="D19" s="13"/>
      <c r="E19" s="35"/>
      <c r="F19" s="8"/>
      <c r="G19" s="8"/>
      <c r="H19" s="8"/>
      <c r="I19" s="8"/>
      <c r="J19" s="15"/>
      <c r="K19" s="15"/>
      <c r="L19" s="15"/>
      <c r="M19" s="15"/>
      <c r="N19" s="16"/>
      <c r="O19" s="16"/>
      <c r="P19" s="16"/>
    </row>
    <row r="21" spans="1:16">
      <c r="A21" s="11"/>
    </row>
    <row r="22" spans="1:16">
      <c r="A22" s="11"/>
    </row>
    <row r="23" spans="1:16">
      <c r="A23" s="11"/>
    </row>
    <row r="24" spans="1:16">
      <c r="A24" s="11"/>
      <c r="O24" s="46"/>
    </row>
    <row r="25" spans="1:16">
      <c r="A2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3A2C-8144-1B4A-9B9D-D3B89E85E070}">
  <dimension ref="A1:CM272"/>
  <sheetViews>
    <sheetView topLeftCell="A125" zoomScale="90" zoomScaleNormal="90" workbookViewId="0">
      <selection activeCell="B39" sqref="B39"/>
    </sheetView>
  </sheetViews>
  <sheetFormatPr baseColWidth="10" defaultRowHeight="16"/>
  <cols>
    <col min="1" max="1" width="40" customWidth="1"/>
    <col min="2" max="2" width="65.5" bestFit="1" customWidth="1"/>
    <col min="3" max="3" width="15.33203125" bestFit="1" customWidth="1"/>
    <col min="4" max="4" width="18.6640625" bestFit="1" customWidth="1"/>
    <col min="5" max="5" width="17.33203125" bestFit="1" customWidth="1"/>
    <col min="6" max="6" width="16.33203125" customWidth="1"/>
    <col min="7" max="7" width="23" bestFit="1" customWidth="1"/>
    <col min="8" max="8" width="19.33203125" bestFit="1" customWidth="1"/>
    <col min="9" max="9" width="16.33203125" bestFit="1" customWidth="1"/>
    <col min="10" max="10" width="15.6640625" bestFit="1" customWidth="1"/>
    <col min="11" max="11" width="16.1640625" bestFit="1" customWidth="1"/>
    <col min="12" max="12" width="18" bestFit="1" customWidth="1"/>
    <col min="13" max="13" width="17.6640625" bestFit="1" customWidth="1"/>
    <col min="14" max="14" width="17.33203125" bestFit="1" customWidth="1"/>
    <col min="15" max="15" width="15.6640625" bestFit="1" customWidth="1"/>
    <col min="16" max="16" width="18.33203125" bestFit="1" customWidth="1"/>
    <col min="17" max="17" width="13.33203125" bestFit="1" customWidth="1"/>
    <col min="18" max="19" width="14.33203125" bestFit="1" customWidth="1"/>
    <col min="20" max="21" width="17.6640625" bestFit="1" customWidth="1"/>
    <col min="22" max="22" width="18.1640625" bestFit="1" customWidth="1"/>
    <col min="23" max="23" width="14.33203125" bestFit="1" customWidth="1"/>
    <col min="24" max="63" width="12.5" customWidth="1"/>
    <col min="64" max="65" width="11.6640625" customWidth="1"/>
    <col min="66" max="66" width="11.5" bestFit="1" customWidth="1"/>
    <col min="67" max="68" width="11.6640625" customWidth="1"/>
    <col min="69" max="69" width="12.5" bestFit="1" customWidth="1"/>
    <col min="70" max="76" width="11.6640625" customWidth="1"/>
    <col min="77" max="77" width="11.5" customWidth="1"/>
    <col min="78" max="80" width="11.5" bestFit="1" customWidth="1"/>
    <col min="81" max="81" width="23.6640625" bestFit="1" customWidth="1"/>
    <col min="82" max="82" width="10.5" bestFit="1" customWidth="1"/>
    <col min="83" max="84" width="11.5" bestFit="1" customWidth="1"/>
    <col min="85" max="85" width="12.5" bestFit="1" customWidth="1"/>
    <col min="86" max="86" width="11.5" bestFit="1" customWidth="1"/>
    <col min="87" max="87" width="11.6640625" customWidth="1"/>
    <col min="88" max="89" width="12.5" bestFit="1" customWidth="1"/>
  </cols>
  <sheetData>
    <row r="1" spans="1:22" ht="24">
      <c r="A1" s="50" t="s">
        <v>298</v>
      </c>
      <c r="V1" s="12"/>
    </row>
    <row r="2" spans="1:22">
      <c r="V2" s="12"/>
    </row>
    <row r="3" spans="1:22">
      <c r="C3" s="6"/>
      <c r="D3" s="1"/>
      <c r="V3" s="12"/>
    </row>
    <row r="4" spans="1:22" ht="21">
      <c r="A4" s="44" t="s">
        <v>41</v>
      </c>
      <c r="C4" s="6"/>
      <c r="D4" s="1"/>
      <c r="V4" s="12"/>
    </row>
    <row r="5" spans="1:22">
      <c r="V5" s="12"/>
    </row>
    <row r="6" spans="1:22">
      <c r="V6" s="12"/>
    </row>
    <row r="7" spans="1:22">
      <c r="A7" t="s">
        <v>202</v>
      </c>
      <c r="C7" s="6"/>
      <c r="D7" s="1"/>
      <c r="V7" s="12"/>
    </row>
    <row r="8" spans="1:22">
      <c r="A8" t="s">
        <v>201</v>
      </c>
      <c r="C8" s="6"/>
      <c r="D8" s="1"/>
      <c r="V8" s="12"/>
    </row>
    <row r="9" spans="1:22">
      <c r="A9" t="s">
        <v>293</v>
      </c>
      <c r="C9" s="6"/>
      <c r="D9" s="1"/>
      <c r="V9" s="12"/>
    </row>
    <row r="10" spans="1:22">
      <c r="A10" t="s">
        <v>60</v>
      </c>
      <c r="C10" s="6"/>
      <c r="D10" s="1"/>
      <c r="V10" s="12"/>
    </row>
    <row r="11" spans="1:22">
      <c r="C11" s="6"/>
      <c r="D11" s="1"/>
      <c r="V11" s="12"/>
    </row>
    <row r="12" spans="1:22">
      <c r="C12" s="6"/>
      <c r="D12" s="1"/>
      <c r="V12" s="12"/>
    </row>
    <row r="13" spans="1:22" ht="21">
      <c r="A13" s="75" t="s">
        <v>59</v>
      </c>
      <c r="B13" s="11"/>
      <c r="C13" s="1"/>
      <c r="D13" s="1"/>
      <c r="E13" s="1"/>
      <c r="U13" s="12"/>
    </row>
    <row r="14" spans="1:22">
      <c r="B14" s="11"/>
      <c r="C14" s="1"/>
      <c r="D14" s="1"/>
      <c r="E14" s="1"/>
      <c r="U14" s="12"/>
    </row>
    <row r="15" spans="1:22">
      <c r="A15" s="9" t="s">
        <v>263</v>
      </c>
      <c r="B15" s="11"/>
      <c r="C15" s="144" t="s">
        <v>44</v>
      </c>
      <c r="D15" s="144" t="s">
        <v>45</v>
      </c>
      <c r="E15" s="144" t="s">
        <v>46</v>
      </c>
      <c r="U15" s="12"/>
    </row>
    <row r="16" spans="1:22">
      <c r="B16" s="81" t="s">
        <v>42</v>
      </c>
      <c r="C16" s="48">
        <f>C31</f>
        <v>224259.33412000001</v>
      </c>
      <c r="D16" s="48">
        <f t="shared" ref="D16:E16" si="0">D31</f>
        <v>326073.86441250006</v>
      </c>
      <c r="E16" s="48">
        <f t="shared" si="0"/>
        <v>540348.78228000004</v>
      </c>
      <c r="U16" s="12"/>
    </row>
    <row r="17" spans="1:91">
      <c r="B17" s="81" t="s">
        <v>282</v>
      </c>
      <c r="C17" s="48">
        <f>C79</f>
        <v>145300.02000000002</v>
      </c>
      <c r="D17" s="48">
        <f t="shared" ref="D17:E17" si="1">D79</f>
        <v>344543.76</v>
      </c>
      <c r="E17" s="48">
        <f t="shared" si="1"/>
        <v>722149.79999999993</v>
      </c>
      <c r="U17" s="12"/>
    </row>
    <row r="18" spans="1:91">
      <c r="B18" s="81" t="s">
        <v>344</v>
      </c>
      <c r="C18" s="48">
        <f>L205</f>
        <v>5028462.1814128505</v>
      </c>
      <c r="D18" s="48">
        <f t="shared" ref="D18:E18" si="2">M205</f>
        <v>11897525.491066948</v>
      </c>
      <c r="E18" s="48">
        <f t="shared" si="2"/>
        <v>24955496.324929811</v>
      </c>
      <c r="U18" s="12"/>
    </row>
    <row r="19" spans="1:91">
      <c r="B19" s="19" t="s">
        <v>266</v>
      </c>
      <c r="C19" s="79">
        <f>SUM(C16:C18)</f>
        <v>5398021.5355328508</v>
      </c>
      <c r="D19" s="79">
        <f t="shared" ref="D19:E19" si="3">SUM(D16:D18)</f>
        <v>12568143.115479447</v>
      </c>
      <c r="E19" s="79">
        <f t="shared" si="3"/>
        <v>26217994.90720981</v>
      </c>
      <c r="U19" s="12"/>
    </row>
    <row r="20" spans="1:91">
      <c r="A20" s="9" t="s">
        <v>173</v>
      </c>
      <c r="B20" s="11"/>
      <c r="C20" s="1"/>
      <c r="D20" s="1"/>
      <c r="E20" s="1"/>
      <c r="U20" s="12"/>
    </row>
    <row r="21" spans="1:91">
      <c r="B21" s="81" t="s">
        <v>78</v>
      </c>
      <c r="C21" s="48">
        <f>'Space and Labor'!C40</f>
        <v>972392</v>
      </c>
      <c r="D21" s="48">
        <f>'Space and Labor'!D40</f>
        <v>1001563.76</v>
      </c>
      <c r="E21" s="48">
        <f>'Space and Labor'!E40</f>
        <v>1031610.6728000001</v>
      </c>
      <c r="U21" s="12"/>
    </row>
    <row r="22" spans="1:91">
      <c r="B22" t="s">
        <v>264</v>
      </c>
      <c r="C22" s="48">
        <f>'Space and Labor'!C22</f>
        <v>232020</v>
      </c>
      <c r="D22" s="48">
        <f>'Space and Labor'!D22</f>
        <v>120600</v>
      </c>
      <c r="E22" s="48">
        <f>'Space and Labor'!E22</f>
        <v>120600</v>
      </c>
      <c r="U22" s="12"/>
    </row>
    <row r="23" spans="1:91">
      <c r="B23" t="s">
        <v>189</v>
      </c>
      <c r="C23" s="48">
        <f>'Space and Labor'!C33</f>
        <v>9499.68</v>
      </c>
      <c r="D23" s="48">
        <f>'Space and Labor'!D33</f>
        <v>9499.68</v>
      </c>
      <c r="E23" s="48">
        <f>'Space and Labor'!E33</f>
        <v>9499.68</v>
      </c>
      <c r="U23" s="12"/>
    </row>
    <row r="24" spans="1:91">
      <c r="B24" s="9" t="s">
        <v>175</v>
      </c>
      <c r="C24" s="79">
        <f>SUM(C21:C23)</f>
        <v>1213911.68</v>
      </c>
      <c r="D24" s="79">
        <f>SUM(D21:D23)</f>
        <v>1131663.44</v>
      </c>
      <c r="E24" s="79">
        <f>SUM(E21:E23)</f>
        <v>1161710.3528</v>
      </c>
      <c r="U24" s="12"/>
    </row>
    <row r="25" spans="1:91">
      <c r="A25" s="89" t="s">
        <v>174</v>
      </c>
      <c r="B25" s="94">
        <f>SUM(C25:E25)</f>
        <v>47691445.031022109</v>
      </c>
      <c r="C25" s="88">
        <f>SUM(C19,C24)</f>
        <v>6611933.2155328505</v>
      </c>
      <c r="D25" s="88">
        <f>SUM(D19,D24)</f>
        <v>13699806.555479446</v>
      </c>
      <c r="E25" s="88">
        <f>SUM(E19,E24)</f>
        <v>27379705.26000981</v>
      </c>
      <c r="U25" s="12"/>
    </row>
    <row r="26" spans="1:91">
      <c r="C26" s="1"/>
      <c r="U26" s="12"/>
    </row>
    <row r="27" spans="1:9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51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</row>
    <row r="29" spans="1:91" ht="22" thickBot="1">
      <c r="A29" s="44" t="s">
        <v>252</v>
      </c>
      <c r="B29" t="s">
        <v>259</v>
      </c>
      <c r="C29" s="9" t="s">
        <v>278</v>
      </c>
      <c r="G29" s="73"/>
      <c r="H29" s="73"/>
      <c r="I29" s="73"/>
      <c r="J29" s="73"/>
    </row>
    <row r="30" spans="1:91" ht="22" thickBot="1">
      <c r="A30" s="44"/>
      <c r="B30" t="s">
        <v>315</v>
      </c>
      <c r="C30" s="275" t="s">
        <v>44</v>
      </c>
      <c r="D30" s="263" t="s">
        <v>45</v>
      </c>
      <c r="E30" s="316" t="s">
        <v>46</v>
      </c>
      <c r="G30" s="80"/>
      <c r="H30" s="80"/>
      <c r="I30" s="80"/>
      <c r="J30" s="80"/>
    </row>
    <row r="31" spans="1:91" ht="21">
      <c r="A31" s="44"/>
      <c r="B31" t="s">
        <v>295</v>
      </c>
      <c r="C31" s="314">
        <f>SUM(J36:J48)</f>
        <v>224259.33412000001</v>
      </c>
      <c r="D31" s="314">
        <f>SUM(J49:J60)</f>
        <v>326073.86441250006</v>
      </c>
      <c r="E31" s="315">
        <f>SUM(J61:J72)</f>
        <v>540348.78228000004</v>
      </c>
      <c r="G31" s="80"/>
      <c r="H31" s="80"/>
      <c r="I31" s="80"/>
      <c r="J31" s="80"/>
    </row>
    <row r="32" spans="1:91" ht="21">
      <c r="A32" s="44"/>
      <c r="B32" t="s">
        <v>296</v>
      </c>
      <c r="C32" s="309"/>
      <c r="D32" s="309"/>
      <c r="E32" s="310"/>
      <c r="G32" s="80"/>
      <c r="H32" s="80"/>
      <c r="I32" s="80"/>
      <c r="J32" s="80"/>
    </row>
    <row r="33" spans="1:10" ht="22" thickBot="1">
      <c r="A33" s="44"/>
      <c r="B33" t="s">
        <v>357</v>
      </c>
      <c r="G33" s="80"/>
      <c r="H33" s="80"/>
      <c r="I33" s="80"/>
      <c r="J33" s="80"/>
    </row>
    <row r="34" spans="1:10">
      <c r="C34" s="365" t="s">
        <v>246</v>
      </c>
      <c r="D34" s="367" t="s">
        <v>261</v>
      </c>
      <c r="E34" s="367"/>
      <c r="F34" s="367"/>
      <c r="G34" s="367" t="s">
        <v>262</v>
      </c>
      <c r="H34" s="367"/>
      <c r="I34" s="367"/>
      <c r="J34" s="371"/>
    </row>
    <row r="35" spans="1:10" ht="20" thickBot="1">
      <c r="C35" s="380"/>
      <c r="D35" s="227" t="s">
        <v>43</v>
      </c>
      <c r="E35" s="227" t="s">
        <v>291</v>
      </c>
      <c r="F35" s="227" t="s">
        <v>292</v>
      </c>
      <c r="G35" s="227" t="s">
        <v>42</v>
      </c>
      <c r="H35" s="227" t="s">
        <v>291</v>
      </c>
      <c r="I35" s="227" t="s">
        <v>292</v>
      </c>
      <c r="J35" s="305" t="s">
        <v>257</v>
      </c>
    </row>
    <row r="36" spans="1:10">
      <c r="C36" s="304">
        <v>0</v>
      </c>
      <c r="D36" s="327">
        <f>Storage!$E$11+Storage!$E$15</f>
        <v>500976.5625</v>
      </c>
      <c r="E36" s="341">
        <f>'CPU (Workload)'!L16+'CPU (Workload)'!M16</f>
        <v>9638737500</v>
      </c>
      <c r="F36" s="342">
        <f>Bandwidth!V5+Bandwidth!K48</f>
        <v>18758424.682617188</v>
      </c>
      <c r="G36" s="343">
        <f>(50000*0.023+450000*0.022+($D36-500000)*0.021)</f>
        <v>11070.5078125</v>
      </c>
      <c r="H36" s="344">
        <f>($E36/1000)*0.0004</f>
        <v>3855.4950000000003</v>
      </c>
      <c r="I36" s="344">
        <v>0</v>
      </c>
      <c r="J36" s="345">
        <f>SUM(G36:I36)</f>
        <v>14926.002812500001</v>
      </c>
    </row>
    <row r="37" spans="1:10">
      <c r="C37" s="288">
        <v>1</v>
      </c>
      <c r="D37" s="333">
        <f>Storage!$E$11+Storage!$E$15</f>
        <v>500976.5625</v>
      </c>
      <c r="E37" s="346">
        <f>'CPU (Workload)'!L17+'CPU (Workload)'!M17</f>
        <v>10175293887.5</v>
      </c>
      <c r="F37" s="347">
        <f>Bandwidth!V6+Bandwidth!K49</f>
        <v>19802643.656616211</v>
      </c>
      <c r="G37" s="348">
        <f t="shared" ref="G37:G72" si="4">(50000*0.023+450000*0.022+($D37-500000)*0.021)</f>
        <v>11070.5078125</v>
      </c>
      <c r="H37" s="349">
        <f t="shared" ref="H37:H72" si="5">($E37/1000)*0.0004</f>
        <v>4070.1175549999998</v>
      </c>
      <c r="I37" s="349">
        <f t="shared" ref="I37:I72" si="6">IFERROR($F37*0,0)</f>
        <v>0</v>
      </c>
      <c r="J37" s="350">
        <f t="shared" ref="J37:J72" si="7">SUM(G37:I37)</f>
        <v>15140.625367500001</v>
      </c>
    </row>
    <row r="38" spans="1:10">
      <c r="C38" s="288">
        <v>2</v>
      </c>
      <c r="D38" s="333">
        <f>Storage!$E$11+Storage!$E$15</f>
        <v>500976.5625</v>
      </c>
      <c r="E38" s="346">
        <f>'CPU (Workload)'!L18+'CPU (Workload)'!M18</f>
        <v>10711850275</v>
      </c>
      <c r="F38" s="347">
        <f>Bandwidth!V7+Bandwidth!K50</f>
        <v>20846862.630615234</v>
      </c>
      <c r="G38" s="348">
        <f t="shared" si="4"/>
        <v>11070.5078125</v>
      </c>
      <c r="H38" s="349">
        <f t="shared" si="5"/>
        <v>4284.7401100000006</v>
      </c>
      <c r="I38" s="349">
        <f t="shared" si="6"/>
        <v>0</v>
      </c>
      <c r="J38" s="350">
        <f t="shared" si="7"/>
        <v>15355.247922500001</v>
      </c>
    </row>
    <row r="39" spans="1:10">
      <c r="C39" s="288">
        <v>3</v>
      </c>
      <c r="D39" s="333">
        <f>Storage!$E$11+Storage!$E$15</f>
        <v>500976.5625</v>
      </c>
      <c r="E39" s="346">
        <f>'CPU (Workload)'!L19+'CPU (Workload)'!M19</f>
        <v>11248406662.5</v>
      </c>
      <c r="F39" s="347">
        <f>Bandwidth!V8+Bandwidth!K51</f>
        <v>21891081.604614258</v>
      </c>
      <c r="G39" s="348">
        <f t="shared" si="4"/>
        <v>11070.5078125</v>
      </c>
      <c r="H39" s="349">
        <f t="shared" si="5"/>
        <v>4499.3626649999997</v>
      </c>
      <c r="I39" s="349">
        <f t="shared" si="6"/>
        <v>0</v>
      </c>
      <c r="J39" s="350">
        <f t="shared" si="7"/>
        <v>15569.870477500001</v>
      </c>
    </row>
    <row r="40" spans="1:10">
      <c r="C40" s="288">
        <v>4</v>
      </c>
      <c r="D40" s="333">
        <f>Storage!$E$11+Storage!$E$15</f>
        <v>500976.5625</v>
      </c>
      <c r="E40" s="346">
        <f>'CPU (Workload)'!L20+'CPU (Workload)'!M20</f>
        <v>11784963050</v>
      </c>
      <c r="F40" s="347">
        <f>Bandwidth!V9+Bandwidth!K52</f>
        <v>22935300.578613281</v>
      </c>
      <c r="G40" s="348">
        <f t="shared" si="4"/>
        <v>11070.5078125</v>
      </c>
      <c r="H40" s="349">
        <f t="shared" si="5"/>
        <v>4713.9852200000005</v>
      </c>
      <c r="I40" s="349">
        <f t="shared" si="6"/>
        <v>0</v>
      </c>
      <c r="J40" s="350">
        <f t="shared" si="7"/>
        <v>15784.4930325</v>
      </c>
    </row>
    <row r="41" spans="1:10">
      <c r="C41" s="288">
        <v>5</v>
      </c>
      <c r="D41" s="333">
        <f>Storage!$E$11+Storage!$E$15</f>
        <v>500976.5625</v>
      </c>
      <c r="E41" s="346">
        <f>'CPU (Workload)'!L21+'CPU (Workload)'!M21</f>
        <v>12321519437.5</v>
      </c>
      <c r="F41" s="347">
        <f>Bandwidth!V10+Bandwidth!K53</f>
        <v>23979519.552612305</v>
      </c>
      <c r="G41" s="348">
        <f t="shared" si="4"/>
        <v>11070.5078125</v>
      </c>
      <c r="H41" s="349">
        <f t="shared" si="5"/>
        <v>4928.6077750000004</v>
      </c>
      <c r="I41" s="349">
        <f t="shared" si="6"/>
        <v>0</v>
      </c>
      <c r="J41" s="350">
        <f t="shared" si="7"/>
        <v>15999.1155875</v>
      </c>
    </row>
    <row r="42" spans="1:10">
      <c r="C42" s="288">
        <v>6</v>
      </c>
      <c r="D42" s="333">
        <f>Storage!$E$11+Storage!$E$15</f>
        <v>500976.5625</v>
      </c>
      <c r="E42" s="346">
        <f>'CPU (Workload)'!L22+'CPU (Workload)'!M22</f>
        <v>12858075825</v>
      </c>
      <c r="F42" s="347">
        <f>Bandwidth!V11+Bandwidth!K54</f>
        <v>25023738.526611328</v>
      </c>
      <c r="G42" s="348">
        <f t="shared" si="4"/>
        <v>11070.5078125</v>
      </c>
      <c r="H42" s="349">
        <f t="shared" si="5"/>
        <v>5143.2303300000003</v>
      </c>
      <c r="I42" s="349">
        <f t="shared" si="6"/>
        <v>0</v>
      </c>
      <c r="J42" s="350">
        <f t="shared" si="7"/>
        <v>16213.7381425</v>
      </c>
    </row>
    <row r="43" spans="1:10">
      <c r="C43" s="288">
        <v>7</v>
      </c>
      <c r="D43" s="333">
        <f>Storage!$E$11+Storage!$E$15</f>
        <v>500976.5625</v>
      </c>
      <c r="E43" s="346">
        <f>'CPU (Workload)'!L23+'CPU (Workload)'!M23</f>
        <v>14999482006.25</v>
      </c>
      <c r="F43" s="347">
        <f>Bandwidth!V12+Bandwidth!K55</f>
        <v>29191235.210266113</v>
      </c>
      <c r="G43" s="348">
        <f t="shared" si="4"/>
        <v>11070.5078125</v>
      </c>
      <c r="H43" s="349">
        <f t="shared" si="5"/>
        <v>5999.7928025000001</v>
      </c>
      <c r="I43" s="349">
        <f t="shared" si="6"/>
        <v>0</v>
      </c>
      <c r="J43" s="350">
        <f t="shared" si="7"/>
        <v>17070.300615</v>
      </c>
    </row>
    <row r="44" spans="1:10">
      <c r="C44" s="288">
        <v>8</v>
      </c>
      <c r="D44" s="333">
        <f>Storage!$E$11+Storage!$E$15</f>
        <v>500976.5625</v>
      </c>
      <c r="E44" s="346">
        <f>'CPU (Workload)'!L24+'CPU (Workload)'!M24</f>
        <v>17140888187.5</v>
      </c>
      <c r="F44" s="347">
        <f>Bandwidth!V13+Bandwidth!K56</f>
        <v>33358731.893920898</v>
      </c>
      <c r="G44" s="348">
        <f t="shared" si="4"/>
        <v>11070.5078125</v>
      </c>
      <c r="H44" s="349">
        <f t="shared" si="5"/>
        <v>6856.3552749999999</v>
      </c>
      <c r="I44" s="349">
        <f t="shared" si="6"/>
        <v>0</v>
      </c>
      <c r="J44" s="350">
        <f t="shared" si="7"/>
        <v>17926.863087500002</v>
      </c>
    </row>
    <row r="45" spans="1:10">
      <c r="C45" s="288">
        <v>9</v>
      </c>
      <c r="D45" s="333">
        <f>Storage!$E$11+Storage!$E$15</f>
        <v>500976.5625</v>
      </c>
      <c r="E45" s="346">
        <f>'CPU (Workload)'!L25+'CPU (Workload)'!M25</f>
        <v>19282294368.75</v>
      </c>
      <c r="F45" s="347">
        <f>Bandwidth!V14+Bandwidth!K57</f>
        <v>37526228.577575684</v>
      </c>
      <c r="G45" s="348">
        <f t="shared" si="4"/>
        <v>11070.5078125</v>
      </c>
      <c r="H45" s="349">
        <f t="shared" si="5"/>
        <v>7712.9177474999997</v>
      </c>
      <c r="I45" s="349">
        <f t="shared" si="6"/>
        <v>0</v>
      </c>
      <c r="J45" s="350">
        <f t="shared" si="7"/>
        <v>18783.42556</v>
      </c>
    </row>
    <row r="46" spans="1:10">
      <c r="C46" s="288">
        <v>10</v>
      </c>
      <c r="D46" s="333">
        <f>Storage!$E$11+Storage!$E$15</f>
        <v>500976.5625</v>
      </c>
      <c r="E46" s="346">
        <f>'CPU (Workload)'!L26+'CPU (Workload)'!M26</f>
        <v>21423700550</v>
      </c>
      <c r="F46" s="347">
        <f>Bandwidth!V15+Bandwidth!K58</f>
        <v>41693725.261230469</v>
      </c>
      <c r="G46" s="348">
        <f t="shared" si="4"/>
        <v>11070.5078125</v>
      </c>
      <c r="H46" s="349">
        <f t="shared" si="5"/>
        <v>8569.4802200000013</v>
      </c>
      <c r="I46" s="349">
        <f t="shared" si="6"/>
        <v>0</v>
      </c>
      <c r="J46" s="350">
        <f t="shared" si="7"/>
        <v>19639.988032500001</v>
      </c>
    </row>
    <row r="47" spans="1:10">
      <c r="C47" s="288">
        <v>11</v>
      </c>
      <c r="D47" s="333">
        <f>Storage!$E$11+Storage!$E$15</f>
        <v>500976.5625</v>
      </c>
      <c r="E47" s="346">
        <f>'CPU (Workload)'!L27+'CPU (Workload)'!M27</f>
        <v>23565106731.25</v>
      </c>
      <c r="F47" s="347">
        <f>Bandwidth!V16+Bandwidth!K59</f>
        <v>45861221.944885254</v>
      </c>
      <c r="G47" s="348">
        <f t="shared" si="4"/>
        <v>11070.5078125</v>
      </c>
      <c r="H47" s="349">
        <f t="shared" si="5"/>
        <v>9426.0426924999992</v>
      </c>
      <c r="I47" s="349">
        <f t="shared" si="6"/>
        <v>0</v>
      </c>
      <c r="J47" s="350">
        <f t="shared" si="7"/>
        <v>20496.550504999999</v>
      </c>
    </row>
    <row r="48" spans="1:10">
      <c r="C48" s="288">
        <v>12</v>
      </c>
      <c r="D48" s="333">
        <f>Storage!$E$11+Storage!$E$15</f>
        <v>500976.5625</v>
      </c>
      <c r="E48" s="346">
        <f>'CPU (Workload)'!L28+'CPU (Workload)'!M28</f>
        <v>25706512912.5</v>
      </c>
      <c r="F48" s="347">
        <f>Bandwidth!V17+Bandwidth!K60</f>
        <v>50028718.628540039</v>
      </c>
      <c r="G48" s="348">
        <f t="shared" si="4"/>
        <v>11070.5078125</v>
      </c>
      <c r="H48" s="349">
        <f t="shared" si="5"/>
        <v>10282.605165000001</v>
      </c>
      <c r="I48" s="349">
        <f t="shared" si="6"/>
        <v>0</v>
      </c>
      <c r="J48" s="350">
        <f t="shared" si="7"/>
        <v>21353.112977500001</v>
      </c>
    </row>
    <row r="49" spans="3:10">
      <c r="C49" s="288">
        <v>13</v>
      </c>
      <c r="D49" s="333">
        <f>Storage!$E$11+Storage!$E$15</f>
        <v>500976.5625</v>
      </c>
      <c r="E49" s="346">
        <f>'CPU (Workload)'!L29+'CPU (Workload)'!M29</f>
        <v>27133046062.5</v>
      </c>
      <c r="F49" s="347">
        <f>Bandwidth!V18+Bandwidth!K61</f>
        <v>52804965.481567383</v>
      </c>
      <c r="G49" s="348">
        <f t="shared" si="4"/>
        <v>11070.5078125</v>
      </c>
      <c r="H49" s="349">
        <f t="shared" si="5"/>
        <v>10853.218425000001</v>
      </c>
      <c r="I49" s="349">
        <f t="shared" si="6"/>
        <v>0</v>
      </c>
      <c r="J49" s="350">
        <f t="shared" si="7"/>
        <v>21923.726237499999</v>
      </c>
    </row>
    <row r="50" spans="3:10">
      <c r="C50" s="288">
        <v>14</v>
      </c>
      <c r="D50" s="333">
        <f>Storage!$E$11+Storage!$E$15</f>
        <v>500976.5625</v>
      </c>
      <c r="E50" s="346">
        <f>'CPU (Workload)'!L30+'CPU (Workload)'!M30</f>
        <v>28559579212.5</v>
      </c>
      <c r="F50" s="347">
        <f>Bandwidth!V19+Bandwidth!K62</f>
        <v>55581212.334594727</v>
      </c>
      <c r="G50" s="348">
        <f t="shared" si="4"/>
        <v>11070.5078125</v>
      </c>
      <c r="H50" s="349">
        <f t="shared" si="5"/>
        <v>11423.831684999999</v>
      </c>
      <c r="I50" s="349">
        <f t="shared" si="6"/>
        <v>0</v>
      </c>
      <c r="J50" s="350">
        <f t="shared" si="7"/>
        <v>22494.339497499997</v>
      </c>
    </row>
    <row r="51" spans="3:10">
      <c r="C51" s="288">
        <v>15</v>
      </c>
      <c r="D51" s="333">
        <f>Storage!$E$11+Storage!$E$15</f>
        <v>500976.5625</v>
      </c>
      <c r="E51" s="346">
        <f>'CPU (Workload)'!L31+'CPU (Workload)'!M31</f>
        <v>29986112362.5</v>
      </c>
      <c r="F51" s="347">
        <f>Bandwidth!V20+Bandwidth!K63</f>
        <v>58357459.18762207</v>
      </c>
      <c r="G51" s="348">
        <f t="shared" si="4"/>
        <v>11070.5078125</v>
      </c>
      <c r="H51" s="349">
        <f t="shared" si="5"/>
        <v>11994.444945000001</v>
      </c>
      <c r="I51" s="349">
        <f t="shared" si="6"/>
        <v>0</v>
      </c>
      <c r="J51" s="350">
        <f t="shared" si="7"/>
        <v>23064.952757500003</v>
      </c>
    </row>
    <row r="52" spans="3:10">
      <c r="C52" s="288">
        <v>16</v>
      </c>
      <c r="D52" s="333">
        <f>Storage!$E$11+Storage!$E$15</f>
        <v>500976.5625</v>
      </c>
      <c r="E52" s="346">
        <f>'CPU (Workload)'!L32+'CPU (Workload)'!M32</f>
        <v>31412645512.5</v>
      </c>
      <c r="F52" s="347">
        <f>Bandwidth!V21+Bandwidth!K64</f>
        <v>61133706.040649414</v>
      </c>
      <c r="G52" s="348">
        <f t="shared" si="4"/>
        <v>11070.5078125</v>
      </c>
      <c r="H52" s="349">
        <f t="shared" si="5"/>
        <v>12565.058205000001</v>
      </c>
      <c r="I52" s="349">
        <f t="shared" si="6"/>
        <v>0</v>
      </c>
      <c r="J52" s="350">
        <f t="shared" si="7"/>
        <v>23635.566017500001</v>
      </c>
    </row>
    <row r="53" spans="3:10">
      <c r="C53" s="288">
        <v>17</v>
      </c>
      <c r="D53" s="333">
        <f>Storage!$E$11+Storage!$E$15</f>
        <v>500976.5625</v>
      </c>
      <c r="E53" s="346">
        <f>'CPU (Workload)'!L33+'CPU (Workload)'!M33</f>
        <v>32839178662.5</v>
      </c>
      <c r="F53" s="347">
        <f>Bandwidth!V22+Bandwidth!K65</f>
        <v>63909952.893676758</v>
      </c>
      <c r="G53" s="348">
        <f t="shared" si="4"/>
        <v>11070.5078125</v>
      </c>
      <c r="H53" s="349">
        <f t="shared" si="5"/>
        <v>13135.671465000001</v>
      </c>
      <c r="I53" s="349">
        <f t="shared" si="6"/>
        <v>0</v>
      </c>
      <c r="J53" s="350">
        <f t="shared" si="7"/>
        <v>24206.179277499999</v>
      </c>
    </row>
    <row r="54" spans="3:10">
      <c r="C54" s="288">
        <v>18</v>
      </c>
      <c r="D54" s="333">
        <f>Storage!$E$11+Storage!$E$15</f>
        <v>500976.5625</v>
      </c>
      <c r="E54" s="346">
        <f>'CPU (Workload)'!L34+'CPU (Workload)'!M34</f>
        <v>34265711812.5</v>
      </c>
      <c r="F54" s="347">
        <f>Bandwidth!V23+Bandwidth!K66</f>
        <v>66686199.746704102</v>
      </c>
      <c r="G54" s="348">
        <f t="shared" si="4"/>
        <v>11070.5078125</v>
      </c>
      <c r="H54" s="349">
        <f t="shared" si="5"/>
        <v>13706.284725000001</v>
      </c>
      <c r="I54" s="349">
        <f t="shared" si="6"/>
        <v>0</v>
      </c>
      <c r="J54" s="350">
        <f t="shared" si="7"/>
        <v>24776.792537500001</v>
      </c>
    </row>
    <row r="55" spans="3:10">
      <c r="C55" s="288">
        <v>19</v>
      </c>
      <c r="D55" s="333">
        <f>Storage!$E$11+Storage!$E$15</f>
        <v>500976.5625</v>
      </c>
      <c r="E55" s="346">
        <f>'CPU (Workload)'!L35+'CPU (Workload)'!M35</f>
        <v>38707563343.75</v>
      </c>
      <c r="F55" s="347">
        <f>Bandwidth!V24+Bandwidth!K67</f>
        <v>75330707.121276855</v>
      </c>
      <c r="G55" s="348">
        <f t="shared" si="4"/>
        <v>11070.5078125</v>
      </c>
      <c r="H55" s="349">
        <f t="shared" si="5"/>
        <v>15483.025337500001</v>
      </c>
      <c r="I55" s="349">
        <f t="shared" si="6"/>
        <v>0</v>
      </c>
      <c r="J55" s="350">
        <f t="shared" si="7"/>
        <v>26553.533150000003</v>
      </c>
    </row>
    <row r="56" spans="3:10">
      <c r="C56" s="288">
        <v>20</v>
      </c>
      <c r="D56" s="333">
        <f>Storage!$E$11+Storage!$E$15</f>
        <v>500976.5625</v>
      </c>
      <c r="E56" s="346">
        <f>'CPU (Workload)'!L36+'CPU (Workload)'!M36</f>
        <v>43149414875</v>
      </c>
      <c r="F56" s="347">
        <f>Bandwidth!V25+Bandwidth!K68</f>
        <v>83975214.495849624</v>
      </c>
      <c r="G56" s="348">
        <f t="shared" si="4"/>
        <v>11070.5078125</v>
      </c>
      <c r="H56" s="349">
        <f t="shared" si="5"/>
        <v>17259.765950000001</v>
      </c>
      <c r="I56" s="349">
        <f t="shared" si="6"/>
        <v>0</v>
      </c>
      <c r="J56" s="350">
        <f t="shared" si="7"/>
        <v>28330.273762500001</v>
      </c>
    </row>
    <row r="57" spans="3:10">
      <c r="C57" s="288">
        <v>21</v>
      </c>
      <c r="D57" s="333">
        <f>Storage!$E$11+Storage!$E$15</f>
        <v>500976.5625</v>
      </c>
      <c r="E57" s="346">
        <f>'CPU (Workload)'!L37+'CPU (Workload)'!M37</f>
        <v>47591266406.25</v>
      </c>
      <c r="F57" s="347">
        <f>Bandwidth!V26+Bandwidth!K69</f>
        <v>92619721.870422363</v>
      </c>
      <c r="G57" s="348">
        <f t="shared" si="4"/>
        <v>11070.5078125</v>
      </c>
      <c r="H57" s="349">
        <f t="shared" si="5"/>
        <v>19036.506562500002</v>
      </c>
      <c r="I57" s="349">
        <f t="shared" si="6"/>
        <v>0</v>
      </c>
      <c r="J57" s="350">
        <f t="shared" si="7"/>
        <v>30107.014375000002</v>
      </c>
    </row>
    <row r="58" spans="3:10">
      <c r="C58" s="288">
        <v>22</v>
      </c>
      <c r="D58" s="333">
        <f>Storage!$E$11+Storage!$E$15</f>
        <v>500976.5625</v>
      </c>
      <c r="E58" s="346">
        <f>'CPU (Workload)'!L38+'CPU (Workload)'!M38</f>
        <v>52033117937.5</v>
      </c>
      <c r="F58" s="347">
        <f>Bandwidth!V27+Bandwidth!K70</f>
        <v>101264229.24499512</v>
      </c>
      <c r="G58" s="348">
        <f t="shared" si="4"/>
        <v>11070.5078125</v>
      </c>
      <c r="H58" s="349">
        <f t="shared" si="5"/>
        <v>20813.247175</v>
      </c>
      <c r="I58" s="349">
        <f t="shared" si="6"/>
        <v>0</v>
      </c>
      <c r="J58" s="350">
        <f t="shared" si="7"/>
        <v>31883.7549875</v>
      </c>
    </row>
    <row r="59" spans="3:10">
      <c r="C59" s="288">
        <v>23</v>
      </c>
      <c r="D59" s="333">
        <f>Storage!$E$11+Storage!$E$15</f>
        <v>500976.5625</v>
      </c>
      <c r="E59" s="346">
        <f>'CPU (Workload)'!L39+'CPU (Workload)'!M39</f>
        <v>56474969468.75</v>
      </c>
      <c r="F59" s="347">
        <f>Bandwidth!V28+Bandwidth!K71</f>
        <v>109908736.61956787</v>
      </c>
      <c r="G59" s="348">
        <f t="shared" si="4"/>
        <v>11070.5078125</v>
      </c>
      <c r="H59" s="349">
        <f t="shared" si="5"/>
        <v>22589.987787500002</v>
      </c>
      <c r="I59" s="349">
        <f t="shared" si="6"/>
        <v>0</v>
      </c>
      <c r="J59" s="350">
        <f t="shared" si="7"/>
        <v>33660.495600000002</v>
      </c>
    </row>
    <row r="60" spans="3:10">
      <c r="C60" s="288">
        <v>24</v>
      </c>
      <c r="D60" s="333">
        <f>Storage!$E$11+Storage!$E$15</f>
        <v>500976.5625</v>
      </c>
      <c r="E60" s="346">
        <f>'CPU (Workload)'!L40+'CPU (Workload)'!M40</f>
        <v>60916821000</v>
      </c>
      <c r="F60" s="347">
        <f>Bandwidth!V29+Bandwidth!K72</f>
        <v>118553243.99414062</v>
      </c>
      <c r="G60" s="348">
        <f t="shared" si="4"/>
        <v>11070.5078125</v>
      </c>
      <c r="H60" s="349">
        <f t="shared" si="5"/>
        <v>24366.7284</v>
      </c>
      <c r="I60" s="349">
        <f t="shared" si="6"/>
        <v>0</v>
      </c>
      <c r="J60" s="350">
        <f t="shared" si="7"/>
        <v>35437.2362125</v>
      </c>
    </row>
    <row r="61" spans="3:10">
      <c r="C61" s="288">
        <v>25</v>
      </c>
      <c r="D61" s="333">
        <f>Storage!$E$11+Storage!$E$15</f>
        <v>500976.5625</v>
      </c>
      <c r="E61" s="346">
        <f>'CPU (Workload)'!L41+'CPU (Workload)'!M41</f>
        <v>64303230775</v>
      </c>
      <c r="F61" s="347">
        <f>Bandwidth!V30+Bandwidth!K73</f>
        <v>125143703.8659668</v>
      </c>
      <c r="G61" s="348">
        <f t="shared" si="4"/>
        <v>11070.5078125</v>
      </c>
      <c r="H61" s="349">
        <f t="shared" si="5"/>
        <v>25721.292310000001</v>
      </c>
      <c r="I61" s="349">
        <f t="shared" si="6"/>
        <v>0</v>
      </c>
      <c r="J61" s="350">
        <f t="shared" si="7"/>
        <v>36791.800122500004</v>
      </c>
    </row>
    <row r="62" spans="3:10">
      <c r="C62" s="288">
        <v>26</v>
      </c>
      <c r="D62" s="333">
        <f>Storage!$E$11+Storage!$E$15</f>
        <v>500976.5625</v>
      </c>
      <c r="E62" s="346">
        <f>'CPU (Workload)'!L42+'CPU (Workload)'!M42</f>
        <v>67689640550</v>
      </c>
      <c r="F62" s="347">
        <f>Bandwidth!V31+Bandwidth!K74</f>
        <v>131734163.73779297</v>
      </c>
      <c r="G62" s="348">
        <f t="shared" si="4"/>
        <v>11070.5078125</v>
      </c>
      <c r="H62" s="349">
        <f t="shared" si="5"/>
        <v>27075.856220000001</v>
      </c>
      <c r="I62" s="349">
        <f t="shared" si="6"/>
        <v>0</v>
      </c>
      <c r="J62" s="350">
        <f t="shared" si="7"/>
        <v>38146.364032500001</v>
      </c>
    </row>
    <row r="63" spans="3:10">
      <c r="C63" s="288">
        <v>27</v>
      </c>
      <c r="D63" s="333">
        <f>Storage!$E$11+Storage!$E$15</f>
        <v>500976.5625</v>
      </c>
      <c r="E63" s="346">
        <f>'CPU (Workload)'!L43+'CPU (Workload)'!M43</f>
        <v>71076050325</v>
      </c>
      <c r="F63" s="347">
        <f>Bandwidth!V32+Bandwidth!K75</f>
        <v>138324623.60961914</v>
      </c>
      <c r="G63" s="348">
        <f t="shared" si="4"/>
        <v>11070.5078125</v>
      </c>
      <c r="H63" s="349">
        <f t="shared" si="5"/>
        <v>28430.420130000002</v>
      </c>
      <c r="I63" s="349">
        <f t="shared" si="6"/>
        <v>0</v>
      </c>
      <c r="J63" s="350">
        <f t="shared" si="7"/>
        <v>39500.927942499999</v>
      </c>
    </row>
    <row r="64" spans="3:10">
      <c r="C64" s="288">
        <v>28</v>
      </c>
      <c r="D64" s="333">
        <f>Storage!$E$11+Storage!$E$15</f>
        <v>500976.5625</v>
      </c>
      <c r="E64" s="346">
        <f>'CPU (Workload)'!L44+'CPU (Workload)'!M44</f>
        <v>74462460100</v>
      </c>
      <c r="F64" s="347">
        <f>Bandwidth!V33+Bandwidth!K76</f>
        <v>144915083.48144531</v>
      </c>
      <c r="G64" s="348">
        <f t="shared" si="4"/>
        <v>11070.5078125</v>
      </c>
      <c r="H64" s="349">
        <f t="shared" si="5"/>
        <v>29784.984039999999</v>
      </c>
      <c r="I64" s="349">
        <f t="shared" si="6"/>
        <v>0</v>
      </c>
      <c r="J64" s="350">
        <f t="shared" si="7"/>
        <v>40855.491852499996</v>
      </c>
    </row>
    <row r="65" spans="1:10">
      <c r="C65" s="288">
        <v>29</v>
      </c>
      <c r="D65" s="333">
        <f>Storage!$E$11+Storage!$E$15</f>
        <v>500976.5625</v>
      </c>
      <c r="E65" s="346">
        <f>'CPU (Workload)'!L45+'CPU (Workload)'!M45</f>
        <v>77848869875</v>
      </c>
      <c r="F65" s="347">
        <f>Bandwidth!V34+Bandwidth!K77</f>
        <v>151505543.35327148</v>
      </c>
      <c r="G65" s="348">
        <f t="shared" si="4"/>
        <v>11070.5078125</v>
      </c>
      <c r="H65" s="349">
        <f t="shared" si="5"/>
        <v>31139.54795</v>
      </c>
      <c r="I65" s="349">
        <f t="shared" si="6"/>
        <v>0</v>
      </c>
      <c r="J65" s="350">
        <f t="shared" si="7"/>
        <v>42210.0557625</v>
      </c>
    </row>
    <row r="66" spans="1:10">
      <c r="C66" s="288">
        <v>30</v>
      </c>
      <c r="D66" s="333">
        <f>Storage!$E$11+Storage!$E$15</f>
        <v>500976.5625</v>
      </c>
      <c r="E66" s="346">
        <f>'CPU (Workload)'!L46+'CPU (Workload)'!M46</f>
        <v>81235279650</v>
      </c>
      <c r="F66" s="347">
        <f>Bandwidth!V35+Bandwidth!K78</f>
        <v>158096003.22509766</v>
      </c>
      <c r="G66" s="348">
        <f t="shared" si="4"/>
        <v>11070.5078125</v>
      </c>
      <c r="H66" s="349">
        <f t="shared" si="5"/>
        <v>32494.111860000005</v>
      </c>
      <c r="I66" s="349">
        <f t="shared" si="6"/>
        <v>0</v>
      </c>
      <c r="J66" s="350">
        <f t="shared" si="7"/>
        <v>43564.619672500005</v>
      </c>
    </row>
    <row r="67" spans="1:10">
      <c r="C67" s="288">
        <v>31</v>
      </c>
      <c r="D67" s="333">
        <f>Storage!$E$11+Storage!$E$15</f>
        <v>500976.5625</v>
      </c>
      <c r="E67" s="346">
        <f>'CPU (Workload)'!L47+'CPU (Workload)'!M47</f>
        <v>85746208800</v>
      </c>
      <c r="F67" s="347">
        <f>Bandwidth!V36+Bandwidth!K79</f>
        <v>166874945.9765625</v>
      </c>
      <c r="G67" s="348">
        <f t="shared" si="4"/>
        <v>11070.5078125</v>
      </c>
      <c r="H67" s="349">
        <f t="shared" si="5"/>
        <v>34298.483520000002</v>
      </c>
      <c r="I67" s="349">
        <f t="shared" si="6"/>
        <v>0</v>
      </c>
      <c r="J67" s="350">
        <f t="shared" si="7"/>
        <v>45368.991332500002</v>
      </c>
    </row>
    <row r="68" spans="1:10">
      <c r="C68" s="288">
        <v>32</v>
      </c>
      <c r="D68" s="333">
        <f>Storage!$E$11+Storage!$E$15</f>
        <v>500976.5625</v>
      </c>
      <c r="E68" s="346">
        <f>'CPU (Workload)'!L48+'CPU (Workload)'!M48</f>
        <v>90257137950</v>
      </c>
      <c r="F68" s="347">
        <f>Bandwidth!V37+Bandwidth!K80</f>
        <v>175653888.72802737</v>
      </c>
      <c r="G68" s="348">
        <f t="shared" si="4"/>
        <v>11070.5078125</v>
      </c>
      <c r="H68" s="349">
        <f t="shared" si="5"/>
        <v>36102.855180000006</v>
      </c>
      <c r="I68" s="349">
        <f t="shared" si="6"/>
        <v>0</v>
      </c>
      <c r="J68" s="350">
        <f t="shared" si="7"/>
        <v>47173.362992500006</v>
      </c>
    </row>
    <row r="69" spans="1:10">
      <c r="C69" s="288">
        <v>33</v>
      </c>
      <c r="D69" s="333">
        <f>Storage!$E$11+Storage!$E$15</f>
        <v>500976.5625</v>
      </c>
      <c r="E69" s="346">
        <f>'CPU (Workload)'!L49+'CPU (Workload)'!M49</f>
        <v>94768067100</v>
      </c>
      <c r="F69" s="347">
        <f>Bandwidth!V38+Bandwidth!K81</f>
        <v>184432831.47949219</v>
      </c>
      <c r="G69" s="348">
        <f t="shared" si="4"/>
        <v>11070.5078125</v>
      </c>
      <c r="H69" s="349">
        <f t="shared" si="5"/>
        <v>37907.226840000003</v>
      </c>
      <c r="I69" s="349">
        <f t="shared" si="6"/>
        <v>0</v>
      </c>
      <c r="J69" s="350">
        <f t="shared" si="7"/>
        <v>48977.734652500003</v>
      </c>
    </row>
    <row r="70" spans="1:10">
      <c r="C70" s="288">
        <v>34</v>
      </c>
      <c r="D70" s="333">
        <f>Storage!$E$11+Storage!$E$15</f>
        <v>500976.5625</v>
      </c>
      <c r="E70" s="346">
        <f>'CPU (Workload)'!L50+'CPU (Workload)'!M50</f>
        <v>99278996250</v>
      </c>
      <c r="F70" s="347">
        <f>Bandwidth!V39+Bandwidth!K82</f>
        <v>193211774.23095703</v>
      </c>
      <c r="G70" s="348">
        <f t="shared" si="4"/>
        <v>11070.5078125</v>
      </c>
      <c r="H70" s="349">
        <f t="shared" si="5"/>
        <v>39711.5985</v>
      </c>
      <c r="I70" s="349">
        <f t="shared" si="6"/>
        <v>0</v>
      </c>
      <c r="J70" s="350">
        <f t="shared" si="7"/>
        <v>50782.1063125</v>
      </c>
    </row>
    <row r="71" spans="1:10">
      <c r="C71" s="288">
        <v>35</v>
      </c>
      <c r="D71" s="333">
        <f>Storage!$E$11+Storage!$E$15</f>
        <v>500976.5625</v>
      </c>
      <c r="E71" s="346">
        <f>'CPU (Workload)'!L51+'CPU (Workload)'!M51</f>
        <v>103789925400</v>
      </c>
      <c r="F71" s="347">
        <f>Bandwidth!V40+Bandwidth!K83</f>
        <v>201990716.98242188</v>
      </c>
      <c r="G71" s="348">
        <f t="shared" si="4"/>
        <v>11070.5078125</v>
      </c>
      <c r="H71" s="349">
        <f t="shared" si="5"/>
        <v>41515.970160000004</v>
      </c>
      <c r="I71" s="349">
        <f t="shared" si="6"/>
        <v>0</v>
      </c>
      <c r="J71" s="350">
        <f t="shared" si="7"/>
        <v>52586.477972500004</v>
      </c>
    </row>
    <row r="72" spans="1:10" ht="17" thickBot="1">
      <c r="C72" s="289">
        <v>36</v>
      </c>
      <c r="D72" s="340">
        <f>Storage!$E$11+Storage!$E$15</f>
        <v>500976.5625</v>
      </c>
      <c r="E72" s="351">
        <f>'CPU (Workload)'!L52+'CPU (Workload)'!M52</f>
        <v>108300854550</v>
      </c>
      <c r="F72" s="352">
        <f>Bandwidth!V41+Bandwidth!K84</f>
        <v>210769659.73388672</v>
      </c>
      <c r="G72" s="353">
        <f t="shared" si="4"/>
        <v>11070.5078125</v>
      </c>
      <c r="H72" s="354">
        <f t="shared" si="5"/>
        <v>43320.341820000001</v>
      </c>
      <c r="I72" s="354">
        <f t="shared" si="6"/>
        <v>0</v>
      </c>
      <c r="J72" s="355">
        <f t="shared" si="7"/>
        <v>54390.849632500001</v>
      </c>
    </row>
    <row r="74" spans="1:10">
      <c r="C74" t="s">
        <v>258</v>
      </c>
    </row>
    <row r="75" spans="1:10">
      <c r="C75" t="s">
        <v>279</v>
      </c>
    </row>
    <row r="77" spans="1:10" ht="22" thickBot="1">
      <c r="A77" s="44" t="s">
        <v>268</v>
      </c>
      <c r="B77" t="s">
        <v>286</v>
      </c>
      <c r="C77" s="9" t="s">
        <v>277</v>
      </c>
      <c r="G77" s="402"/>
      <c r="H77" s="72"/>
      <c r="I77" s="72"/>
    </row>
    <row r="78" spans="1:10" ht="17" thickBot="1">
      <c r="B78" t="s">
        <v>272</v>
      </c>
      <c r="C78" s="275" t="s">
        <v>44</v>
      </c>
      <c r="D78" s="263" t="s">
        <v>45</v>
      </c>
      <c r="E78" s="428" t="s">
        <v>46</v>
      </c>
      <c r="G78" s="216"/>
      <c r="H78" s="216"/>
      <c r="I78" s="216"/>
    </row>
    <row r="79" spans="1:10" ht="17" thickBot="1">
      <c r="B79" t="s">
        <v>287</v>
      </c>
      <c r="C79" s="429">
        <f>N84+N124</f>
        <v>145300.02000000002</v>
      </c>
      <c r="D79" s="430">
        <f>O84+O124</f>
        <v>344543.76</v>
      </c>
      <c r="E79" s="431">
        <f>P84+P124</f>
        <v>722149.79999999993</v>
      </c>
      <c r="G79" s="400"/>
      <c r="H79" s="400"/>
      <c r="I79" s="401"/>
    </row>
    <row r="80" spans="1:10">
      <c r="B80" t="s">
        <v>318</v>
      </c>
    </row>
    <row r="81" spans="1:22" ht="17" thickBot="1">
      <c r="B81" s="359" t="s">
        <v>319</v>
      </c>
    </row>
    <row r="82" spans="1:22" ht="17" thickBot="1">
      <c r="C82" s="365" t="s">
        <v>246</v>
      </c>
      <c r="D82" s="224" t="s">
        <v>269</v>
      </c>
      <c r="E82" s="224"/>
      <c r="F82" s="224"/>
      <c r="G82" s="224"/>
      <c r="H82" s="367" t="s">
        <v>270</v>
      </c>
      <c r="I82" s="367"/>
      <c r="J82" s="367" t="s">
        <v>275</v>
      </c>
      <c r="K82" s="367"/>
      <c r="L82" s="370" t="s">
        <v>283</v>
      </c>
      <c r="M82" s="215"/>
      <c r="N82" t="s">
        <v>284</v>
      </c>
      <c r="S82" s="12"/>
      <c r="T82" s="72"/>
      <c r="U82" s="72"/>
      <c r="V82" s="72"/>
    </row>
    <row r="83" spans="1:22" ht="20" thickBot="1">
      <c r="A83" s="31" t="s">
        <v>176</v>
      </c>
      <c r="B83" t="s">
        <v>356</v>
      </c>
      <c r="C83" s="380"/>
      <c r="D83" s="227" t="s">
        <v>108</v>
      </c>
      <c r="E83" s="227" t="s">
        <v>0</v>
      </c>
      <c r="F83" s="227" t="s">
        <v>217</v>
      </c>
      <c r="G83" s="227" t="s">
        <v>280</v>
      </c>
      <c r="H83" s="227" t="s">
        <v>271</v>
      </c>
      <c r="I83" s="312" t="s">
        <v>67</v>
      </c>
      <c r="J83" s="227" t="s">
        <v>276</v>
      </c>
      <c r="K83" s="227" t="s">
        <v>67</v>
      </c>
      <c r="L83" s="412"/>
      <c r="M83" s="216"/>
      <c r="N83" s="275" t="s">
        <v>44</v>
      </c>
      <c r="O83" s="263" t="s">
        <v>45</v>
      </c>
      <c r="P83" s="428" t="s">
        <v>46</v>
      </c>
      <c r="S83" s="12"/>
      <c r="T83" s="216"/>
      <c r="U83" s="216"/>
      <c r="V83" s="216"/>
    </row>
    <row r="84" spans="1:22" ht="17" thickBot="1">
      <c r="C84" s="292">
        <v>0</v>
      </c>
      <c r="D84" s="320">
        <f>'CPU (Workload)'!G16</f>
        <v>5763.541666666667</v>
      </c>
      <c r="E84" s="321">
        <f>Memory!I88</f>
        <v>0.40934244791666674</v>
      </c>
      <c r="F84" s="321">
        <f>Bandwidth!I88</f>
        <v>3.2747395833333339</v>
      </c>
      <c r="G84" s="322">
        <v>512</v>
      </c>
      <c r="H84" s="399">
        <f>ROUNDUP(MAX($D84/gen_xl_tps80,$E84/gen_xl_ram,$F84/7.5),0)*2</f>
        <v>4</v>
      </c>
      <c r="I84" s="323">
        <f>H84*93.81</f>
        <v>375.24</v>
      </c>
      <c r="J84" s="324">
        <f>H84*G84</f>
        <v>2048</v>
      </c>
      <c r="K84" s="325">
        <f>J84*0.1</f>
        <v>204.8</v>
      </c>
      <c r="L84" s="326">
        <f>SUM(I84+K84)</f>
        <v>580.04</v>
      </c>
      <c r="M84" s="411"/>
      <c r="N84" s="429">
        <f>SUM(L84:L96)</f>
        <v>11310.78</v>
      </c>
      <c r="O84" s="430">
        <f>SUM(L97:L108)</f>
        <v>24941.72</v>
      </c>
      <c r="P84" s="431">
        <f>SUM(L109:L120)</f>
        <v>50463.479999999996</v>
      </c>
      <c r="S84" s="12"/>
      <c r="T84" s="400"/>
      <c r="U84" s="400"/>
      <c r="V84" s="401"/>
    </row>
    <row r="85" spans="1:22">
      <c r="C85" s="290">
        <v>1</v>
      </c>
      <c r="D85" s="168">
        <f>'CPU (Workload)'!G17</f>
        <v>6084.3788194444442</v>
      </c>
      <c r="E85" s="166">
        <f>Memory!I89</f>
        <v>0.43212917751736113</v>
      </c>
      <c r="F85" s="166">
        <f>Bandwidth!I89</f>
        <v>3.457033420138889</v>
      </c>
      <c r="G85" s="328">
        <v>512</v>
      </c>
      <c r="H85" s="329">
        <f>ROUNDUP(MAX($D85/gen_xl_tps80,$E85/gen_xl_ram,$F85/7.5),0)*2</f>
        <v>4</v>
      </c>
      <c r="I85" s="330">
        <f t="shared" ref="I85:I120" si="8">H85*93.81</f>
        <v>375.24</v>
      </c>
      <c r="J85" s="167">
        <f>H85*G85</f>
        <v>2048</v>
      </c>
      <c r="K85" s="331">
        <f t="shared" ref="K85:K120" si="9">J85*0.1</f>
        <v>204.8</v>
      </c>
      <c r="L85" s="332">
        <f t="shared" ref="L85:L120" si="10">SUM(I85+K85)</f>
        <v>580.04</v>
      </c>
      <c r="M85" s="411"/>
      <c r="N85" s="303"/>
      <c r="O85" s="299"/>
      <c r="P85" s="12"/>
      <c r="Q85" s="299"/>
    </row>
    <row r="86" spans="1:22">
      <c r="C86" s="290">
        <v>2</v>
      </c>
      <c r="D86" s="168">
        <f>'CPU (Workload)'!G18</f>
        <v>6405.2159722222223</v>
      </c>
      <c r="E86" s="166">
        <f>Memory!I90</f>
        <v>0.45491590711805552</v>
      </c>
      <c r="F86" s="166">
        <f>Bandwidth!I90</f>
        <v>3.6393272569444441</v>
      </c>
      <c r="G86" s="328">
        <v>512</v>
      </c>
      <c r="H86" s="329">
        <f>ROUNDUP(MAX($D86/gen_xl_tps80,$E86/gen_xl_ram,$F86/7.5),0)*2</f>
        <v>4</v>
      </c>
      <c r="I86" s="330">
        <f t="shared" si="8"/>
        <v>375.24</v>
      </c>
      <c r="J86" s="167">
        <f t="shared" ref="J86:J120" si="11">H86*G86</f>
        <v>2048</v>
      </c>
      <c r="K86" s="331">
        <f t="shared" si="9"/>
        <v>204.8</v>
      </c>
      <c r="L86" s="332">
        <f t="shared" si="10"/>
        <v>580.04</v>
      </c>
      <c r="M86" s="411"/>
      <c r="N86" s="303"/>
      <c r="O86" s="299"/>
      <c r="P86" s="12"/>
      <c r="Q86" s="299"/>
    </row>
    <row r="87" spans="1:22">
      <c r="C87" s="290">
        <v>3</v>
      </c>
      <c r="D87" s="168">
        <f>'CPU (Workload)'!G19</f>
        <v>6726.0531250000004</v>
      </c>
      <c r="E87" s="166">
        <f>Memory!I91</f>
        <v>0.47770263671875002</v>
      </c>
      <c r="F87" s="166">
        <f>Bandwidth!I91</f>
        <v>3.8216210937500001</v>
      </c>
      <c r="G87" s="328">
        <v>512</v>
      </c>
      <c r="H87" s="329">
        <f>ROUNDUP(MAX($D87/gen_xl_tps80,$E87/gen_xl_ram,$F87/7.5),0)*2</f>
        <v>4</v>
      </c>
      <c r="I87" s="330">
        <f t="shared" si="8"/>
        <v>375.24</v>
      </c>
      <c r="J87" s="167">
        <f t="shared" si="11"/>
        <v>2048</v>
      </c>
      <c r="K87" s="331">
        <f t="shared" si="9"/>
        <v>204.8</v>
      </c>
      <c r="L87" s="332">
        <f t="shared" si="10"/>
        <v>580.04</v>
      </c>
      <c r="M87" s="411"/>
      <c r="N87" s="303"/>
      <c r="O87" s="299"/>
      <c r="P87" s="12"/>
      <c r="Q87" s="299"/>
    </row>
    <row r="88" spans="1:22">
      <c r="C88" s="290">
        <v>4</v>
      </c>
      <c r="D88" s="168">
        <f>'CPU (Workload)'!G20</f>
        <v>7046.8902777777776</v>
      </c>
      <c r="E88" s="166">
        <f>Memory!I92</f>
        <v>0.50048936631944441</v>
      </c>
      <c r="F88" s="166">
        <f>Bandwidth!I92</f>
        <v>4.0039149305555553</v>
      </c>
      <c r="G88" s="328">
        <v>512</v>
      </c>
      <c r="H88" s="329">
        <f>ROUNDUP(MAX($D88/gen_xl_tps80,$E88/gen_xl_ram,$F88/7.5),0)*2</f>
        <v>4</v>
      </c>
      <c r="I88" s="330">
        <f t="shared" si="8"/>
        <v>375.24</v>
      </c>
      <c r="J88" s="167">
        <f t="shared" si="11"/>
        <v>2048</v>
      </c>
      <c r="K88" s="331">
        <f t="shared" si="9"/>
        <v>204.8</v>
      </c>
      <c r="L88" s="332">
        <f t="shared" si="10"/>
        <v>580.04</v>
      </c>
      <c r="M88" s="411"/>
      <c r="N88" s="303"/>
      <c r="O88" s="299"/>
      <c r="P88" s="12"/>
      <c r="Q88" s="299"/>
    </row>
    <row r="89" spans="1:22">
      <c r="C89" s="290">
        <v>5</v>
      </c>
      <c r="D89" s="168">
        <f>'CPU (Workload)'!G21</f>
        <v>7367.7274305555547</v>
      </c>
      <c r="E89" s="166">
        <f>Memory!I93</f>
        <v>0.52327609592013891</v>
      </c>
      <c r="F89" s="166">
        <f>Bandwidth!I93</f>
        <v>4.1862087673611112</v>
      </c>
      <c r="G89" s="328">
        <v>512</v>
      </c>
      <c r="H89" s="329">
        <f>ROUNDUP(MAX($D89/gen_xl_tps80,$E89/gen_xl_ram,$F89/7.5),0)*2</f>
        <v>6</v>
      </c>
      <c r="I89" s="330">
        <f t="shared" si="8"/>
        <v>562.86</v>
      </c>
      <c r="J89" s="167">
        <f t="shared" si="11"/>
        <v>3072</v>
      </c>
      <c r="K89" s="331">
        <f t="shared" si="9"/>
        <v>307.20000000000005</v>
      </c>
      <c r="L89" s="332">
        <f t="shared" si="10"/>
        <v>870.06000000000006</v>
      </c>
      <c r="M89" s="411"/>
      <c r="N89" s="303"/>
      <c r="O89" s="299"/>
      <c r="P89" s="12"/>
      <c r="Q89" s="299"/>
    </row>
    <row r="90" spans="1:22">
      <c r="C90" s="290">
        <v>6</v>
      </c>
      <c r="D90" s="168">
        <f>'CPU (Workload)'!G22</f>
        <v>7688.5645833333328</v>
      </c>
      <c r="E90" s="166">
        <f>Memory!I94</f>
        <v>0.54606282552083341</v>
      </c>
      <c r="F90" s="166">
        <f>Bandwidth!I94</f>
        <v>4.3685026041666672</v>
      </c>
      <c r="G90" s="328">
        <v>512</v>
      </c>
      <c r="H90" s="329">
        <f>ROUNDUP(MAX($D90/gen_xl_tps80,$E90/gen_xl_ram,$F90/7.5),0)*2</f>
        <v>6</v>
      </c>
      <c r="I90" s="330">
        <f t="shared" si="8"/>
        <v>562.86</v>
      </c>
      <c r="J90" s="167">
        <f t="shared" si="11"/>
        <v>3072</v>
      </c>
      <c r="K90" s="331">
        <f t="shared" si="9"/>
        <v>307.20000000000005</v>
      </c>
      <c r="L90" s="332">
        <f t="shared" si="10"/>
        <v>870.06000000000006</v>
      </c>
      <c r="M90" s="411"/>
      <c r="N90" s="303"/>
      <c r="O90" s="299"/>
      <c r="P90" s="12"/>
      <c r="Q90" s="299"/>
    </row>
    <row r="91" spans="1:22">
      <c r="C91" s="290">
        <v>7</v>
      </c>
      <c r="D91" s="168">
        <f>'CPU (Workload)'!G23</f>
        <v>8969.0314236111099</v>
      </c>
      <c r="E91" s="166">
        <f>Memory!I95</f>
        <v>0.63700507269965279</v>
      </c>
      <c r="F91" s="166">
        <f>Bandwidth!I95</f>
        <v>5.0960405815972223</v>
      </c>
      <c r="G91" s="328">
        <v>512</v>
      </c>
      <c r="H91" s="329">
        <f>ROUNDUP(MAX($D91/gen_xl_tps80,$E91/gen_xl_ram,$F91/7.5),0)*2</f>
        <v>6</v>
      </c>
      <c r="I91" s="330">
        <f t="shared" si="8"/>
        <v>562.86</v>
      </c>
      <c r="J91" s="167">
        <f t="shared" si="11"/>
        <v>3072</v>
      </c>
      <c r="K91" s="331">
        <f t="shared" si="9"/>
        <v>307.20000000000005</v>
      </c>
      <c r="L91" s="332">
        <f t="shared" si="10"/>
        <v>870.06000000000006</v>
      </c>
      <c r="M91" s="411"/>
      <c r="N91" s="303"/>
      <c r="O91" s="299"/>
      <c r="P91" s="12"/>
      <c r="Q91" s="299"/>
    </row>
    <row r="92" spans="1:22">
      <c r="C92" s="290">
        <v>8</v>
      </c>
      <c r="D92" s="168">
        <f>'CPU (Workload)'!G24</f>
        <v>10249.498263888889</v>
      </c>
      <c r="E92" s="166">
        <f>Memory!I96</f>
        <v>0.72794731987847228</v>
      </c>
      <c r="F92" s="166">
        <f>Bandwidth!I96</f>
        <v>5.8235785590277782</v>
      </c>
      <c r="G92" s="328">
        <v>512</v>
      </c>
      <c r="H92" s="329">
        <f>ROUNDUP(MAX($D92/gen_xl_tps80,$E92/gen_xl_ram,$F92/7.5),0)*2</f>
        <v>6</v>
      </c>
      <c r="I92" s="330">
        <f t="shared" si="8"/>
        <v>562.86</v>
      </c>
      <c r="J92" s="167">
        <f t="shared" si="11"/>
        <v>3072</v>
      </c>
      <c r="K92" s="331">
        <f t="shared" si="9"/>
        <v>307.20000000000005</v>
      </c>
      <c r="L92" s="332">
        <f t="shared" si="10"/>
        <v>870.06000000000006</v>
      </c>
      <c r="M92" s="411"/>
      <c r="N92" s="303"/>
      <c r="O92" s="299"/>
      <c r="P92" s="12"/>
      <c r="Q92" s="299"/>
    </row>
    <row r="93" spans="1:22">
      <c r="C93" s="290">
        <v>9</v>
      </c>
      <c r="D93" s="168">
        <f>'CPU (Workload)'!G25</f>
        <v>11529.965104166666</v>
      </c>
      <c r="E93" s="166">
        <f>Memory!I97</f>
        <v>0.81888956705729177</v>
      </c>
      <c r="F93" s="166">
        <f>Bandwidth!I97</f>
        <v>6.5511165364583341</v>
      </c>
      <c r="G93" s="328">
        <v>512</v>
      </c>
      <c r="H93" s="329">
        <f>ROUNDUP(MAX($D93/gen_xl_tps80,$E93/gen_xl_ram,$F93/7.5),0)*2</f>
        <v>8</v>
      </c>
      <c r="I93" s="330">
        <f t="shared" si="8"/>
        <v>750.48</v>
      </c>
      <c r="J93" s="167">
        <f t="shared" si="11"/>
        <v>4096</v>
      </c>
      <c r="K93" s="331">
        <f t="shared" si="9"/>
        <v>409.6</v>
      </c>
      <c r="L93" s="332">
        <f t="shared" si="10"/>
        <v>1160.08</v>
      </c>
      <c r="M93" s="411"/>
      <c r="N93" s="303"/>
      <c r="O93" s="299"/>
      <c r="P93" s="12"/>
      <c r="Q93" s="299"/>
    </row>
    <row r="94" spans="1:22">
      <c r="C94" s="290">
        <v>10</v>
      </c>
      <c r="D94" s="168">
        <f>'CPU (Workload)'!G26</f>
        <v>12810.431944444445</v>
      </c>
      <c r="E94" s="166">
        <f>Memory!I98</f>
        <v>0.90983181423611104</v>
      </c>
      <c r="F94" s="166">
        <f>Bandwidth!I98</f>
        <v>7.2786545138888883</v>
      </c>
      <c r="G94" s="328">
        <v>512</v>
      </c>
      <c r="H94" s="329">
        <f>ROUNDUP(MAX($D94/gen_xl_tps80,$E94/gen_xl_ram,$F94/7.5),0)*2</f>
        <v>8</v>
      </c>
      <c r="I94" s="330">
        <f t="shared" si="8"/>
        <v>750.48</v>
      </c>
      <c r="J94" s="167">
        <f t="shared" si="11"/>
        <v>4096</v>
      </c>
      <c r="K94" s="331">
        <f t="shared" si="9"/>
        <v>409.6</v>
      </c>
      <c r="L94" s="332">
        <f t="shared" si="10"/>
        <v>1160.08</v>
      </c>
      <c r="M94" s="411"/>
      <c r="N94" s="303"/>
      <c r="O94" s="299"/>
      <c r="P94" s="12"/>
      <c r="Q94" s="299"/>
    </row>
    <row r="95" spans="1:22">
      <c r="C95" s="290">
        <v>11</v>
      </c>
      <c r="D95" s="168">
        <f>'CPU (Workload)'!G27</f>
        <v>14090.898784722223</v>
      </c>
      <c r="E95" s="166">
        <f>Memory!I99</f>
        <v>1.0007740614149305</v>
      </c>
      <c r="F95" s="166">
        <f>Bandwidth!I99</f>
        <v>8.0061924913194442</v>
      </c>
      <c r="G95" s="328">
        <v>512</v>
      </c>
      <c r="H95" s="329">
        <f>ROUNDUP(MAX($D95/gen_xl_tps80,$E95/gen_xl_ram,$F95/7.5),0)*2</f>
        <v>8</v>
      </c>
      <c r="I95" s="330">
        <f t="shared" si="8"/>
        <v>750.48</v>
      </c>
      <c r="J95" s="167">
        <f t="shared" si="11"/>
        <v>4096</v>
      </c>
      <c r="K95" s="331">
        <f t="shared" si="9"/>
        <v>409.6</v>
      </c>
      <c r="L95" s="332">
        <f t="shared" si="10"/>
        <v>1160.08</v>
      </c>
      <c r="M95" s="411"/>
      <c r="N95" s="303"/>
      <c r="O95" s="299"/>
      <c r="P95" s="12"/>
      <c r="Q95" s="299"/>
    </row>
    <row r="96" spans="1:22">
      <c r="C96" s="290">
        <v>12</v>
      </c>
      <c r="D96" s="168">
        <f>'CPU (Workload)'!G28</f>
        <v>15371.365624999999</v>
      </c>
      <c r="E96" s="166">
        <f>Memory!I100</f>
        <v>1.09171630859375</v>
      </c>
      <c r="F96" s="166">
        <f>Bandwidth!I100</f>
        <v>8.7337304687500001</v>
      </c>
      <c r="G96" s="328">
        <v>512</v>
      </c>
      <c r="H96" s="329">
        <f>ROUNDUP(MAX($D96/gen_xl_tps80,$E96/gen_xl_ram,$F96/7.5),0)*2</f>
        <v>10</v>
      </c>
      <c r="I96" s="330">
        <f t="shared" si="8"/>
        <v>938.1</v>
      </c>
      <c r="J96" s="167">
        <f t="shared" si="11"/>
        <v>5120</v>
      </c>
      <c r="K96" s="331">
        <f t="shared" si="9"/>
        <v>512</v>
      </c>
      <c r="L96" s="332">
        <f t="shared" si="10"/>
        <v>1450.1</v>
      </c>
      <c r="M96" s="411"/>
      <c r="N96" s="303"/>
      <c r="O96" s="299"/>
      <c r="P96" s="12"/>
      <c r="Q96" s="299"/>
    </row>
    <row r="97" spans="3:17">
      <c r="C97" s="290">
        <v>13</v>
      </c>
      <c r="D97" s="168">
        <f>'CPU (Workload)'!G29</f>
        <v>16224.369791666664</v>
      </c>
      <c r="E97" s="166">
        <f>Memory!I101</f>
        <v>1.1522989908854167</v>
      </c>
      <c r="F97" s="166">
        <f>Bandwidth!I101</f>
        <v>9.2183919270833332</v>
      </c>
      <c r="G97" s="328">
        <v>512</v>
      </c>
      <c r="H97" s="329">
        <f>ROUNDUP(MAX($D97/gen_xl_tps80,$E97/gen_xl_ram,$F97/7.5),0)*2</f>
        <v>10</v>
      </c>
      <c r="I97" s="330">
        <f t="shared" si="8"/>
        <v>938.1</v>
      </c>
      <c r="J97" s="167">
        <f t="shared" si="11"/>
        <v>5120</v>
      </c>
      <c r="K97" s="331">
        <f t="shared" si="9"/>
        <v>512</v>
      </c>
      <c r="L97" s="332">
        <f t="shared" si="10"/>
        <v>1450.1</v>
      </c>
      <c r="M97" s="411"/>
      <c r="N97" s="303"/>
      <c r="O97" s="299"/>
      <c r="P97" s="12"/>
      <c r="Q97" s="299"/>
    </row>
    <row r="98" spans="3:17">
      <c r="C98" s="290">
        <v>14</v>
      </c>
      <c r="D98" s="168">
        <f>'CPU (Workload)'!G30</f>
        <v>17077.37395833333</v>
      </c>
      <c r="E98" s="166">
        <f>Memory!I102</f>
        <v>1.2128816731770833</v>
      </c>
      <c r="F98" s="166">
        <f>Bandwidth!I102</f>
        <v>9.7030533854166663</v>
      </c>
      <c r="G98" s="328">
        <v>512</v>
      </c>
      <c r="H98" s="329">
        <f>ROUNDUP(MAX($D98/gen_xl_tps80,$E98/gen_xl_ram,$F98/7.5),0)*2</f>
        <v>10</v>
      </c>
      <c r="I98" s="330">
        <f t="shared" si="8"/>
        <v>938.1</v>
      </c>
      <c r="J98" s="167">
        <f t="shared" si="11"/>
        <v>5120</v>
      </c>
      <c r="K98" s="331">
        <f t="shared" si="9"/>
        <v>512</v>
      </c>
      <c r="L98" s="332">
        <f t="shared" si="10"/>
        <v>1450.1</v>
      </c>
      <c r="M98" s="411"/>
      <c r="N98" s="303"/>
      <c r="O98" s="299"/>
      <c r="P98" s="12"/>
      <c r="Q98" s="299"/>
    </row>
    <row r="99" spans="3:17">
      <c r="C99" s="290">
        <v>15</v>
      </c>
      <c r="D99" s="168">
        <f>'CPU (Workload)'!G31</f>
        <v>17930.378124999999</v>
      </c>
      <c r="E99" s="166">
        <f>Memory!I103</f>
        <v>1.2734643554687501</v>
      </c>
      <c r="F99" s="166">
        <f>Bandwidth!I103</f>
        <v>10.187714843750001</v>
      </c>
      <c r="G99" s="328">
        <v>512</v>
      </c>
      <c r="H99" s="329">
        <f>ROUNDUP(MAX($D99/gen_xl_tps80,$E99/gen_xl_ram,$F99/7.5),0)*2</f>
        <v>10</v>
      </c>
      <c r="I99" s="330">
        <f t="shared" si="8"/>
        <v>938.1</v>
      </c>
      <c r="J99" s="167">
        <f t="shared" si="11"/>
        <v>5120</v>
      </c>
      <c r="K99" s="331">
        <f t="shared" si="9"/>
        <v>512</v>
      </c>
      <c r="L99" s="332">
        <f t="shared" si="10"/>
        <v>1450.1</v>
      </c>
      <c r="M99" s="411"/>
      <c r="N99" s="303"/>
      <c r="O99" s="299"/>
      <c r="P99" s="12"/>
      <c r="Q99" s="299"/>
    </row>
    <row r="100" spans="3:17">
      <c r="C100" s="290">
        <v>16</v>
      </c>
      <c r="D100" s="168">
        <f>'CPU (Workload)'!G32</f>
        <v>18783.382291666665</v>
      </c>
      <c r="E100" s="166">
        <f>Memory!I104</f>
        <v>1.3340470377604168</v>
      </c>
      <c r="F100" s="166">
        <f>Bandwidth!I104</f>
        <v>10.672376302083334</v>
      </c>
      <c r="G100" s="328">
        <v>512</v>
      </c>
      <c r="H100" s="329">
        <f>ROUNDUP(MAX($D100/gen_xl_tps80,$E100/gen_xl_ram,$F100/7.5),0)*2</f>
        <v>12</v>
      </c>
      <c r="I100" s="330">
        <f t="shared" si="8"/>
        <v>1125.72</v>
      </c>
      <c r="J100" s="167">
        <f t="shared" si="11"/>
        <v>6144</v>
      </c>
      <c r="K100" s="331">
        <f t="shared" si="9"/>
        <v>614.40000000000009</v>
      </c>
      <c r="L100" s="332">
        <f t="shared" si="10"/>
        <v>1740.1200000000001</v>
      </c>
      <c r="M100" s="411"/>
      <c r="N100" s="303"/>
      <c r="O100" s="299"/>
      <c r="P100" s="12"/>
      <c r="Q100" s="299"/>
    </row>
    <row r="101" spans="3:17">
      <c r="C101" s="290">
        <v>17</v>
      </c>
      <c r="D101" s="168">
        <f>'CPU (Workload)'!G33</f>
        <v>19636.386458333331</v>
      </c>
      <c r="E101" s="166">
        <f>Memory!I105</f>
        <v>1.3946297200520834</v>
      </c>
      <c r="F101" s="166">
        <f>Bandwidth!I105</f>
        <v>11.157037760416667</v>
      </c>
      <c r="G101" s="328">
        <v>512</v>
      </c>
      <c r="H101" s="329">
        <f>ROUNDUP(MAX($D101/gen_xl_tps80,$E101/gen_xl_ram,$F101/7.5),0)*2</f>
        <v>12</v>
      </c>
      <c r="I101" s="330">
        <f t="shared" si="8"/>
        <v>1125.72</v>
      </c>
      <c r="J101" s="167">
        <f t="shared" si="11"/>
        <v>6144</v>
      </c>
      <c r="K101" s="331">
        <f t="shared" si="9"/>
        <v>614.40000000000009</v>
      </c>
      <c r="L101" s="332">
        <f t="shared" si="10"/>
        <v>1740.1200000000001</v>
      </c>
      <c r="M101" s="411"/>
      <c r="N101" s="303"/>
      <c r="O101" s="299"/>
      <c r="P101" s="12"/>
      <c r="Q101" s="299"/>
    </row>
    <row r="102" spans="3:17">
      <c r="C102" s="290">
        <v>18</v>
      </c>
      <c r="D102" s="168">
        <f>'CPU (Workload)'!G34</f>
        <v>20489.390625</v>
      </c>
      <c r="E102" s="166">
        <f>Memory!I106</f>
        <v>1.45521240234375</v>
      </c>
      <c r="F102" s="166">
        <f>Bandwidth!I106</f>
        <v>11.64169921875</v>
      </c>
      <c r="G102" s="328">
        <v>512</v>
      </c>
      <c r="H102" s="329">
        <f>ROUNDUP(MAX($D102/gen_xl_tps80,$E102/gen_xl_ram,$F102/7.5),0)*2</f>
        <v>12</v>
      </c>
      <c r="I102" s="330">
        <f t="shared" si="8"/>
        <v>1125.72</v>
      </c>
      <c r="J102" s="167">
        <f t="shared" si="11"/>
        <v>6144</v>
      </c>
      <c r="K102" s="331">
        <f t="shared" si="9"/>
        <v>614.40000000000009</v>
      </c>
      <c r="L102" s="332">
        <f t="shared" si="10"/>
        <v>1740.1200000000001</v>
      </c>
      <c r="M102" s="411"/>
      <c r="N102" s="303"/>
      <c r="O102" s="299"/>
      <c r="P102" s="12"/>
      <c r="Q102" s="299"/>
    </row>
    <row r="103" spans="3:17">
      <c r="C103" s="290">
        <v>19</v>
      </c>
      <c r="D103" s="168">
        <f>'CPU (Workload)'!G35</f>
        <v>23145.422743055555</v>
      </c>
      <c r="E103" s="166">
        <f>Memory!I107</f>
        <v>1.643851047092014</v>
      </c>
      <c r="F103" s="166">
        <f>Bandwidth!I107</f>
        <v>13.150808376736112</v>
      </c>
      <c r="G103" s="328">
        <v>512</v>
      </c>
      <c r="H103" s="329">
        <f>ROUNDUP(MAX($D103/gen_xl_tps80,$E103/gen_xl_ram,$F103/7.5),0)*2</f>
        <v>14</v>
      </c>
      <c r="I103" s="330">
        <f t="shared" si="8"/>
        <v>1313.3400000000001</v>
      </c>
      <c r="J103" s="167">
        <f t="shared" si="11"/>
        <v>7168</v>
      </c>
      <c r="K103" s="331">
        <f t="shared" si="9"/>
        <v>716.80000000000007</v>
      </c>
      <c r="L103" s="332">
        <f t="shared" si="10"/>
        <v>2030.1400000000003</v>
      </c>
      <c r="M103" s="411"/>
      <c r="N103" s="303"/>
      <c r="O103" s="299"/>
      <c r="P103" s="12"/>
      <c r="Q103" s="299"/>
    </row>
    <row r="104" spans="3:17">
      <c r="C104" s="290">
        <v>20</v>
      </c>
      <c r="D104" s="168">
        <f>'CPU (Workload)'!G36</f>
        <v>25801.454861111113</v>
      </c>
      <c r="E104" s="166">
        <f>Memory!I108</f>
        <v>1.832489691840278</v>
      </c>
      <c r="F104" s="166">
        <f>Bandwidth!I108</f>
        <v>14.659917534722224</v>
      </c>
      <c r="G104" s="328">
        <v>512</v>
      </c>
      <c r="H104" s="329">
        <f>ROUNDUP(MAX($D104/gen_xl_tps80,$E104/gen_xl_ram,$F104/7.5),0)*2</f>
        <v>16</v>
      </c>
      <c r="I104" s="330">
        <f t="shared" si="8"/>
        <v>1500.96</v>
      </c>
      <c r="J104" s="167">
        <f t="shared" si="11"/>
        <v>8192</v>
      </c>
      <c r="K104" s="331">
        <f t="shared" si="9"/>
        <v>819.2</v>
      </c>
      <c r="L104" s="332">
        <f t="shared" si="10"/>
        <v>2320.16</v>
      </c>
      <c r="M104" s="411"/>
      <c r="N104" s="303"/>
      <c r="O104" s="299"/>
      <c r="P104" s="12"/>
      <c r="Q104" s="299"/>
    </row>
    <row r="105" spans="3:17">
      <c r="C105" s="290">
        <v>21</v>
      </c>
      <c r="D105" s="168">
        <f>'CPU (Workload)'!G37</f>
        <v>28457.486979166664</v>
      </c>
      <c r="E105" s="166">
        <f>Memory!I109</f>
        <v>2.021128336588542</v>
      </c>
      <c r="F105" s="166">
        <f>Bandwidth!I109</f>
        <v>16.169026692708336</v>
      </c>
      <c r="G105" s="328">
        <v>512</v>
      </c>
      <c r="H105" s="329">
        <f>ROUNDUP(MAX($D105/gen_xl_tps80,$E105/gen_xl_ram,$F105/7.5),0)*2</f>
        <v>16</v>
      </c>
      <c r="I105" s="330">
        <f t="shared" si="8"/>
        <v>1500.96</v>
      </c>
      <c r="J105" s="167">
        <f t="shared" si="11"/>
        <v>8192</v>
      </c>
      <c r="K105" s="331">
        <f t="shared" si="9"/>
        <v>819.2</v>
      </c>
      <c r="L105" s="332">
        <f t="shared" si="10"/>
        <v>2320.16</v>
      </c>
      <c r="M105" s="411"/>
      <c r="N105" s="303"/>
      <c r="O105" s="299"/>
      <c r="P105" s="12"/>
      <c r="Q105" s="299"/>
    </row>
    <row r="106" spans="3:17">
      <c r="C106" s="290">
        <v>22</v>
      </c>
      <c r="D106" s="168">
        <f>'CPU (Workload)'!G38</f>
        <v>31113.519097222219</v>
      </c>
      <c r="E106" s="166">
        <f>Memory!I110</f>
        <v>2.2097669813368057</v>
      </c>
      <c r="F106" s="166">
        <f>Bandwidth!I110</f>
        <v>17.678135850694446</v>
      </c>
      <c r="G106" s="328">
        <v>512</v>
      </c>
      <c r="H106" s="329">
        <f>ROUNDUP(MAX($D106/gen_xl_tps80,$E106/gen_xl_ram,$F106/7.5),0)*2</f>
        <v>18</v>
      </c>
      <c r="I106" s="330">
        <f t="shared" si="8"/>
        <v>1688.58</v>
      </c>
      <c r="J106" s="167">
        <f t="shared" si="11"/>
        <v>9216</v>
      </c>
      <c r="K106" s="331">
        <f t="shared" si="9"/>
        <v>921.6</v>
      </c>
      <c r="L106" s="332">
        <f t="shared" si="10"/>
        <v>2610.1799999999998</v>
      </c>
      <c r="M106" s="411"/>
      <c r="N106" s="303"/>
      <c r="O106" s="299"/>
      <c r="P106" s="12"/>
      <c r="Q106" s="299"/>
    </row>
    <row r="107" spans="3:17">
      <c r="C107" s="290">
        <v>23</v>
      </c>
      <c r="D107" s="168">
        <f>'CPU (Workload)'!G39</f>
        <v>33769.551215277774</v>
      </c>
      <c r="E107" s="166">
        <f>Memory!I111</f>
        <v>2.3984056260850695</v>
      </c>
      <c r="F107" s="166">
        <f>Bandwidth!I111</f>
        <v>19.187245008680556</v>
      </c>
      <c r="G107" s="328">
        <v>512</v>
      </c>
      <c r="H107" s="329">
        <f>ROUNDUP(MAX($D107/gen_xl_tps80,$E107/gen_xl_ram,$F107/7.5),0)*2</f>
        <v>20</v>
      </c>
      <c r="I107" s="330">
        <f t="shared" si="8"/>
        <v>1876.2</v>
      </c>
      <c r="J107" s="167">
        <f t="shared" si="11"/>
        <v>10240</v>
      </c>
      <c r="K107" s="331">
        <f t="shared" si="9"/>
        <v>1024</v>
      </c>
      <c r="L107" s="332">
        <f t="shared" si="10"/>
        <v>2900.2</v>
      </c>
      <c r="M107" s="411"/>
      <c r="N107" s="303"/>
      <c r="O107" s="299"/>
      <c r="P107" s="12"/>
      <c r="Q107" s="299"/>
    </row>
    <row r="108" spans="3:17">
      <c r="C108" s="290">
        <v>24</v>
      </c>
      <c r="D108" s="168">
        <f>'CPU (Workload)'!G40</f>
        <v>36425.583333333328</v>
      </c>
      <c r="E108" s="166">
        <f>Memory!I112</f>
        <v>2.5870442708333332</v>
      </c>
      <c r="F108" s="166">
        <f>Bandwidth!I112</f>
        <v>20.696354166666666</v>
      </c>
      <c r="G108" s="328">
        <v>512</v>
      </c>
      <c r="H108" s="329">
        <f>ROUNDUP(MAX($D108/gen_xl_tps80,$E108/gen_xl_ram,$F108/7.5),0)*2</f>
        <v>22</v>
      </c>
      <c r="I108" s="330">
        <f t="shared" si="8"/>
        <v>2063.8200000000002</v>
      </c>
      <c r="J108" s="167">
        <f t="shared" si="11"/>
        <v>11264</v>
      </c>
      <c r="K108" s="331">
        <f t="shared" si="9"/>
        <v>1126.4000000000001</v>
      </c>
      <c r="L108" s="332">
        <f t="shared" si="10"/>
        <v>3190.2200000000003</v>
      </c>
      <c r="M108" s="411"/>
      <c r="N108" s="303"/>
      <c r="O108" s="299"/>
      <c r="P108" s="12"/>
      <c r="Q108" s="299"/>
    </row>
    <row r="109" spans="3:17">
      <c r="C109" s="290">
        <v>25</v>
      </c>
      <c r="D109" s="168">
        <f>'CPU (Workload)'!G41</f>
        <v>38450.507638888885</v>
      </c>
      <c r="E109" s="166">
        <f>Memory!I113</f>
        <v>2.7308599175347226</v>
      </c>
      <c r="F109" s="166">
        <f>Bandwidth!I113</f>
        <v>21.846879340277781</v>
      </c>
      <c r="G109" s="328">
        <v>512</v>
      </c>
      <c r="H109" s="329">
        <f>ROUNDUP(MAX($D109/gen_xl_tps80,$E109/gen_xl_ram,$F109/7.5),0)*2</f>
        <v>22</v>
      </c>
      <c r="I109" s="330">
        <f t="shared" si="8"/>
        <v>2063.8200000000002</v>
      </c>
      <c r="J109" s="167">
        <f t="shared" si="11"/>
        <v>11264</v>
      </c>
      <c r="K109" s="331">
        <f t="shared" si="9"/>
        <v>1126.4000000000001</v>
      </c>
      <c r="L109" s="332">
        <f t="shared" si="10"/>
        <v>3190.2200000000003</v>
      </c>
      <c r="M109" s="411"/>
      <c r="N109" s="303"/>
      <c r="O109" s="299"/>
      <c r="P109" s="12"/>
      <c r="Q109" s="299"/>
    </row>
    <row r="110" spans="3:17">
      <c r="C110" s="290">
        <v>26</v>
      </c>
      <c r="D110" s="168">
        <f>'CPU (Workload)'!G42</f>
        <v>40475.431944444441</v>
      </c>
      <c r="E110" s="166">
        <f>Memory!I114</f>
        <v>2.8746755642361115</v>
      </c>
      <c r="F110" s="166">
        <f>Bandwidth!I114</f>
        <v>22.997404513888892</v>
      </c>
      <c r="G110" s="328">
        <v>512</v>
      </c>
      <c r="H110" s="329">
        <f>ROUNDUP(MAX($D110/gen_xl_tps80,$E110/gen_xl_ram,$F110/7.5),0)*2</f>
        <v>24</v>
      </c>
      <c r="I110" s="330">
        <f t="shared" si="8"/>
        <v>2251.44</v>
      </c>
      <c r="J110" s="167">
        <f t="shared" si="11"/>
        <v>12288</v>
      </c>
      <c r="K110" s="331">
        <f t="shared" si="9"/>
        <v>1228.8000000000002</v>
      </c>
      <c r="L110" s="332">
        <f t="shared" si="10"/>
        <v>3480.2400000000002</v>
      </c>
      <c r="M110" s="411"/>
      <c r="N110" s="303"/>
      <c r="O110" s="299"/>
      <c r="P110" s="12"/>
      <c r="Q110" s="299"/>
    </row>
    <row r="111" spans="3:17">
      <c r="C111" s="290">
        <v>27</v>
      </c>
      <c r="D111" s="168">
        <f>'CPU (Workload)'!G43</f>
        <v>42500.356249999997</v>
      </c>
      <c r="E111" s="166">
        <f>Memory!I115</f>
        <v>3.0184912109374999</v>
      </c>
      <c r="F111" s="166">
        <f>Bandwidth!I115</f>
        <v>24.1479296875</v>
      </c>
      <c r="G111" s="328">
        <v>512</v>
      </c>
      <c r="H111" s="329">
        <f>ROUNDUP(MAX($D111/gen_xl_tps80,$E111/gen_xl_ram,$F111/7.5),0)*2</f>
        <v>24</v>
      </c>
      <c r="I111" s="330">
        <f t="shared" si="8"/>
        <v>2251.44</v>
      </c>
      <c r="J111" s="167">
        <f t="shared" si="11"/>
        <v>12288</v>
      </c>
      <c r="K111" s="331">
        <f t="shared" si="9"/>
        <v>1228.8000000000002</v>
      </c>
      <c r="L111" s="332">
        <f t="shared" si="10"/>
        <v>3480.2400000000002</v>
      </c>
      <c r="M111" s="411"/>
      <c r="N111" s="303"/>
      <c r="O111" s="299"/>
      <c r="P111" s="12"/>
      <c r="Q111" s="299"/>
    </row>
    <row r="112" spans="3:17">
      <c r="C112" s="290">
        <v>28</v>
      </c>
      <c r="D112" s="168">
        <f>'CPU (Workload)'!G44</f>
        <v>44525.280555555553</v>
      </c>
      <c r="E112" s="166">
        <f>Memory!I116</f>
        <v>3.1623068576388889</v>
      </c>
      <c r="F112" s="166">
        <f>Bandwidth!I116</f>
        <v>25.298454861111111</v>
      </c>
      <c r="G112" s="328">
        <v>512</v>
      </c>
      <c r="H112" s="329">
        <f>ROUNDUP(MAX($D112/gen_xl_tps80,$E112/gen_xl_ram,$F112/7.5),0)*2</f>
        <v>26</v>
      </c>
      <c r="I112" s="330">
        <f t="shared" si="8"/>
        <v>2439.06</v>
      </c>
      <c r="J112" s="167">
        <f t="shared" si="11"/>
        <v>13312</v>
      </c>
      <c r="K112" s="331">
        <f t="shared" si="9"/>
        <v>1331.2</v>
      </c>
      <c r="L112" s="332">
        <f t="shared" si="10"/>
        <v>3770.26</v>
      </c>
      <c r="M112" s="411"/>
      <c r="N112" s="303"/>
      <c r="O112" s="299"/>
      <c r="P112" s="12"/>
      <c r="Q112" s="299"/>
    </row>
    <row r="113" spans="1:22">
      <c r="C113" s="290">
        <v>29</v>
      </c>
      <c r="D113" s="168">
        <f>'CPU (Workload)'!G45</f>
        <v>46550.204861111109</v>
      </c>
      <c r="E113" s="166">
        <f>Memory!I117</f>
        <v>3.3061225043402782</v>
      </c>
      <c r="F113" s="166">
        <f>Bandwidth!I117</f>
        <v>26.448980034722226</v>
      </c>
      <c r="G113" s="328">
        <v>512</v>
      </c>
      <c r="H113" s="329">
        <f>ROUNDUP(MAX($D113/gen_xl_tps80,$E113/gen_xl_ram,$F113/7.5),0)*2</f>
        <v>26</v>
      </c>
      <c r="I113" s="330">
        <f t="shared" si="8"/>
        <v>2439.06</v>
      </c>
      <c r="J113" s="167">
        <f t="shared" si="11"/>
        <v>13312</v>
      </c>
      <c r="K113" s="331">
        <f t="shared" si="9"/>
        <v>1331.2</v>
      </c>
      <c r="L113" s="332">
        <f t="shared" si="10"/>
        <v>3770.26</v>
      </c>
      <c r="M113" s="411"/>
      <c r="N113" s="303"/>
      <c r="O113" s="299"/>
      <c r="P113" s="12"/>
      <c r="Q113" s="299"/>
    </row>
    <row r="114" spans="1:22">
      <c r="C114" s="290">
        <v>30</v>
      </c>
      <c r="D114" s="168">
        <f>'CPU (Workload)'!G46</f>
        <v>48575.129166666666</v>
      </c>
      <c r="E114" s="166">
        <f>Memory!I118</f>
        <v>3.4499381510416671</v>
      </c>
      <c r="F114" s="166">
        <f>Bandwidth!I118</f>
        <v>27.599505208333337</v>
      </c>
      <c r="G114" s="328">
        <v>512</v>
      </c>
      <c r="H114" s="329">
        <f>ROUNDUP(MAX($D114/gen_xl_tps80,$E114/gen_xl_ram,$F114/7.5),0)*2</f>
        <v>28</v>
      </c>
      <c r="I114" s="330">
        <f t="shared" si="8"/>
        <v>2626.6800000000003</v>
      </c>
      <c r="J114" s="167">
        <f t="shared" si="11"/>
        <v>14336</v>
      </c>
      <c r="K114" s="331">
        <f t="shared" si="9"/>
        <v>1433.6000000000001</v>
      </c>
      <c r="L114" s="332">
        <f t="shared" si="10"/>
        <v>4060.2800000000007</v>
      </c>
      <c r="M114" s="411"/>
      <c r="N114" s="303"/>
      <c r="O114" s="299"/>
      <c r="P114" s="12"/>
      <c r="Q114" s="299"/>
    </row>
    <row r="115" spans="1:22">
      <c r="C115" s="290">
        <v>31</v>
      </c>
      <c r="D115" s="168">
        <f>'CPU (Workload)'!G47</f>
        <v>51272.466666666667</v>
      </c>
      <c r="E115" s="166">
        <f>Memory!I119</f>
        <v>3.6415104166666667</v>
      </c>
      <c r="F115" s="166">
        <f>Bandwidth!I119</f>
        <v>29.132083333333334</v>
      </c>
      <c r="G115" s="328">
        <v>512</v>
      </c>
      <c r="H115" s="329">
        <f>ROUNDUP(MAX($D115/gen_xl_tps80,$E115/gen_xl_ram,$F115/7.5),0)*2</f>
        <v>30</v>
      </c>
      <c r="I115" s="330">
        <f t="shared" si="8"/>
        <v>2814.3</v>
      </c>
      <c r="J115" s="167">
        <f t="shared" si="11"/>
        <v>15360</v>
      </c>
      <c r="K115" s="331">
        <f t="shared" si="9"/>
        <v>1536</v>
      </c>
      <c r="L115" s="332">
        <f t="shared" si="10"/>
        <v>4350.3</v>
      </c>
      <c r="M115" s="411"/>
      <c r="N115" s="303"/>
      <c r="O115" s="299"/>
      <c r="P115" s="12"/>
      <c r="Q115" s="299"/>
    </row>
    <row r="116" spans="1:22">
      <c r="C116" s="290">
        <v>32</v>
      </c>
      <c r="D116" s="168">
        <f>'CPU (Workload)'!G48</f>
        <v>53969.804166666669</v>
      </c>
      <c r="E116" s="166">
        <f>Memory!I120</f>
        <v>3.8330826822916673</v>
      </c>
      <c r="F116" s="166">
        <f>Bandwidth!I120</f>
        <v>30.664661458333338</v>
      </c>
      <c r="G116" s="328">
        <v>512</v>
      </c>
      <c r="H116" s="329">
        <f>ROUNDUP(MAX($D116/gen_xl_tps80,$E116/gen_xl_ram,$F116/7.5),0)*2</f>
        <v>30</v>
      </c>
      <c r="I116" s="330">
        <f t="shared" si="8"/>
        <v>2814.3</v>
      </c>
      <c r="J116" s="167">
        <f t="shared" si="11"/>
        <v>15360</v>
      </c>
      <c r="K116" s="331">
        <f t="shared" si="9"/>
        <v>1536</v>
      </c>
      <c r="L116" s="332">
        <f t="shared" si="10"/>
        <v>4350.3</v>
      </c>
      <c r="M116" s="411"/>
      <c r="N116" s="303"/>
      <c r="O116" s="299"/>
      <c r="P116" s="12"/>
      <c r="Q116" s="299"/>
    </row>
    <row r="117" spans="1:22">
      <c r="C117" s="290">
        <v>33</v>
      </c>
      <c r="D117" s="168">
        <f>'CPU (Workload)'!G49</f>
        <v>56667.141666666663</v>
      </c>
      <c r="E117" s="166">
        <f>Memory!I121</f>
        <v>4.0246549479166669</v>
      </c>
      <c r="F117" s="166">
        <f>Bandwidth!I121</f>
        <v>32.197239583333335</v>
      </c>
      <c r="G117" s="328">
        <v>512</v>
      </c>
      <c r="H117" s="329">
        <f>ROUNDUP(MAX($D117/gen_xl_tps80,$E117/gen_xl_ram,$F117/7.5),0)*2</f>
        <v>32</v>
      </c>
      <c r="I117" s="330">
        <f t="shared" si="8"/>
        <v>3001.92</v>
      </c>
      <c r="J117" s="167">
        <f t="shared" si="11"/>
        <v>16384</v>
      </c>
      <c r="K117" s="331">
        <f t="shared" si="9"/>
        <v>1638.4</v>
      </c>
      <c r="L117" s="332">
        <f t="shared" si="10"/>
        <v>4640.32</v>
      </c>
      <c r="M117" s="411"/>
      <c r="N117" s="303"/>
      <c r="O117" s="299"/>
      <c r="P117" s="12"/>
      <c r="Q117" s="299"/>
    </row>
    <row r="118" spans="1:22">
      <c r="C118" s="290">
        <v>34</v>
      </c>
      <c r="D118" s="168">
        <f>'CPU (Workload)'!G50</f>
        <v>59364.479166666657</v>
      </c>
      <c r="E118" s="166">
        <f>Memory!I122</f>
        <v>4.216227213541667</v>
      </c>
      <c r="F118" s="166">
        <f>Bandwidth!I122</f>
        <v>33.729817708333336</v>
      </c>
      <c r="G118" s="328">
        <v>512</v>
      </c>
      <c r="H118" s="329">
        <f>ROUNDUP(MAX($D118/gen_xl_tps80,$E118/gen_xl_ram,$F118/7.5),0)*2</f>
        <v>34</v>
      </c>
      <c r="I118" s="330">
        <f t="shared" si="8"/>
        <v>3189.54</v>
      </c>
      <c r="J118" s="167">
        <f t="shared" si="11"/>
        <v>17408</v>
      </c>
      <c r="K118" s="331">
        <f t="shared" si="9"/>
        <v>1740.8000000000002</v>
      </c>
      <c r="L118" s="332">
        <f t="shared" si="10"/>
        <v>4930.34</v>
      </c>
      <c r="M118" s="411"/>
      <c r="N118" s="303"/>
      <c r="O118" s="299"/>
      <c r="P118" s="12"/>
      <c r="Q118" s="299"/>
    </row>
    <row r="119" spans="1:22">
      <c r="C119" s="290">
        <v>35</v>
      </c>
      <c r="D119" s="168">
        <f>'CPU (Workload)'!G51</f>
        <v>62061.816666666666</v>
      </c>
      <c r="E119" s="166">
        <f>Memory!I123</f>
        <v>4.407799479166667</v>
      </c>
      <c r="F119" s="166">
        <f>Bandwidth!I123</f>
        <v>35.262395833333336</v>
      </c>
      <c r="G119" s="328">
        <v>512</v>
      </c>
      <c r="H119" s="329">
        <f>ROUNDUP(MAX($D119/gen_xl_tps80,$E119/gen_xl_ram,$F119/7.5),0)*2</f>
        <v>36</v>
      </c>
      <c r="I119" s="330">
        <f t="shared" si="8"/>
        <v>3377.16</v>
      </c>
      <c r="J119" s="167">
        <f t="shared" si="11"/>
        <v>18432</v>
      </c>
      <c r="K119" s="331">
        <f t="shared" si="9"/>
        <v>1843.2</v>
      </c>
      <c r="L119" s="332">
        <f t="shared" si="10"/>
        <v>5220.3599999999997</v>
      </c>
      <c r="M119" s="411"/>
      <c r="N119" s="303"/>
      <c r="O119" s="299"/>
      <c r="P119" s="12"/>
      <c r="Q119" s="299"/>
    </row>
    <row r="120" spans="1:22" ht="17" thickBot="1">
      <c r="C120" s="291">
        <v>36</v>
      </c>
      <c r="D120" s="171">
        <f>'CPU (Workload)'!G52</f>
        <v>64759.15416666666</v>
      </c>
      <c r="E120" s="177">
        <f>Memory!I124</f>
        <v>4.5993717447916671</v>
      </c>
      <c r="F120" s="177">
        <f>Bandwidth!I124</f>
        <v>36.794973958333337</v>
      </c>
      <c r="G120" s="334">
        <v>512</v>
      </c>
      <c r="H120" s="335">
        <f>ROUNDUP(MAX($D120/gen_xl_tps80,$E120/gen_xl_ram,$F120/7.5),0)*2</f>
        <v>36</v>
      </c>
      <c r="I120" s="336">
        <f t="shared" si="8"/>
        <v>3377.16</v>
      </c>
      <c r="J120" s="337">
        <f t="shared" si="11"/>
        <v>18432</v>
      </c>
      <c r="K120" s="338">
        <f t="shared" si="9"/>
        <v>1843.2</v>
      </c>
      <c r="L120" s="339">
        <f t="shared" si="10"/>
        <v>5220.3599999999997</v>
      </c>
      <c r="M120" s="411"/>
      <c r="N120" s="303"/>
      <c r="O120" s="299"/>
      <c r="P120" s="12"/>
      <c r="Q120" s="299"/>
    </row>
    <row r="121" spans="1:22" ht="17" thickBot="1">
      <c r="C121" s="300"/>
      <c r="D121" s="301"/>
      <c r="E121" s="302"/>
      <c r="F121" s="302"/>
      <c r="G121" s="36"/>
      <c r="H121" s="72"/>
      <c r="I121" s="303"/>
      <c r="J121" s="72"/>
      <c r="K121" s="303"/>
      <c r="L121" s="72"/>
      <c r="M121" s="303"/>
      <c r="N121" s="72"/>
      <c r="O121" s="72"/>
      <c r="P121" s="303"/>
      <c r="Q121" s="36"/>
      <c r="R121" s="36"/>
      <c r="S121" s="36"/>
      <c r="T121" s="36"/>
      <c r="U121" s="36"/>
      <c r="V121" s="36"/>
    </row>
    <row r="122" spans="1:22" s="36" customFormat="1" ht="17" thickBot="1">
      <c r="C122" s="365" t="s">
        <v>246</v>
      </c>
      <c r="D122" s="367" t="s">
        <v>269</v>
      </c>
      <c r="E122" s="367"/>
      <c r="F122" s="367"/>
      <c r="G122" s="367"/>
      <c r="H122" s="367" t="s">
        <v>270</v>
      </c>
      <c r="I122" s="367"/>
      <c r="J122" s="367" t="s">
        <v>275</v>
      </c>
      <c r="K122" s="367"/>
      <c r="L122" s="370" t="s">
        <v>283</v>
      </c>
      <c r="M122" s="215"/>
      <c r="N122" t="s">
        <v>284</v>
      </c>
      <c r="O122"/>
      <c r="P122"/>
      <c r="T122" s="72"/>
      <c r="U122" s="72"/>
      <c r="V122" s="72"/>
    </row>
    <row r="123" spans="1:22" s="36" customFormat="1" ht="36" thickBot="1">
      <c r="A123" s="31" t="s">
        <v>273</v>
      </c>
      <c r="B123" s="43" t="s">
        <v>297</v>
      </c>
      <c r="C123" s="380"/>
      <c r="D123" s="227" t="s">
        <v>108</v>
      </c>
      <c r="E123" s="227" t="s">
        <v>0</v>
      </c>
      <c r="F123" s="227" t="s">
        <v>217</v>
      </c>
      <c r="G123" s="227" t="s">
        <v>280</v>
      </c>
      <c r="H123" s="227" t="s">
        <v>271</v>
      </c>
      <c r="I123" s="312" t="s">
        <v>67</v>
      </c>
      <c r="J123" s="227" t="s">
        <v>276</v>
      </c>
      <c r="K123" s="227" t="s">
        <v>67</v>
      </c>
      <c r="L123" s="412"/>
      <c r="M123" s="216"/>
      <c r="N123" s="275" t="s">
        <v>44</v>
      </c>
      <c r="O123" s="263" t="s">
        <v>45</v>
      </c>
      <c r="P123" s="428" t="s">
        <v>46</v>
      </c>
      <c r="T123" s="216"/>
      <c r="U123" s="216"/>
      <c r="V123" s="216"/>
    </row>
    <row r="124" spans="1:22" s="36" customFormat="1" ht="52" thickBot="1">
      <c r="B124" s="432" t="s">
        <v>345</v>
      </c>
      <c r="C124" s="292">
        <v>0</v>
      </c>
      <c r="D124" s="320">
        <v>0</v>
      </c>
      <c r="E124" s="321">
        <v>0</v>
      </c>
      <c r="F124" s="321">
        <f>(Bandwidth!N5+Bandwidth!O5+Bandwidth!I48)</f>
        <v>163.941650390625</v>
      </c>
      <c r="G124" s="322">
        <v>512</v>
      </c>
      <c r="H124" s="399">
        <f>ROUNDUP(MAX($D124/gen_xl_tps80,$E124/gen_xl_ram,$F124/7.5),0)*2</f>
        <v>44</v>
      </c>
      <c r="I124" s="323">
        <f>H124*93.81</f>
        <v>4127.6400000000003</v>
      </c>
      <c r="J124" s="324">
        <f>H124*G124</f>
        <v>22528</v>
      </c>
      <c r="K124" s="325">
        <f>J124*0.1</f>
        <v>2252.8000000000002</v>
      </c>
      <c r="L124" s="326">
        <f t="shared" ref="L124:L139" si="12">SUM(I124+K124)</f>
        <v>6380.4400000000005</v>
      </c>
      <c r="M124" s="411"/>
      <c r="N124" s="429">
        <f>SUM(L124:L136)</f>
        <v>133989.24000000002</v>
      </c>
      <c r="O124" s="430">
        <f>SUM(L137:L148)</f>
        <v>319602.04000000004</v>
      </c>
      <c r="P124" s="431">
        <f>SUM(L149:L160)</f>
        <v>671686.32</v>
      </c>
      <c r="T124" s="400"/>
      <c r="U124" s="400"/>
      <c r="V124" s="401"/>
    </row>
    <row r="125" spans="1:22" s="36" customFormat="1">
      <c r="C125" s="290">
        <v>1</v>
      </c>
      <c r="D125" s="168">
        <v>0</v>
      </c>
      <c r="E125" s="166">
        <v>0</v>
      </c>
      <c r="F125" s="166">
        <f>(Bandwidth!N6+Bandwidth!O6+Bandwidth!I49)</f>
        <v>173.06773559570311</v>
      </c>
      <c r="G125" s="328">
        <v>512</v>
      </c>
      <c r="H125" s="329">
        <f>ROUNDUP(MAX($D125/gen_xl_tps80,$E125/gen_xl_ram,$F125/7.5),0)*2</f>
        <v>48</v>
      </c>
      <c r="I125" s="330">
        <f t="shared" ref="I125:I160" si="13">H125*93.81</f>
        <v>4502.88</v>
      </c>
      <c r="J125" s="167">
        <f t="shared" ref="J125:J160" si="14">H125*G125</f>
        <v>24576</v>
      </c>
      <c r="K125" s="331">
        <f t="shared" ref="K125:K160" si="15">J125*0.1</f>
        <v>2457.6000000000004</v>
      </c>
      <c r="L125" s="332">
        <f t="shared" si="12"/>
        <v>6960.4800000000005</v>
      </c>
      <c r="M125" s="411"/>
      <c r="N125" s="303"/>
      <c r="O125" s="303"/>
      <c r="P125" s="72"/>
      <c r="Q125" s="303"/>
    </row>
    <row r="126" spans="1:22" s="36" customFormat="1">
      <c r="C126" s="290">
        <v>2</v>
      </c>
      <c r="D126" s="168">
        <v>0</v>
      </c>
      <c r="E126" s="166">
        <v>0</v>
      </c>
      <c r="F126" s="166">
        <f>(Bandwidth!N7+Bandwidth!O7+Bandwidth!I50)</f>
        <v>182.19382080078125</v>
      </c>
      <c r="G126" s="328">
        <v>512</v>
      </c>
      <c r="H126" s="329">
        <f>ROUNDUP(MAX($D126/gen_xl_tps80,$E126/gen_xl_ram,$F126/7.5),0)*2</f>
        <v>50</v>
      </c>
      <c r="I126" s="330">
        <f t="shared" si="13"/>
        <v>4690.5</v>
      </c>
      <c r="J126" s="167">
        <f t="shared" si="14"/>
        <v>25600</v>
      </c>
      <c r="K126" s="331">
        <f t="shared" si="15"/>
        <v>2560</v>
      </c>
      <c r="L126" s="332">
        <f t="shared" si="12"/>
        <v>7250.5</v>
      </c>
      <c r="M126" s="411"/>
      <c r="N126" s="303"/>
      <c r="O126" s="303"/>
      <c r="P126" s="72"/>
      <c r="Q126" s="303"/>
    </row>
    <row r="127" spans="1:22" s="36" customFormat="1">
      <c r="C127" s="290">
        <v>3</v>
      </c>
      <c r="D127" s="168">
        <v>0</v>
      </c>
      <c r="E127" s="166">
        <v>0</v>
      </c>
      <c r="F127" s="166">
        <f>(Bandwidth!N8+Bandwidth!O8+Bandwidth!I51)</f>
        <v>191.31990600585937</v>
      </c>
      <c r="G127" s="328">
        <v>512</v>
      </c>
      <c r="H127" s="329">
        <f>ROUNDUP(MAX($D127/gen_xl_tps80,$E127/gen_xl_ram,$F127/7.5),0)*2</f>
        <v>52</v>
      </c>
      <c r="I127" s="330">
        <f t="shared" si="13"/>
        <v>4878.12</v>
      </c>
      <c r="J127" s="167">
        <f t="shared" si="14"/>
        <v>26624</v>
      </c>
      <c r="K127" s="331">
        <f t="shared" si="15"/>
        <v>2662.4</v>
      </c>
      <c r="L127" s="332">
        <f t="shared" si="12"/>
        <v>7540.52</v>
      </c>
      <c r="M127" s="411"/>
      <c r="N127" s="303"/>
      <c r="O127" s="303"/>
      <c r="P127" s="72"/>
      <c r="Q127" s="303"/>
    </row>
    <row r="128" spans="1:22" s="36" customFormat="1">
      <c r="C128" s="290">
        <v>4</v>
      </c>
      <c r="D128" s="168">
        <v>0</v>
      </c>
      <c r="E128" s="166">
        <v>0</v>
      </c>
      <c r="F128" s="166">
        <f>(Bandwidth!N9+Bandwidth!O9+Bandwidth!I52)</f>
        <v>200.44599121093751</v>
      </c>
      <c r="G128" s="328">
        <v>512</v>
      </c>
      <c r="H128" s="329">
        <f>ROUNDUP(MAX($D128/gen_xl_tps80,$E128/gen_xl_ram,$F128/7.5),0)*2</f>
        <v>54</v>
      </c>
      <c r="I128" s="330">
        <f t="shared" si="13"/>
        <v>5065.74</v>
      </c>
      <c r="J128" s="167">
        <f t="shared" si="14"/>
        <v>27648</v>
      </c>
      <c r="K128" s="331">
        <f t="shared" si="15"/>
        <v>2764.8</v>
      </c>
      <c r="L128" s="332">
        <f t="shared" si="12"/>
        <v>7830.54</v>
      </c>
      <c r="M128" s="411"/>
      <c r="N128" s="303"/>
      <c r="O128" s="303"/>
      <c r="P128" s="72"/>
      <c r="Q128" s="303"/>
    </row>
    <row r="129" spans="3:17" s="36" customFormat="1">
      <c r="C129" s="290">
        <v>5</v>
      </c>
      <c r="D129" s="168">
        <v>0</v>
      </c>
      <c r="E129" s="166">
        <v>0</v>
      </c>
      <c r="F129" s="166">
        <f>(Bandwidth!N10+Bandwidth!O10+Bandwidth!I53)</f>
        <v>209.57207641601562</v>
      </c>
      <c r="G129" s="328">
        <v>512</v>
      </c>
      <c r="H129" s="329">
        <f>ROUNDUP(MAX($D129/gen_xl_tps80,$E129/gen_xl_ram,$F129/7.5),0)*2</f>
        <v>56</v>
      </c>
      <c r="I129" s="330">
        <f t="shared" si="13"/>
        <v>5253.3600000000006</v>
      </c>
      <c r="J129" s="167">
        <f t="shared" si="14"/>
        <v>28672</v>
      </c>
      <c r="K129" s="331">
        <f t="shared" si="15"/>
        <v>2867.2000000000003</v>
      </c>
      <c r="L129" s="332">
        <f t="shared" si="12"/>
        <v>8120.5600000000013</v>
      </c>
      <c r="M129" s="411"/>
      <c r="N129" s="303"/>
      <c r="O129" s="303"/>
      <c r="P129" s="72"/>
      <c r="Q129" s="303"/>
    </row>
    <row r="130" spans="3:17" s="36" customFormat="1">
      <c r="C130" s="290">
        <v>6</v>
      </c>
      <c r="D130" s="168">
        <v>0</v>
      </c>
      <c r="E130" s="166">
        <v>0</v>
      </c>
      <c r="F130" s="166">
        <f>(Bandwidth!N11+Bandwidth!O11+Bandwidth!I54)</f>
        <v>218.6981616210937</v>
      </c>
      <c r="G130" s="328">
        <v>512</v>
      </c>
      <c r="H130" s="329">
        <f>ROUNDUP(MAX($D130/gen_xl_tps80,$E130/gen_xl_ram,$F130/7.5),0)*2</f>
        <v>60</v>
      </c>
      <c r="I130" s="330">
        <f t="shared" si="13"/>
        <v>5628.6</v>
      </c>
      <c r="J130" s="167">
        <f t="shared" si="14"/>
        <v>30720</v>
      </c>
      <c r="K130" s="331">
        <f t="shared" si="15"/>
        <v>3072</v>
      </c>
      <c r="L130" s="332">
        <f t="shared" si="12"/>
        <v>8700.6</v>
      </c>
      <c r="M130" s="411"/>
      <c r="N130" s="303"/>
      <c r="O130" s="303"/>
      <c r="P130" s="72"/>
      <c r="Q130" s="303"/>
    </row>
    <row r="131" spans="3:17" s="36" customFormat="1">
      <c r="C131" s="290">
        <v>7</v>
      </c>
      <c r="D131" s="168">
        <v>0</v>
      </c>
      <c r="E131" s="166">
        <v>0</v>
      </c>
      <c r="F131" s="166">
        <f>(Bandwidth!N12+Bandwidth!O12+Bandwidth!I55)</f>
        <v>255.12053161621094</v>
      </c>
      <c r="G131" s="328">
        <v>512</v>
      </c>
      <c r="H131" s="329">
        <f>ROUNDUP(MAX($D131/gen_xl_tps80,$E131/gen_xl_ram,$F131/7.5),0)*2</f>
        <v>70</v>
      </c>
      <c r="I131" s="330">
        <f t="shared" si="13"/>
        <v>6566.7</v>
      </c>
      <c r="J131" s="167">
        <f t="shared" si="14"/>
        <v>35840</v>
      </c>
      <c r="K131" s="331">
        <f t="shared" si="15"/>
        <v>3584</v>
      </c>
      <c r="L131" s="332">
        <f t="shared" si="12"/>
        <v>10150.700000000001</v>
      </c>
      <c r="M131" s="411"/>
      <c r="N131" s="303"/>
      <c r="O131" s="303"/>
      <c r="P131" s="72"/>
      <c r="Q131" s="303"/>
    </row>
    <row r="132" spans="3:17" s="36" customFormat="1">
      <c r="C132" s="290">
        <v>8</v>
      </c>
      <c r="D132" s="168">
        <v>0</v>
      </c>
      <c r="E132" s="166">
        <v>0</v>
      </c>
      <c r="F132" s="166">
        <f>(Bandwidth!N13+Bandwidth!O13+Bandwidth!I56)</f>
        <v>291.54290161132809</v>
      </c>
      <c r="G132" s="328">
        <v>512</v>
      </c>
      <c r="H132" s="329">
        <f>ROUNDUP(MAX($D132/gen_xl_tps80,$E132/gen_xl_ram,$F132/7.5),0)*2</f>
        <v>78</v>
      </c>
      <c r="I132" s="330">
        <f t="shared" si="13"/>
        <v>7317.18</v>
      </c>
      <c r="J132" s="167">
        <f t="shared" si="14"/>
        <v>39936</v>
      </c>
      <c r="K132" s="331">
        <f t="shared" si="15"/>
        <v>3993.6000000000004</v>
      </c>
      <c r="L132" s="332">
        <f t="shared" si="12"/>
        <v>11310.78</v>
      </c>
      <c r="M132" s="411"/>
      <c r="N132" s="303"/>
      <c r="O132" s="303"/>
      <c r="P132" s="72"/>
      <c r="Q132" s="303"/>
    </row>
    <row r="133" spans="3:17" s="36" customFormat="1">
      <c r="C133" s="290">
        <v>9</v>
      </c>
      <c r="D133" s="168">
        <v>0</v>
      </c>
      <c r="E133" s="166">
        <v>0</v>
      </c>
      <c r="F133" s="166">
        <f>(Bandwidth!N14+Bandwidth!O14+Bandwidth!I57)</f>
        <v>327.9652716064453</v>
      </c>
      <c r="G133" s="328">
        <v>512</v>
      </c>
      <c r="H133" s="329">
        <f>ROUNDUP(MAX($D133/gen_xl_tps80,$E133/gen_xl_ram,$F133/7.5),0)*2</f>
        <v>88</v>
      </c>
      <c r="I133" s="330">
        <f t="shared" si="13"/>
        <v>8255.2800000000007</v>
      </c>
      <c r="J133" s="167">
        <f t="shared" si="14"/>
        <v>45056</v>
      </c>
      <c r="K133" s="331">
        <f t="shared" si="15"/>
        <v>4505.6000000000004</v>
      </c>
      <c r="L133" s="332">
        <f t="shared" si="12"/>
        <v>12760.880000000001</v>
      </c>
      <c r="M133" s="411"/>
      <c r="N133" s="303"/>
      <c r="O133" s="303"/>
      <c r="P133" s="72"/>
      <c r="Q133" s="303"/>
    </row>
    <row r="134" spans="3:17" s="36" customFormat="1">
      <c r="C134" s="290">
        <v>10</v>
      </c>
      <c r="D134" s="168">
        <v>0</v>
      </c>
      <c r="E134" s="166">
        <v>0</v>
      </c>
      <c r="F134" s="166">
        <f>(Bandwidth!N15+Bandwidth!O15+Bandwidth!I58)</f>
        <v>364.38764160156251</v>
      </c>
      <c r="G134" s="328">
        <v>512</v>
      </c>
      <c r="H134" s="329">
        <f>ROUNDUP(MAX($D134/gen_xl_tps80,$E134/gen_xl_ram,$F134/7.5),0)*2</f>
        <v>98</v>
      </c>
      <c r="I134" s="330">
        <f t="shared" si="13"/>
        <v>9193.380000000001</v>
      </c>
      <c r="J134" s="167">
        <f t="shared" si="14"/>
        <v>50176</v>
      </c>
      <c r="K134" s="331">
        <f t="shared" si="15"/>
        <v>5017.6000000000004</v>
      </c>
      <c r="L134" s="332">
        <f t="shared" si="12"/>
        <v>14210.980000000001</v>
      </c>
      <c r="M134" s="411"/>
      <c r="N134" s="303"/>
      <c r="O134" s="303"/>
      <c r="P134" s="72"/>
      <c r="Q134" s="303"/>
    </row>
    <row r="135" spans="3:17" s="36" customFormat="1">
      <c r="C135" s="290">
        <v>11</v>
      </c>
      <c r="D135" s="168">
        <v>0</v>
      </c>
      <c r="E135" s="166">
        <v>0</v>
      </c>
      <c r="F135" s="166">
        <f>(Bandwidth!N16+Bandwidth!O16+Bandwidth!I59)</f>
        <v>400.81001159667966</v>
      </c>
      <c r="G135" s="328">
        <v>512</v>
      </c>
      <c r="H135" s="329">
        <f>ROUNDUP(MAX($D135/gen_xl_tps80,$E135/gen_xl_ram,$F135/7.5),0)*2</f>
        <v>108</v>
      </c>
      <c r="I135" s="330">
        <f t="shared" si="13"/>
        <v>10131.48</v>
      </c>
      <c r="J135" s="167">
        <f t="shared" si="14"/>
        <v>55296</v>
      </c>
      <c r="K135" s="331">
        <f t="shared" si="15"/>
        <v>5529.6</v>
      </c>
      <c r="L135" s="332">
        <f t="shared" si="12"/>
        <v>15661.08</v>
      </c>
      <c r="M135" s="411"/>
      <c r="N135" s="303"/>
      <c r="O135" s="303"/>
      <c r="P135" s="72"/>
      <c r="Q135" s="303"/>
    </row>
    <row r="136" spans="3:17" s="36" customFormat="1">
      <c r="C136" s="290">
        <v>12</v>
      </c>
      <c r="D136" s="168">
        <v>0</v>
      </c>
      <c r="E136" s="166">
        <v>0</v>
      </c>
      <c r="F136" s="166">
        <f>(Bandwidth!N17+Bandwidth!O17+Bandwidth!I60)</f>
        <v>437.23238159179681</v>
      </c>
      <c r="G136" s="328">
        <v>512</v>
      </c>
      <c r="H136" s="329">
        <f>ROUNDUP(MAX($D136/gen_xl_tps80,$E136/gen_xl_ram,$F136/7.5),0)*2</f>
        <v>118</v>
      </c>
      <c r="I136" s="330">
        <f t="shared" si="13"/>
        <v>11069.58</v>
      </c>
      <c r="J136" s="167">
        <f t="shared" si="14"/>
        <v>60416</v>
      </c>
      <c r="K136" s="331">
        <f t="shared" si="15"/>
        <v>6041.6</v>
      </c>
      <c r="L136" s="332">
        <f t="shared" si="12"/>
        <v>17111.18</v>
      </c>
      <c r="M136" s="411"/>
      <c r="N136" s="303"/>
      <c r="O136" s="303"/>
      <c r="P136" s="72"/>
      <c r="Q136" s="303"/>
    </row>
    <row r="137" spans="3:17" s="36" customFormat="1">
      <c r="C137" s="290">
        <v>13</v>
      </c>
      <c r="D137" s="168">
        <v>0</v>
      </c>
      <c r="E137" s="166">
        <v>0</v>
      </c>
      <c r="F137" s="166">
        <f>(Bandwidth!N18+Bandwidth!O18+Bandwidth!I61)</f>
        <v>461.49574584960931</v>
      </c>
      <c r="G137" s="328">
        <v>512</v>
      </c>
      <c r="H137" s="329">
        <f>ROUNDUP(MAX($D137/gen_xl_tps80,$E137/gen_xl_ram,$F137/7.5),0)*2</f>
        <v>124</v>
      </c>
      <c r="I137" s="330">
        <f t="shared" si="13"/>
        <v>11632.44</v>
      </c>
      <c r="J137" s="167">
        <f t="shared" si="14"/>
        <v>63488</v>
      </c>
      <c r="K137" s="331">
        <f t="shared" si="15"/>
        <v>6348.8</v>
      </c>
      <c r="L137" s="332">
        <f t="shared" si="12"/>
        <v>17981.240000000002</v>
      </c>
      <c r="M137" s="411"/>
      <c r="N137" s="303"/>
      <c r="O137" s="303"/>
      <c r="P137" s="72"/>
      <c r="Q137" s="303"/>
    </row>
    <row r="138" spans="3:17" s="36" customFormat="1">
      <c r="C138" s="290">
        <v>14</v>
      </c>
      <c r="D138" s="168">
        <v>0</v>
      </c>
      <c r="E138" s="166">
        <v>0</v>
      </c>
      <c r="F138" s="166">
        <f>(Bandwidth!N19+Bandwidth!O19+Bandwidth!I62)</f>
        <v>485.75911010742175</v>
      </c>
      <c r="G138" s="328">
        <v>512</v>
      </c>
      <c r="H138" s="329">
        <f>ROUNDUP(MAX($D138/gen_xl_tps80,$E138/gen_xl_ram,$F138/7.5),0)*2</f>
        <v>130</v>
      </c>
      <c r="I138" s="330">
        <f t="shared" si="13"/>
        <v>12195.300000000001</v>
      </c>
      <c r="J138" s="167">
        <f t="shared" si="14"/>
        <v>66560</v>
      </c>
      <c r="K138" s="331">
        <f t="shared" si="15"/>
        <v>6656</v>
      </c>
      <c r="L138" s="332">
        <f t="shared" si="12"/>
        <v>18851.300000000003</v>
      </c>
      <c r="M138" s="411"/>
      <c r="N138" s="303"/>
      <c r="O138" s="303"/>
      <c r="P138" s="72"/>
      <c r="Q138" s="303"/>
    </row>
    <row r="139" spans="3:17" s="36" customFormat="1">
      <c r="C139" s="290">
        <v>15</v>
      </c>
      <c r="D139" s="168">
        <v>0</v>
      </c>
      <c r="E139" s="166">
        <v>0</v>
      </c>
      <c r="F139" s="166">
        <f>(Bandwidth!N20+Bandwidth!O20+Bandwidth!I63)</f>
        <v>510.02247436523436</v>
      </c>
      <c r="G139" s="328">
        <v>512</v>
      </c>
      <c r="H139" s="329">
        <f>ROUNDUP(MAX($D139/gen_xl_tps80,$E139/gen_xl_ram,$F139/7.5),0)*2</f>
        <v>138</v>
      </c>
      <c r="I139" s="330">
        <f t="shared" si="13"/>
        <v>12945.78</v>
      </c>
      <c r="J139" s="167">
        <f t="shared" si="14"/>
        <v>70656</v>
      </c>
      <c r="K139" s="331">
        <f t="shared" si="15"/>
        <v>7065.6</v>
      </c>
      <c r="L139" s="332">
        <f t="shared" si="12"/>
        <v>20011.38</v>
      </c>
      <c r="M139" s="411"/>
      <c r="N139" s="303"/>
      <c r="O139" s="303"/>
      <c r="P139" s="72"/>
      <c r="Q139" s="303"/>
    </row>
    <row r="140" spans="3:17" s="36" customFormat="1">
      <c r="C140" s="290">
        <v>16</v>
      </c>
      <c r="D140" s="168">
        <v>0</v>
      </c>
      <c r="E140" s="166">
        <v>0</v>
      </c>
      <c r="F140" s="166">
        <f>(Bandwidth!N21+Bandwidth!O21+Bandwidth!I64)</f>
        <v>534.28583862304686</v>
      </c>
      <c r="G140" s="328">
        <v>512</v>
      </c>
      <c r="H140" s="329">
        <f>ROUNDUP(MAX($D140/gen_xl_tps80,$E140/gen_xl_ram,$F140/7.5),0)*2</f>
        <v>144</v>
      </c>
      <c r="I140" s="330">
        <f t="shared" si="13"/>
        <v>13508.64</v>
      </c>
      <c r="J140" s="167">
        <f t="shared" si="14"/>
        <v>73728</v>
      </c>
      <c r="K140" s="331">
        <f t="shared" si="15"/>
        <v>7372.8</v>
      </c>
      <c r="L140" s="332">
        <f t="shared" ref="L140:L160" si="16">SUM(I140+K140)</f>
        <v>20881.439999999999</v>
      </c>
      <c r="M140" s="411"/>
      <c r="N140" s="303"/>
      <c r="O140" s="303"/>
      <c r="P140" s="72"/>
      <c r="Q140" s="303"/>
    </row>
    <row r="141" spans="3:17" s="36" customFormat="1">
      <c r="C141" s="290">
        <v>17</v>
      </c>
      <c r="D141" s="168">
        <v>0</v>
      </c>
      <c r="E141" s="166">
        <v>0</v>
      </c>
      <c r="F141" s="166">
        <f>(Bandwidth!N22+Bandwidth!O22+Bandwidth!I65)</f>
        <v>558.54920288085941</v>
      </c>
      <c r="G141" s="328">
        <v>512</v>
      </c>
      <c r="H141" s="329">
        <f>ROUNDUP(MAX($D141/gen_xl_tps80,$E141/gen_xl_ram,$F141/7.5),0)*2</f>
        <v>150</v>
      </c>
      <c r="I141" s="330">
        <f t="shared" si="13"/>
        <v>14071.5</v>
      </c>
      <c r="J141" s="167">
        <f t="shared" si="14"/>
        <v>76800</v>
      </c>
      <c r="K141" s="331">
        <f t="shared" si="15"/>
        <v>7680</v>
      </c>
      <c r="L141" s="332">
        <f t="shared" si="16"/>
        <v>21751.5</v>
      </c>
      <c r="M141" s="411"/>
      <c r="N141" s="303"/>
      <c r="O141" s="303"/>
      <c r="P141" s="72"/>
      <c r="Q141" s="303"/>
    </row>
    <row r="142" spans="3:17" s="36" customFormat="1">
      <c r="C142" s="290">
        <v>18</v>
      </c>
      <c r="D142" s="168">
        <v>0</v>
      </c>
      <c r="E142" s="166">
        <v>0</v>
      </c>
      <c r="F142" s="166">
        <f>(Bandwidth!N23+Bandwidth!O23+Bandwidth!I66)</f>
        <v>582.81256713867185</v>
      </c>
      <c r="G142" s="328">
        <v>512</v>
      </c>
      <c r="H142" s="329">
        <f>ROUNDUP(MAX($D142/gen_xl_tps80,$E142/gen_xl_ram,$F142/7.5),0)*2</f>
        <v>156</v>
      </c>
      <c r="I142" s="330">
        <f t="shared" si="13"/>
        <v>14634.36</v>
      </c>
      <c r="J142" s="167">
        <f t="shared" si="14"/>
        <v>79872</v>
      </c>
      <c r="K142" s="331">
        <f t="shared" si="15"/>
        <v>7987.2000000000007</v>
      </c>
      <c r="L142" s="332">
        <f t="shared" si="16"/>
        <v>22621.56</v>
      </c>
      <c r="M142" s="411"/>
      <c r="N142" s="303"/>
      <c r="O142" s="303"/>
      <c r="P142" s="72"/>
      <c r="Q142" s="303"/>
    </row>
    <row r="143" spans="3:17" s="36" customFormat="1">
      <c r="C143" s="290">
        <v>19</v>
      </c>
      <c r="D143" s="168">
        <v>0</v>
      </c>
      <c r="E143" s="166">
        <v>0</v>
      </c>
      <c r="F143" s="166">
        <f>(Bandwidth!N24+Bandwidth!O24+Bandwidth!I67)</f>
        <v>658.36234436035159</v>
      </c>
      <c r="G143" s="328">
        <v>512</v>
      </c>
      <c r="H143" s="329">
        <f>ROUNDUP(MAX($D143/gen_xl_tps80,$E143/gen_xl_ram,$F143/7.5),0)*2</f>
        <v>176</v>
      </c>
      <c r="I143" s="330">
        <f t="shared" si="13"/>
        <v>16510.560000000001</v>
      </c>
      <c r="J143" s="167">
        <f t="shared" si="14"/>
        <v>90112</v>
      </c>
      <c r="K143" s="331">
        <f t="shared" si="15"/>
        <v>9011.2000000000007</v>
      </c>
      <c r="L143" s="332">
        <f t="shared" si="16"/>
        <v>25521.760000000002</v>
      </c>
      <c r="M143" s="411"/>
      <c r="N143" s="303"/>
      <c r="O143" s="303"/>
      <c r="P143" s="72"/>
      <c r="Q143" s="303"/>
    </row>
    <row r="144" spans="3:17" s="36" customFormat="1">
      <c r="C144" s="290">
        <v>20</v>
      </c>
      <c r="D144" s="168">
        <v>0</v>
      </c>
      <c r="E144" s="166">
        <v>0</v>
      </c>
      <c r="F144" s="166">
        <f>(Bandwidth!N25+Bandwidth!O25+Bandwidth!I68)</f>
        <v>733.91212158203132</v>
      </c>
      <c r="G144" s="328">
        <v>512</v>
      </c>
      <c r="H144" s="329">
        <f>ROUNDUP(MAX($D144/gen_xl_tps80,$E144/gen_xl_ram,$F144/7.5),0)*2</f>
        <v>196</v>
      </c>
      <c r="I144" s="330">
        <f t="shared" si="13"/>
        <v>18386.760000000002</v>
      </c>
      <c r="J144" s="167">
        <f t="shared" si="14"/>
        <v>100352</v>
      </c>
      <c r="K144" s="331">
        <f t="shared" si="15"/>
        <v>10035.200000000001</v>
      </c>
      <c r="L144" s="332">
        <f t="shared" si="16"/>
        <v>28421.960000000003</v>
      </c>
      <c r="M144" s="411"/>
      <c r="N144" s="303"/>
      <c r="O144" s="303"/>
      <c r="P144" s="72"/>
      <c r="Q144" s="303"/>
    </row>
    <row r="145" spans="3:17" s="36" customFormat="1">
      <c r="C145" s="290">
        <v>21</v>
      </c>
      <c r="D145" s="168">
        <v>0</v>
      </c>
      <c r="E145" s="166">
        <v>0</v>
      </c>
      <c r="F145" s="166">
        <f>(Bandwidth!N26+Bandwidth!O26+Bandwidth!I69)</f>
        <v>809.46189880371094</v>
      </c>
      <c r="G145" s="328">
        <v>512</v>
      </c>
      <c r="H145" s="329">
        <f>ROUNDUP(MAX($D145/gen_xl_tps80,$E145/gen_xl_ram,$F145/7.5),0)*2</f>
        <v>216</v>
      </c>
      <c r="I145" s="330">
        <f t="shared" si="13"/>
        <v>20262.96</v>
      </c>
      <c r="J145" s="167">
        <f t="shared" si="14"/>
        <v>110592</v>
      </c>
      <c r="K145" s="331">
        <f t="shared" si="15"/>
        <v>11059.2</v>
      </c>
      <c r="L145" s="332">
        <f t="shared" si="16"/>
        <v>31322.16</v>
      </c>
      <c r="M145" s="411"/>
      <c r="N145" s="303"/>
      <c r="O145" s="303"/>
      <c r="P145" s="72"/>
      <c r="Q145" s="303"/>
    </row>
    <row r="146" spans="3:17" s="36" customFormat="1">
      <c r="C146" s="290">
        <v>22</v>
      </c>
      <c r="D146" s="168">
        <v>0</v>
      </c>
      <c r="E146" s="166">
        <v>0</v>
      </c>
      <c r="F146" s="166">
        <f>(Bandwidth!N27+Bandwidth!O27+Bandwidth!I70)</f>
        <v>885.01167602539067</v>
      </c>
      <c r="G146" s="328">
        <v>512</v>
      </c>
      <c r="H146" s="329">
        <f>ROUNDUP(MAX($D146/gen_xl_tps80,$E146/gen_xl_ram,$F146/7.5),0)*2</f>
        <v>238</v>
      </c>
      <c r="I146" s="330">
        <f t="shared" si="13"/>
        <v>22326.78</v>
      </c>
      <c r="J146" s="167">
        <f t="shared" si="14"/>
        <v>121856</v>
      </c>
      <c r="K146" s="331">
        <f t="shared" si="15"/>
        <v>12185.6</v>
      </c>
      <c r="L146" s="332">
        <f t="shared" si="16"/>
        <v>34512.379999999997</v>
      </c>
      <c r="M146" s="411"/>
      <c r="N146" s="303"/>
      <c r="O146" s="303"/>
      <c r="P146" s="72"/>
      <c r="Q146" s="303"/>
    </row>
    <row r="147" spans="3:17" s="36" customFormat="1">
      <c r="C147" s="290">
        <v>23</v>
      </c>
      <c r="D147" s="168">
        <v>0</v>
      </c>
      <c r="E147" s="166">
        <v>0</v>
      </c>
      <c r="F147" s="166">
        <f>(Bandwidth!N28+Bandwidth!O28+Bandwidth!I71)</f>
        <v>960.56145324707029</v>
      </c>
      <c r="G147" s="328">
        <v>512</v>
      </c>
      <c r="H147" s="329">
        <f>ROUNDUP(MAX($D147/gen_xl_tps80,$E147/gen_xl_ram,$F147/7.5),0)*2</f>
        <v>258</v>
      </c>
      <c r="I147" s="330">
        <f t="shared" si="13"/>
        <v>24202.98</v>
      </c>
      <c r="J147" s="167">
        <f t="shared" si="14"/>
        <v>132096</v>
      </c>
      <c r="K147" s="331">
        <f t="shared" si="15"/>
        <v>13209.6</v>
      </c>
      <c r="L147" s="332">
        <f t="shared" si="16"/>
        <v>37412.58</v>
      </c>
      <c r="M147" s="411"/>
      <c r="N147" s="303"/>
      <c r="O147" s="303"/>
      <c r="P147" s="72"/>
      <c r="Q147" s="303"/>
    </row>
    <row r="148" spans="3:17" s="36" customFormat="1">
      <c r="C148" s="290">
        <v>24</v>
      </c>
      <c r="D148" s="168">
        <v>0</v>
      </c>
      <c r="E148" s="166">
        <v>0</v>
      </c>
      <c r="F148" s="166">
        <f>(Bandwidth!N29+Bandwidth!O29+Bandwidth!I72)</f>
        <v>1036.1112304687499</v>
      </c>
      <c r="G148" s="328">
        <v>512</v>
      </c>
      <c r="H148" s="329">
        <f>ROUNDUP(MAX($D148/gen_xl_tps80,$E148/gen_xl_ram,$F148/7.5),0)*2</f>
        <v>278</v>
      </c>
      <c r="I148" s="330">
        <f t="shared" si="13"/>
        <v>26079.18</v>
      </c>
      <c r="J148" s="167">
        <f t="shared" si="14"/>
        <v>142336</v>
      </c>
      <c r="K148" s="331">
        <f t="shared" si="15"/>
        <v>14233.6</v>
      </c>
      <c r="L148" s="332">
        <f t="shared" si="16"/>
        <v>40312.78</v>
      </c>
      <c r="M148" s="411"/>
      <c r="N148" s="303"/>
      <c r="O148" s="303"/>
      <c r="P148" s="72"/>
      <c r="Q148" s="303"/>
    </row>
    <row r="149" spans="3:17" s="36" customFormat="1">
      <c r="C149" s="290">
        <v>25</v>
      </c>
      <c r="D149" s="168">
        <v>0</v>
      </c>
      <c r="E149" s="166">
        <v>0</v>
      </c>
      <c r="F149" s="166">
        <f>(Bandwidth!N30+Bandwidth!O30+Bandwidth!I73)</f>
        <v>1093.7093969726564</v>
      </c>
      <c r="G149" s="328">
        <v>512</v>
      </c>
      <c r="H149" s="329">
        <f>ROUNDUP(MAX($D149/gen_xl_tps80,$E149/gen_xl_ram,$F149/7.5),0)*2</f>
        <v>292</v>
      </c>
      <c r="I149" s="330">
        <f t="shared" si="13"/>
        <v>27392.52</v>
      </c>
      <c r="J149" s="167">
        <f t="shared" si="14"/>
        <v>149504</v>
      </c>
      <c r="K149" s="331">
        <f t="shared" si="15"/>
        <v>14950.400000000001</v>
      </c>
      <c r="L149" s="332">
        <f t="shared" si="16"/>
        <v>42342.92</v>
      </c>
      <c r="M149" s="411"/>
      <c r="N149" s="303"/>
      <c r="O149" s="303"/>
      <c r="P149" s="72"/>
      <c r="Q149" s="303"/>
    </row>
    <row r="150" spans="3:17" s="36" customFormat="1">
      <c r="C150" s="290">
        <v>26</v>
      </c>
      <c r="D150" s="168">
        <v>0</v>
      </c>
      <c r="E150" s="166">
        <v>0</v>
      </c>
      <c r="F150" s="166">
        <f>(Bandwidth!N31+Bandwidth!O31+Bandwidth!I74)</f>
        <v>1151.3075634765623</v>
      </c>
      <c r="G150" s="328">
        <v>512</v>
      </c>
      <c r="H150" s="329">
        <f>ROUNDUP(MAX($D150/gen_xl_tps80,$E150/gen_xl_ram,$F150/7.5),0)*2</f>
        <v>308</v>
      </c>
      <c r="I150" s="330">
        <f t="shared" si="13"/>
        <v>28893.48</v>
      </c>
      <c r="J150" s="167">
        <f t="shared" si="14"/>
        <v>157696</v>
      </c>
      <c r="K150" s="331">
        <f t="shared" si="15"/>
        <v>15769.6</v>
      </c>
      <c r="L150" s="332">
        <f t="shared" si="16"/>
        <v>44663.08</v>
      </c>
      <c r="M150" s="411"/>
      <c r="N150" s="303"/>
      <c r="O150" s="303"/>
      <c r="P150" s="72"/>
      <c r="Q150" s="303"/>
    </row>
    <row r="151" spans="3:17" s="36" customFormat="1">
      <c r="C151" s="290">
        <v>27</v>
      </c>
      <c r="D151" s="168">
        <v>0</v>
      </c>
      <c r="E151" s="166">
        <v>0</v>
      </c>
      <c r="F151" s="166">
        <f>(Bandwidth!N32+Bandwidth!O32+Bandwidth!I75)</f>
        <v>1208.9057299804685</v>
      </c>
      <c r="G151" s="328">
        <v>512</v>
      </c>
      <c r="H151" s="329">
        <f>ROUNDUP(MAX($D151/gen_xl_tps80,$E151/gen_xl_ram,$F151/7.5),0)*2</f>
        <v>324</v>
      </c>
      <c r="I151" s="330">
        <f t="shared" si="13"/>
        <v>30394.440000000002</v>
      </c>
      <c r="J151" s="167">
        <f t="shared" si="14"/>
        <v>165888</v>
      </c>
      <c r="K151" s="331">
        <f t="shared" si="15"/>
        <v>16588.8</v>
      </c>
      <c r="L151" s="332">
        <f t="shared" si="16"/>
        <v>46983.240000000005</v>
      </c>
      <c r="M151" s="411"/>
      <c r="N151" s="303"/>
      <c r="O151" s="303"/>
      <c r="P151" s="72"/>
      <c r="Q151" s="303"/>
    </row>
    <row r="152" spans="3:17" s="36" customFormat="1">
      <c r="C152" s="290">
        <v>28</v>
      </c>
      <c r="D152" s="168">
        <v>0</v>
      </c>
      <c r="E152" s="166">
        <v>0</v>
      </c>
      <c r="F152" s="166">
        <f>(Bandwidth!N33+Bandwidth!O33+Bandwidth!I76)</f>
        <v>1266.5038964843748</v>
      </c>
      <c r="G152" s="328">
        <v>512</v>
      </c>
      <c r="H152" s="329">
        <f>ROUNDUP(MAX($D152/gen_xl_tps80,$E152/gen_xl_ram,$F152/7.5),0)*2</f>
        <v>338</v>
      </c>
      <c r="I152" s="330">
        <f t="shared" si="13"/>
        <v>31707.780000000002</v>
      </c>
      <c r="J152" s="167">
        <f t="shared" si="14"/>
        <v>173056</v>
      </c>
      <c r="K152" s="331">
        <f t="shared" si="15"/>
        <v>17305.600000000002</v>
      </c>
      <c r="L152" s="332">
        <f t="shared" si="16"/>
        <v>49013.380000000005</v>
      </c>
      <c r="M152" s="411"/>
      <c r="N152" s="303"/>
      <c r="O152" s="303"/>
      <c r="P152" s="72"/>
      <c r="Q152" s="303"/>
    </row>
    <row r="153" spans="3:17" s="36" customFormat="1">
      <c r="C153" s="290">
        <v>29</v>
      </c>
      <c r="D153" s="168">
        <v>0</v>
      </c>
      <c r="E153" s="166">
        <v>0</v>
      </c>
      <c r="F153" s="166">
        <f>(Bandwidth!N34+Bandwidth!O34+Bandwidth!I77)</f>
        <v>1324.1020629882812</v>
      </c>
      <c r="G153" s="328">
        <v>512</v>
      </c>
      <c r="H153" s="329">
        <f>ROUNDUP(MAX($D153/gen_xl_tps80,$E153/gen_xl_ram,$F153/7.5),0)*2</f>
        <v>354</v>
      </c>
      <c r="I153" s="330">
        <f t="shared" si="13"/>
        <v>33208.74</v>
      </c>
      <c r="J153" s="167">
        <f t="shared" si="14"/>
        <v>181248</v>
      </c>
      <c r="K153" s="331">
        <f t="shared" si="15"/>
        <v>18124.8</v>
      </c>
      <c r="L153" s="332">
        <f t="shared" si="16"/>
        <v>51333.539999999994</v>
      </c>
      <c r="M153" s="411"/>
      <c r="N153" s="303"/>
      <c r="O153" s="303"/>
      <c r="P153" s="72"/>
      <c r="Q153" s="303"/>
    </row>
    <row r="154" spans="3:17" s="36" customFormat="1">
      <c r="C154" s="290">
        <v>30</v>
      </c>
      <c r="D154" s="168">
        <v>0</v>
      </c>
      <c r="E154" s="166">
        <v>0</v>
      </c>
      <c r="F154" s="166">
        <f>(Bandwidth!N35+Bandwidth!O35+Bandwidth!I78)</f>
        <v>1381.7002294921876</v>
      </c>
      <c r="G154" s="328">
        <v>512</v>
      </c>
      <c r="H154" s="329">
        <f>ROUNDUP(MAX($D154/gen_xl_tps80,$E154/gen_xl_ram,$F154/7.5),0)*2</f>
        <v>370</v>
      </c>
      <c r="I154" s="330">
        <f t="shared" si="13"/>
        <v>34709.700000000004</v>
      </c>
      <c r="J154" s="167">
        <f t="shared" si="14"/>
        <v>189440</v>
      </c>
      <c r="K154" s="331">
        <f t="shared" si="15"/>
        <v>18944</v>
      </c>
      <c r="L154" s="332">
        <f t="shared" si="16"/>
        <v>53653.700000000004</v>
      </c>
      <c r="M154" s="411"/>
      <c r="N154" s="303"/>
      <c r="O154" s="303"/>
      <c r="P154" s="72"/>
      <c r="Q154" s="303"/>
    </row>
    <row r="155" spans="3:17" s="36" customFormat="1">
      <c r="C155" s="290">
        <v>31</v>
      </c>
      <c r="D155" s="168">
        <v>0</v>
      </c>
      <c r="E155" s="166">
        <v>0</v>
      </c>
      <c r="F155" s="166">
        <f>(Bandwidth!N36+Bandwidth!O36+Bandwidth!I79)</f>
        <v>1458.4249218749999</v>
      </c>
      <c r="G155" s="328">
        <v>512</v>
      </c>
      <c r="H155" s="329">
        <f>ROUNDUP(MAX($D155/gen_xl_tps80,$E155/gen_xl_ram,$F155/7.5),0)*2</f>
        <v>390</v>
      </c>
      <c r="I155" s="330">
        <f t="shared" si="13"/>
        <v>36585.9</v>
      </c>
      <c r="J155" s="167">
        <f t="shared" si="14"/>
        <v>199680</v>
      </c>
      <c r="K155" s="331">
        <f t="shared" si="15"/>
        <v>19968</v>
      </c>
      <c r="L155" s="332">
        <f t="shared" si="16"/>
        <v>56553.9</v>
      </c>
      <c r="M155" s="411"/>
      <c r="N155" s="303"/>
      <c r="O155" s="303"/>
      <c r="P155" s="72"/>
      <c r="Q155" s="303"/>
    </row>
    <row r="156" spans="3:17" s="36" customFormat="1">
      <c r="C156" s="290">
        <v>32</v>
      </c>
      <c r="D156" s="168">
        <v>0</v>
      </c>
      <c r="E156" s="166">
        <v>0</v>
      </c>
      <c r="F156" s="166">
        <f>(Bandwidth!N37+Bandwidth!O37+Bandwidth!I80)</f>
        <v>1535.1496142578126</v>
      </c>
      <c r="G156" s="328">
        <v>512</v>
      </c>
      <c r="H156" s="329">
        <f>ROUNDUP(MAX($D156/gen_xl_tps80,$E156/gen_xl_ram,$F156/7.5),0)*2</f>
        <v>410</v>
      </c>
      <c r="I156" s="330">
        <f t="shared" si="13"/>
        <v>38462.1</v>
      </c>
      <c r="J156" s="167">
        <f t="shared" si="14"/>
        <v>209920</v>
      </c>
      <c r="K156" s="331">
        <f t="shared" si="15"/>
        <v>20992</v>
      </c>
      <c r="L156" s="332">
        <f t="shared" si="16"/>
        <v>59454.1</v>
      </c>
      <c r="M156" s="411"/>
      <c r="N156" s="303"/>
      <c r="O156" s="303"/>
      <c r="P156" s="72"/>
      <c r="Q156" s="303"/>
    </row>
    <row r="157" spans="3:17" s="36" customFormat="1">
      <c r="C157" s="290">
        <v>33</v>
      </c>
      <c r="D157" s="168">
        <v>0</v>
      </c>
      <c r="E157" s="166">
        <v>0</v>
      </c>
      <c r="F157" s="166">
        <f>(Bandwidth!N38+Bandwidth!O38+Bandwidth!I81)</f>
        <v>1611.8743066406248</v>
      </c>
      <c r="G157" s="328">
        <v>512</v>
      </c>
      <c r="H157" s="329">
        <f>ROUNDUP(MAX($D157/gen_xl_tps80,$E157/gen_xl_ram,$F157/7.5),0)*2</f>
        <v>430</v>
      </c>
      <c r="I157" s="330">
        <f t="shared" si="13"/>
        <v>40338.300000000003</v>
      </c>
      <c r="J157" s="167">
        <f t="shared" si="14"/>
        <v>220160</v>
      </c>
      <c r="K157" s="331">
        <f t="shared" si="15"/>
        <v>22016</v>
      </c>
      <c r="L157" s="332">
        <f t="shared" si="16"/>
        <v>62354.3</v>
      </c>
      <c r="M157" s="411"/>
      <c r="N157" s="303"/>
      <c r="O157" s="303"/>
      <c r="P157" s="72"/>
      <c r="Q157" s="303"/>
    </row>
    <row r="158" spans="3:17" s="36" customFormat="1">
      <c r="C158" s="290">
        <v>34</v>
      </c>
      <c r="D158" s="168">
        <v>0</v>
      </c>
      <c r="E158" s="166">
        <v>0</v>
      </c>
      <c r="F158" s="166">
        <f>(Bandwidth!N39+Bandwidth!O39+Bandwidth!I82)</f>
        <v>1688.5989990234373</v>
      </c>
      <c r="G158" s="328">
        <v>512</v>
      </c>
      <c r="H158" s="329">
        <f>ROUNDUP(MAX($D158/gen_xl_tps80,$E158/gen_xl_ram,$F158/7.5),0)*2</f>
        <v>452</v>
      </c>
      <c r="I158" s="330">
        <f t="shared" si="13"/>
        <v>42402.12</v>
      </c>
      <c r="J158" s="167">
        <f t="shared" si="14"/>
        <v>231424</v>
      </c>
      <c r="K158" s="331">
        <f t="shared" si="15"/>
        <v>23142.400000000001</v>
      </c>
      <c r="L158" s="332">
        <f t="shared" si="16"/>
        <v>65544.52</v>
      </c>
      <c r="M158" s="411"/>
      <c r="N158" s="303"/>
      <c r="O158" s="303"/>
      <c r="P158" s="72"/>
      <c r="Q158" s="303"/>
    </row>
    <row r="159" spans="3:17" s="36" customFormat="1">
      <c r="C159" s="290">
        <v>35</v>
      </c>
      <c r="D159" s="168">
        <v>0</v>
      </c>
      <c r="E159" s="166">
        <v>0</v>
      </c>
      <c r="F159" s="166">
        <f>(Bandwidth!N40+Bandwidth!O40+Bandwidth!I83)</f>
        <v>1765.3236914062497</v>
      </c>
      <c r="G159" s="328">
        <v>512</v>
      </c>
      <c r="H159" s="329">
        <f>ROUNDUP(MAX($D159/gen_xl_tps80,$E159/gen_xl_ram,$F159/7.5),0)*2</f>
        <v>472</v>
      </c>
      <c r="I159" s="330">
        <f t="shared" si="13"/>
        <v>44278.32</v>
      </c>
      <c r="J159" s="167">
        <f t="shared" si="14"/>
        <v>241664</v>
      </c>
      <c r="K159" s="331">
        <f t="shared" si="15"/>
        <v>24166.400000000001</v>
      </c>
      <c r="L159" s="332">
        <f t="shared" si="16"/>
        <v>68444.72</v>
      </c>
      <c r="M159" s="411"/>
      <c r="N159" s="303"/>
      <c r="O159" s="303"/>
      <c r="P159" s="72"/>
      <c r="Q159" s="303"/>
    </row>
    <row r="160" spans="3:17" s="36" customFormat="1" ht="17" thickBot="1">
      <c r="C160" s="291">
        <v>36</v>
      </c>
      <c r="D160" s="171">
        <v>0</v>
      </c>
      <c r="E160" s="177">
        <v>0</v>
      </c>
      <c r="F160" s="177">
        <f>(Bandwidth!N41+Bandwidth!O41+Bandwidth!I84)</f>
        <v>1842.0483837890622</v>
      </c>
      <c r="G160" s="334">
        <v>512</v>
      </c>
      <c r="H160" s="335">
        <f>ROUNDUP(MAX($D160/gen_xl_tps80,$E160/gen_xl_ram,$F160/7.5),0)*2</f>
        <v>492</v>
      </c>
      <c r="I160" s="336">
        <f t="shared" si="13"/>
        <v>46154.520000000004</v>
      </c>
      <c r="J160" s="337">
        <f t="shared" si="14"/>
        <v>251904</v>
      </c>
      <c r="K160" s="338">
        <f t="shared" si="15"/>
        <v>25190.400000000001</v>
      </c>
      <c r="L160" s="339">
        <f t="shared" si="16"/>
        <v>71344.920000000013</v>
      </c>
      <c r="M160" s="411"/>
      <c r="N160" s="303"/>
      <c r="O160" s="303"/>
      <c r="P160" s="72"/>
      <c r="Q160" s="303"/>
    </row>
    <row r="161" spans="1:17" s="36" customFormat="1" ht="17" thickBot="1">
      <c r="C161" s="300"/>
      <c r="D161" s="301"/>
      <c r="E161" s="302"/>
      <c r="F161" s="302"/>
      <c r="H161" s="72"/>
      <c r="I161" s="303"/>
      <c r="J161" s="72"/>
      <c r="K161" s="303"/>
      <c r="L161" s="72"/>
      <c r="M161" s="303"/>
      <c r="N161" s="72"/>
      <c r="O161" s="303"/>
      <c r="P161" s="72"/>
      <c r="Q161" s="303"/>
    </row>
    <row r="162" spans="1:17" s="36" customFormat="1" ht="22" thickBot="1">
      <c r="A162" s="408" t="s">
        <v>352</v>
      </c>
      <c r="B162" s="439" t="s">
        <v>333</v>
      </c>
      <c r="C162" s="403" t="s">
        <v>246</v>
      </c>
      <c r="D162" s="436" t="s">
        <v>269</v>
      </c>
      <c r="E162" s="436"/>
      <c r="F162" s="437" t="s">
        <v>256</v>
      </c>
      <c r="G162" s="438"/>
      <c r="H162" s="438"/>
      <c r="I162" s="438"/>
      <c r="J162" s="441"/>
      <c r="K162" s="303"/>
      <c r="N162" s="12" t="s">
        <v>285</v>
      </c>
      <c r="O162"/>
      <c r="P162"/>
      <c r="Q162" s="303"/>
    </row>
    <row r="163" spans="1:17" s="36" customFormat="1" ht="17" thickBot="1">
      <c r="B163" s="439" t="s">
        <v>334</v>
      </c>
      <c r="C163" s="404"/>
      <c r="D163" s="405" t="s">
        <v>343</v>
      </c>
      <c r="E163" s="405" t="s">
        <v>336</v>
      </c>
      <c r="F163" s="405" t="s">
        <v>337</v>
      </c>
      <c r="G163" s="405" t="s">
        <v>338</v>
      </c>
      <c r="H163" s="405" t="s">
        <v>339</v>
      </c>
      <c r="I163" s="405" t="s">
        <v>341</v>
      </c>
      <c r="J163" s="442" t="s">
        <v>342</v>
      </c>
      <c r="K163" s="303"/>
      <c r="N163" s="406" t="s">
        <v>44</v>
      </c>
      <c r="O163" s="407" t="s">
        <v>45</v>
      </c>
      <c r="P163" s="443" t="s">
        <v>46</v>
      </c>
      <c r="Q163" s="303"/>
    </row>
    <row r="164" spans="1:17" s="36" customFormat="1" ht="17" thickBot="1">
      <c r="B164" s="439" t="s">
        <v>335</v>
      </c>
      <c r="C164" s="292">
        <v>0</v>
      </c>
      <c r="D164" s="423">
        <f>Bandwidth!K128</f>
        <v>45853927.001953132</v>
      </c>
      <c r="E164" s="424">
        <v>4</v>
      </c>
      <c r="F164" s="425">
        <f>E164*24*365*0.048/2</f>
        <v>840.96</v>
      </c>
      <c r="G164" s="425">
        <f>D164*0.048/2</f>
        <v>1100494.2480468752</v>
      </c>
      <c r="H164" s="425">
        <f>E164*24*365*0.045/2</f>
        <v>788.4</v>
      </c>
      <c r="I164" s="426">
        <f>D164*0.045*25%/2</f>
        <v>257928.33938598636</v>
      </c>
      <c r="J164" s="427">
        <f>SUM(F164:I164)</f>
        <v>1360051.9474328614</v>
      </c>
      <c r="K164" s="303"/>
      <c r="N164" s="429">
        <f>SUM(J164:J176)</f>
        <v>11954554.413311232</v>
      </c>
      <c r="O164" s="430">
        <f>SUM(J177:J188)</f>
        <v>26734780.988299482</v>
      </c>
      <c r="P164" s="431">
        <f>SUM(J189:J200)</f>
        <v>56359939.986329034</v>
      </c>
      <c r="Q164" s="303"/>
    </row>
    <row r="165" spans="1:17" s="36" customFormat="1">
      <c r="B165" s="440" t="s">
        <v>340</v>
      </c>
      <c r="C165" s="290">
        <v>1</v>
      </c>
      <c r="D165" s="413">
        <f>Bandwidth!K129</f>
        <v>48406462.271728516</v>
      </c>
      <c r="E165" s="414">
        <v>4</v>
      </c>
      <c r="F165" s="415">
        <f t="shared" ref="F165:F200" si="17">E165*24*365*0.048/2</f>
        <v>840.96</v>
      </c>
      <c r="G165" s="415">
        <f t="shared" ref="G165:G200" si="18">D165*0.048*25%/2</f>
        <v>290438.77363037108</v>
      </c>
      <c r="H165" s="415">
        <f t="shared" ref="H165:H200" si="19">E165*24*365*0.045/2</f>
        <v>788.4</v>
      </c>
      <c r="I165" s="416">
        <f t="shared" ref="I165:I200" si="20">D165*0.045*25%/2</f>
        <v>272286.35027847288</v>
      </c>
      <c r="J165" s="417">
        <f t="shared" ref="J165:J200" si="21">SUM(F165:I165)</f>
        <v>564354.48390884395</v>
      </c>
      <c r="K165" s="303"/>
      <c r="L165" s="72"/>
      <c r="M165" s="303"/>
      <c r="N165" s="72"/>
      <c r="O165" s="303"/>
      <c r="P165" s="72"/>
      <c r="Q165" s="303"/>
    </row>
    <row r="166" spans="1:17" s="36" customFormat="1">
      <c r="C166" s="290">
        <v>2</v>
      </c>
      <c r="D166" s="413">
        <f>Bandwidth!K130</f>
        <v>50958997.541503906</v>
      </c>
      <c r="E166" s="414">
        <v>4</v>
      </c>
      <c r="F166" s="415">
        <f t="shared" si="17"/>
        <v>840.96</v>
      </c>
      <c r="G166" s="415">
        <f t="shared" si="18"/>
        <v>305753.98524902342</v>
      </c>
      <c r="H166" s="415">
        <f t="shared" si="19"/>
        <v>788.4</v>
      </c>
      <c r="I166" s="416">
        <f t="shared" si="20"/>
        <v>286644.36117095948</v>
      </c>
      <c r="J166" s="417">
        <f t="shared" si="21"/>
        <v>594027.70641998295</v>
      </c>
      <c r="K166" s="303"/>
      <c r="L166" s="72"/>
      <c r="M166" s="303"/>
      <c r="N166" s="72"/>
      <c r="O166" s="303"/>
      <c r="P166" s="72"/>
      <c r="Q166" s="303"/>
    </row>
    <row r="167" spans="1:17" s="36" customFormat="1">
      <c r="C167" s="290">
        <v>3</v>
      </c>
      <c r="D167" s="413">
        <f>Bandwidth!K131</f>
        <v>53511532.811279297</v>
      </c>
      <c r="E167" s="414">
        <v>4</v>
      </c>
      <c r="F167" s="415">
        <f t="shared" si="17"/>
        <v>840.96</v>
      </c>
      <c r="G167" s="415">
        <f t="shared" si="18"/>
        <v>321069.19686767581</v>
      </c>
      <c r="H167" s="415">
        <f t="shared" si="19"/>
        <v>788.4</v>
      </c>
      <c r="I167" s="416">
        <f t="shared" si="20"/>
        <v>301002.37206344603</v>
      </c>
      <c r="J167" s="417">
        <f t="shared" si="21"/>
        <v>623700.92893112195</v>
      </c>
      <c r="K167" s="303"/>
      <c r="L167" s="72"/>
      <c r="M167" s="303"/>
      <c r="N167" s="72"/>
      <c r="O167" s="303"/>
      <c r="P167" s="72"/>
      <c r="Q167" s="303"/>
    </row>
    <row r="168" spans="1:17" s="36" customFormat="1">
      <c r="C168" s="290">
        <v>4</v>
      </c>
      <c r="D168" s="413">
        <f>Bandwidth!K132</f>
        <v>56064068.081054688</v>
      </c>
      <c r="E168" s="414">
        <v>4</v>
      </c>
      <c r="F168" s="415">
        <f t="shared" si="17"/>
        <v>840.96</v>
      </c>
      <c r="G168" s="415">
        <f t="shared" si="18"/>
        <v>336384.40848632815</v>
      </c>
      <c r="H168" s="415">
        <f t="shared" si="19"/>
        <v>788.4</v>
      </c>
      <c r="I168" s="416">
        <f t="shared" si="20"/>
        <v>315360.38295593258</v>
      </c>
      <c r="J168" s="417">
        <f t="shared" si="21"/>
        <v>653374.15144226071</v>
      </c>
      <c r="K168" s="303"/>
      <c r="L168" s="72"/>
      <c r="M168" s="303"/>
      <c r="N168" s="72"/>
      <c r="O168" s="303"/>
      <c r="P168" s="72"/>
      <c r="Q168" s="303"/>
    </row>
    <row r="169" spans="1:17" s="36" customFormat="1">
      <c r="C169" s="290">
        <v>5</v>
      </c>
      <c r="D169" s="413">
        <f>Bandwidth!K133</f>
        <v>58616603.350830078</v>
      </c>
      <c r="E169" s="414">
        <v>4</v>
      </c>
      <c r="F169" s="415">
        <f t="shared" si="17"/>
        <v>840.96</v>
      </c>
      <c r="G169" s="415">
        <f t="shared" si="18"/>
        <v>351699.62010498048</v>
      </c>
      <c r="H169" s="415">
        <f t="shared" si="19"/>
        <v>788.4</v>
      </c>
      <c r="I169" s="416">
        <f t="shared" si="20"/>
        <v>329718.39384841919</v>
      </c>
      <c r="J169" s="417">
        <f t="shared" si="21"/>
        <v>683047.37395339971</v>
      </c>
      <c r="K169" s="303"/>
      <c r="L169" s="72"/>
      <c r="M169" s="303"/>
      <c r="N169" s="72"/>
      <c r="O169" s="303"/>
      <c r="P169" s="72"/>
      <c r="Q169" s="303"/>
    </row>
    <row r="170" spans="1:17" s="36" customFormat="1">
      <c r="C170" s="290">
        <v>6</v>
      </c>
      <c r="D170" s="413">
        <f>Bandwidth!K134</f>
        <v>61169138.620605461</v>
      </c>
      <c r="E170" s="414">
        <v>4</v>
      </c>
      <c r="F170" s="415">
        <f t="shared" si="17"/>
        <v>840.96</v>
      </c>
      <c r="G170" s="415">
        <f t="shared" si="18"/>
        <v>367014.83172363276</v>
      </c>
      <c r="H170" s="415">
        <f t="shared" si="19"/>
        <v>788.4</v>
      </c>
      <c r="I170" s="416">
        <f t="shared" si="20"/>
        <v>344076.40474090568</v>
      </c>
      <c r="J170" s="417">
        <f t="shared" si="21"/>
        <v>712720.59646453848</v>
      </c>
      <c r="K170" s="303"/>
      <c r="L170" s="72"/>
      <c r="M170" s="303"/>
      <c r="N170" s="72"/>
      <c r="O170" s="303"/>
      <c r="P170" s="72"/>
      <c r="Q170" s="303"/>
    </row>
    <row r="171" spans="1:17" s="36" customFormat="1">
      <c r="C171" s="290">
        <v>7</v>
      </c>
      <c r="D171" s="413">
        <f>Bandwidth!K135</f>
        <v>71356352.73620604</v>
      </c>
      <c r="E171" s="414">
        <v>4</v>
      </c>
      <c r="F171" s="415">
        <f t="shared" si="17"/>
        <v>840.96</v>
      </c>
      <c r="G171" s="415">
        <f t="shared" si="18"/>
        <v>428138.11641723622</v>
      </c>
      <c r="H171" s="415">
        <f t="shared" si="19"/>
        <v>788.4</v>
      </c>
      <c r="I171" s="416">
        <f t="shared" si="20"/>
        <v>401379.48414115899</v>
      </c>
      <c r="J171" s="417">
        <f t="shared" si="21"/>
        <v>831146.96055839525</v>
      </c>
      <c r="K171" s="303"/>
      <c r="L171" s="72"/>
      <c r="M171" s="303"/>
      <c r="N171" s="72"/>
      <c r="O171" s="303"/>
      <c r="P171" s="72"/>
      <c r="Q171" s="303"/>
    </row>
    <row r="172" spans="1:17" s="36" customFormat="1">
      <c r="C172" s="290">
        <v>8</v>
      </c>
      <c r="D172" s="413">
        <f>Bandwidth!K136</f>
        <v>81543566.851806626</v>
      </c>
      <c r="E172" s="414">
        <v>4</v>
      </c>
      <c r="F172" s="415">
        <f t="shared" si="17"/>
        <v>840.96</v>
      </c>
      <c r="G172" s="415">
        <f t="shared" si="18"/>
        <v>489261.40111083974</v>
      </c>
      <c r="H172" s="415">
        <f t="shared" si="19"/>
        <v>788.4</v>
      </c>
      <c r="I172" s="416">
        <f t="shared" si="20"/>
        <v>458682.56354141224</v>
      </c>
      <c r="J172" s="417">
        <f t="shared" si="21"/>
        <v>949573.32465225202</v>
      </c>
      <c r="K172" s="303"/>
      <c r="L172" s="72"/>
      <c r="M172" s="303"/>
      <c r="N172" s="72"/>
      <c r="O172" s="303"/>
      <c r="P172" s="72"/>
      <c r="Q172" s="303"/>
    </row>
    <row r="173" spans="1:17" s="36" customFormat="1">
      <c r="C173" s="290">
        <v>9</v>
      </c>
      <c r="D173" s="413">
        <f>Bandwidth!K137</f>
        <v>91730780.967407227</v>
      </c>
      <c r="E173" s="414">
        <v>4</v>
      </c>
      <c r="F173" s="415">
        <f t="shared" si="17"/>
        <v>840.96</v>
      </c>
      <c r="G173" s="415">
        <f t="shared" si="18"/>
        <v>550384.68580444332</v>
      </c>
      <c r="H173" s="415">
        <f t="shared" si="19"/>
        <v>788.4</v>
      </c>
      <c r="I173" s="416">
        <f t="shared" si="20"/>
        <v>515985.6429416656</v>
      </c>
      <c r="J173" s="417">
        <f t="shared" si="21"/>
        <v>1067999.6887461089</v>
      </c>
      <c r="K173" s="303"/>
      <c r="L173" s="72"/>
      <c r="M173" s="303"/>
      <c r="N173" s="72"/>
      <c r="O173" s="303"/>
      <c r="P173" s="72"/>
      <c r="Q173" s="303"/>
    </row>
    <row r="174" spans="1:17" s="36" customFormat="1">
      <c r="C174" s="290">
        <v>10</v>
      </c>
      <c r="D174" s="413">
        <f>Bandwidth!K138</f>
        <v>101917995.08300781</v>
      </c>
      <c r="E174" s="414">
        <v>4</v>
      </c>
      <c r="F174" s="415">
        <f t="shared" si="17"/>
        <v>840.96</v>
      </c>
      <c r="G174" s="415">
        <f t="shared" si="18"/>
        <v>611507.97049804684</v>
      </c>
      <c r="H174" s="415">
        <f t="shared" si="19"/>
        <v>788.4</v>
      </c>
      <c r="I174" s="416">
        <f t="shared" si="20"/>
        <v>573288.72234191897</v>
      </c>
      <c r="J174" s="417">
        <f t="shared" si="21"/>
        <v>1186426.0528399658</v>
      </c>
      <c r="K174" s="303"/>
      <c r="L174" s="72"/>
      <c r="M174" s="303"/>
      <c r="N174" s="72"/>
      <c r="O174" s="303"/>
      <c r="P174" s="72"/>
      <c r="Q174" s="303"/>
    </row>
    <row r="175" spans="1:17" s="36" customFormat="1">
      <c r="C175" s="290">
        <v>11</v>
      </c>
      <c r="D175" s="413">
        <f>Bandwidth!K139</f>
        <v>112105209.1986084</v>
      </c>
      <c r="E175" s="414">
        <v>4</v>
      </c>
      <c r="F175" s="415">
        <f t="shared" si="17"/>
        <v>840.96</v>
      </c>
      <c r="G175" s="415">
        <f t="shared" si="18"/>
        <v>672631.25519165036</v>
      </c>
      <c r="H175" s="415">
        <f t="shared" si="19"/>
        <v>788.4</v>
      </c>
      <c r="I175" s="416">
        <f t="shared" si="20"/>
        <v>630591.80174217222</v>
      </c>
      <c r="J175" s="417">
        <f t="shared" si="21"/>
        <v>1304852.4169338224</v>
      </c>
      <c r="K175" s="303"/>
      <c r="L175" s="72"/>
      <c r="M175" s="303"/>
      <c r="N175" s="72"/>
      <c r="O175" s="303"/>
      <c r="P175" s="72"/>
      <c r="Q175" s="303"/>
    </row>
    <row r="176" spans="1:17" s="36" customFormat="1">
      <c r="C176" s="290">
        <v>12</v>
      </c>
      <c r="D176" s="413">
        <f>Bandwidth!K140</f>
        <v>122292423.31420897</v>
      </c>
      <c r="E176" s="414">
        <v>4</v>
      </c>
      <c r="F176" s="415">
        <f t="shared" si="17"/>
        <v>840.96</v>
      </c>
      <c r="G176" s="415">
        <f t="shared" si="18"/>
        <v>733754.53988525388</v>
      </c>
      <c r="H176" s="415">
        <f t="shared" si="19"/>
        <v>788.4</v>
      </c>
      <c r="I176" s="416">
        <f t="shared" si="20"/>
        <v>687894.88114242547</v>
      </c>
      <c r="J176" s="417">
        <f t="shared" si="21"/>
        <v>1423278.7810276793</v>
      </c>
      <c r="K176" s="303"/>
      <c r="L176" s="72"/>
      <c r="M176" s="303"/>
      <c r="N176" s="72"/>
      <c r="O176" s="303"/>
      <c r="P176" s="72"/>
      <c r="Q176" s="303"/>
    </row>
    <row r="177" spans="3:17" s="36" customFormat="1">
      <c r="C177" s="290">
        <v>13</v>
      </c>
      <c r="D177" s="413">
        <f>Bandwidth!K141</f>
        <v>129078804.51049803</v>
      </c>
      <c r="E177" s="414">
        <v>4</v>
      </c>
      <c r="F177" s="415">
        <f t="shared" si="17"/>
        <v>840.96</v>
      </c>
      <c r="G177" s="415">
        <f t="shared" si="18"/>
        <v>774472.82706298819</v>
      </c>
      <c r="H177" s="415">
        <f t="shared" si="19"/>
        <v>788.4</v>
      </c>
      <c r="I177" s="416">
        <f t="shared" si="20"/>
        <v>726068.2753715514</v>
      </c>
      <c r="J177" s="417">
        <f t="shared" si="21"/>
        <v>1502170.4624345396</v>
      </c>
      <c r="K177" s="303"/>
      <c r="L177" s="72"/>
      <c r="M177" s="303"/>
      <c r="N177" s="72"/>
      <c r="O177" s="303"/>
      <c r="P177" s="72"/>
      <c r="Q177" s="303"/>
    </row>
    <row r="178" spans="3:17" s="36" customFormat="1">
      <c r="C178" s="290">
        <v>14</v>
      </c>
      <c r="D178" s="413">
        <f>Bandwidth!K142</f>
        <v>135865185.70678705</v>
      </c>
      <c r="E178" s="414">
        <v>4</v>
      </c>
      <c r="F178" s="415">
        <f t="shared" si="17"/>
        <v>840.96</v>
      </c>
      <c r="G178" s="415">
        <f t="shared" si="18"/>
        <v>815191.11424072227</v>
      </c>
      <c r="H178" s="415">
        <f t="shared" si="19"/>
        <v>788.4</v>
      </c>
      <c r="I178" s="416">
        <f t="shared" si="20"/>
        <v>764241.66960067709</v>
      </c>
      <c r="J178" s="417">
        <f t="shared" si="21"/>
        <v>1581062.1438413993</v>
      </c>
      <c r="K178" s="303"/>
      <c r="L178" s="72"/>
      <c r="M178" s="303"/>
      <c r="N178" s="72"/>
      <c r="O178" s="303"/>
      <c r="P178" s="72"/>
      <c r="Q178" s="303"/>
    </row>
    <row r="179" spans="3:17" s="36" customFormat="1">
      <c r="C179" s="290">
        <v>15</v>
      </c>
      <c r="D179" s="413">
        <f>Bandwidth!K143</f>
        <v>142651566.90307614</v>
      </c>
      <c r="E179" s="414">
        <v>4</v>
      </c>
      <c r="F179" s="415">
        <f t="shared" si="17"/>
        <v>840.96</v>
      </c>
      <c r="G179" s="415">
        <f t="shared" si="18"/>
        <v>855909.40141845692</v>
      </c>
      <c r="H179" s="415">
        <f t="shared" si="19"/>
        <v>788.4</v>
      </c>
      <c r="I179" s="416">
        <f t="shared" si="20"/>
        <v>802415.06382980326</v>
      </c>
      <c r="J179" s="417">
        <f t="shared" si="21"/>
        <v>1659953.8252482601</v>
      </c>
      <c r="K179" s="303"/>
      <c r="L179" s="72"/>
      <c r="M179" s="303"/>
      <c r="N179" s="72"/>
      <c r="O179" s="303"/>
      <c r="P179" s="72"/>
      <c r="Q179" s="303"/>
    </row>
    <row r="180" spans="3:17" s="36" customFormat="1">
      <c r="C180" s="290">
        <v>16</v>
      </c>
      <c r="D180" s="413">
        <f>Bandwidth!K144</f>
        <v>149437948.0993652</v>
      </c>
      <c r="E180" s="414">
        <v>4</v>
      </c>
      <c r="F180" s="415">
        <f t="shared" si="17"/>
        <v>840.96</v>
      </c>
      <c r="G180" s="415">
        <f t="shared" si="18"/>
        <v>896627.68859619123</v>
      </c>
      <c r="H180" s="415">
        <f t="shared" si="19"/>
        <v>788.4</v>
      </c>
      <c r="I180" s="416">
        <f t="shared" si="20"/>
        <v>840588.45805892919</v>
      </c>
      <c r="J180" s="417">
        <f t="shared" si="21"/>
        <v>1738845.5066551203</v>
      </c>
      <c r="K180" s="303"/>
      <c r="L180" s="72"/>
      <c r="M180" s="303"/>
      <c r="N180" s="72"/>
      <c r="O180" s="303"/>
      <c r="P180" s="72"/>
      <c r="Q180" s="303"/>
    </row>
    <row r="181" spans="3:17" s="36" customFormat="1">
      <c r="C181" s="290">
        <v>17</v>
      </c>
      <c r="D181" s="413">
        <f>Bandwidth!K145</f>
        <v>156224329.2956543</v>
      </c>
      <c r="E181" s="414">
        <v>4</v>
      </c>
      <c r="F181" s="415">
        <f t="shared" si="17"/>
        <v>840.96</v>
      </c>
      <c r="G181" s="415">
        <f t="shared" si="18"/>
        <v>937345.97577392578</v>
      </c>
      <c r="H181" s="415">
        <f t="shared" si="19"/>
        <v>788.4</v>
      </c>
      <c r="I181" s="416">
        <f t="shared" si="20"/>
        <v>878761.85228805535</v>
      </c>
      <c r="J181" s="417">
        <f t="shared" si="21"/>
        <v>1817737.188061981</v>
      </c>
      <c r="K181" s="303"/>
      <c r="L181" s="72"/>
      <c r="M181" s="303"/>
      <c r="N181" s="72"/>
      <c r="O181" s="303"/>
      <c r="P181" s="72"/>
      <c r="Q181" s="303"/>
    </row>
    <row r="182" spans="3:17" s="36" customFormat="1">
      <c r="C182" s="290">
        <v>18</v>
      </c>
      <c r="D182" s="413">
        <f>Bandwidth!K146</f>
        <v>163010710.49194333</v>
      </c>
      <c r="E182" s="414">
        <v>4</v>
      </c>
      <c r="F182" s="415">
        <f t="shared" si="17"/>
        <v>840.96</v>
      </c>
      <c r="G182" s="415">
        <f t="shared" si="18"/>
        <v>978064.26295165997</v>
      </c>
      <c r="H182" s="415">
        <f t="shared" si="19"/>
        <v>788.4</v>
      </c>
      <c r="I182" s="416">
        <f t="shared" si="20"/>
        <v>916935.24651718116</v>
      </c>
      <c r="J182" s="417">
        <f t="shared" si="21"/>
        <v>1896628.8694688412</v>
      </c>
      <c r="K182" s="303"/>
      <c r="L182" s="72"/>
      <c r="M182" s="303"/>
      <c r="N182" s="72"/>
      <c r="O182" s="303"/>
      <c r="P182" s="72"/>
      <c r="Q182" s="303"/>
    </row>
    <row r="183" spans="3:17" s="36" customFormat="1">
      <c r="C183" s="290">
        <v>19</v>
      </c>
      <c r="D183" s="413">
        <f>Bandwidth!K147</f>
        <v>184141728.51867676</v>
      </c>
      <c r="E183" s="414">
        <v>4</v>
      </c>
      <c r="F183" s="415">
        <f t="shared" si="17"/>
        <v>840.96</v>
      </c>
      <c r="G183" s="415">
        <f t="shared" si="18"/>
        <v>1104850.3711120605</v>
      </c>
      <c r="H183" s="415">
        <f t="shared" si="19"/>
        <v>788.4</v>
      </c>
      <c r="I183" s="416">
        <f t="shared" si="20"/>
        <v>1035797.2229175568</v>
      </c>
      <c r="J183" s="417">
        <f t="shared" si="21"/>
        <v>2142276.9540296169</v>
      </c>
      <c r="K183" s="303"/>
      <c r="L183" s="72"/>
      <c r="M183" s="303"/>
      <c r="N183" s="72"/>
      <c r="O183" s="303"/>
      <c r="P183" s="72"/>
      <c r="Q183" s="303"/>
    </row>
    <row r="184" spans="3:17" s="36" customFormat="1">
      <c r="C184" s="290">
        <v>20</v>
      </c>
      <c r="D184" s="413">
        <f>Bandwidth!K148</f>
        <v>205272746.54541019</v>
      </c>
      <c r="E184" s="414">
        <v>4</v>
      </c>
      <c r="F184" s="415">
        <f t="shared" si="17"/>
        <v>840.96</v>
      </c>
      <c r="G184" s="415">
        <f t="shared" si="18"/>
        <v>1231636.479272461</v>
      </c>
      <c r="H184" s="415">
        <f t="shared" si="19"/>
        <v>788.4</v>
      </c>
      <c r="I184" s="416">
        <f t="shared" si="20"/>
        <v>1154659.1993179324</v>
      </c>
      <c r="J184" s="417">
        <f t="shared" si="21"/>
        <v>2387925.038590393</v>
      </c>
      <c r="K184" s="303"/>
      <c r="L184" s="72"/>
      <c r="M184" s="303"/>
      <c r="N184" s="72"/>
      <c r="O184" s="303"/>
      <c r="P184" s="72"/>
      <c r="Q184" s="303"/>
    </row>
    <row r="185" spans="3:17" s="36" customFormat="1">
      <c r="C185" s="290">
        <v>21</v>
      </c>
      <c r="D185" s="413">
        <f>Bandwidth!K149</f>
        <v>226403764.57214355</v>
      </c>
      <c r="E185" s="414">
        <v>4</v>
      </c>
      <c r="F185" s="415">
        <f t="shared" si="17"/>
        <v>840.96</v>
      </c>
      <c r="G185" s="415">
        <f t="shared" si="18"/>
        <v>1358422.5874328613</v>
      </c>
      <c r="H185" s="415">
        <f t="shared" si="19"/>
        <v>788.4</v>
      </c>
      <c r="I185" s="416">
        <f t="shared" si="20"/>
        <v>1273521.1757183075</v>
      </c>
      <c r="J185" s="417">
        <f t="shared" si="21"/>
        <v>2633573.1231511687</v>
      </c>
      <c r="K185" s="303"/>
      <c r="L185" s="72"/>
      <c r="M185" s="303"/>
      <c r="N185" s="72"/>
      <c r="O185" s="303"/>
      <c r="P185" s="72"/>
      <c r="Q185" s="303"/>
    </row>
    <row r="186" spans="3:17" s="36" customFormat="1">
      <c r="C186" s="290">
        <v>22</v>
      </c>
      <c r="D186" s="413">
        <f>Bandwidth!K150</f>
        <v>247534782.59887695</v>
      </c>
      <c r="E186" s="414">
        <v>4</v>
      </c>
      <c r="F186" s="415">
        <f t="shared" si="17"/>
        <v>840.96</v>
      </c>
      <c r="G186" s="415">
        <f t="shared" si="18"/>
        <v>1485208.6955932619</v>
      </c>
      <c r="H186" s="415">
        <f t="shared" si="19"/>
        <v>788.4</v>
      </c>
      <c r="I186" s="416">
        <f t="shared" si="20"/>
        <v>1392383.1521186829</v>
      </c>
      <c r="J186" s="417">
        <f t="shared" si="21"/>
        <v>2879221.2077119444</v>
      </c>
      <c r="K186" s="303"/>
      <c r="L186" s="72"/>
      <c r="M186" s="303"/>
      <c r="N186" s="72"/>
      <c r="O186" s="303"/>
      <c r="P186" s="72"/>
      <c r="Q186" s="303"/>
    </row>
    <row r="187" spans="3:17" s="36" customFormat="1">
      <c r="C187" s="290">
        <v>23</v>
      </c>
      <c r="D187" s="413">
        <f>Bandwidth!K151</f>
        <v>268665800.62561035</v>
      </c>
      <c r="E187" s="414">
        <v>4</v>
      </c>
      <c r="F187" s="415">
        <f t="shared" si="17"/>
        <v>840.96</v>
      </c>
      <c r="G187" s="415">
        <f t="shared" si="18"/>
        <v>1611994.8037536622</v>
      </c>
      <c r="H187" s="415">
        <f t="shared" si="19"/>
        <v>788.4</v>
      </c>
      <c r="I187" s="416">
        <f t="shared" si="20"/>
        <v>1511245.1285190582</v>
      </c>
      <c r="J187" s="417">
        <f t="shared" si="21"/>
        <v>3124869.2922727205</v>
      </c>
      <c r="K187" s="303"/>
      <c r="L187" s="72"/>
      <c r="M187" s="303"/>
      <c r="N187" s="72"/>
      <c r="O187" s="303"/>
      <c r="P187" s="72"/>
      <c r="Q187" s="303"/>
    </row>
    <row r="188" spans="3:17" s="36" customFormat="1">
      <c r="C188" s="290">
        <v>24</v>
      </c>
      <c r="D188" s="413">
        <f>Bandwidth!K152</f>
        <v>289796818.65234363</v>
      </c>
      <c r="E188" s="414">
        <v>4</v>
      </c>
      <c r="F188" s="415">
        <f t="shared" si="17"/>
        <v>840.96</v>
      </c>
      <c r="G188" s="415">
        <f t="shared" si="18"/>
        <v>1738780.9119140618</v>
      </c>
      <c r="H188" s="415">
        <f t="shared" si="19"/>
        <v>788.4</v>
      </c>
      <c r="I188" s="416">
        <f t="shared" si="20"/>
        <v>1630107.1049194329</v>
      </c>
      <c r="J188" s="417">
        <f t="shared" si="21"/>
        <v>3370517.3768334948</v>
      </c>
      <c r="K188" s="303"/>
      <c r="L188" s="72"/>
      <c r="M188" s="303"/>
      <c r="N188" s="72"/>
      <c r="O188" s="303"/>
      <c r="P188" s="72"/>
      <c r="Q188" s="303"/>
    </row>
    <row r="189" spans="3:17" s="36" customFormat="1">
      <c r="C189" s="290">
        <v>25</v>
      </c>
      <c r="D189" s="413">
        <f>Bandwidth!K153</f>
        <v>305906831.67236334</v>
      </c>
      <c r="E189" s="414">
        <v>4</v>
      </c>
      <c r="F189" s="415">
        <f t="shared" si="17"/>
        <v>840.96</v>
      </c>
      <c r="G189" s="415">
        <f t="shared" si="18"/>
        <v>1835440.99003418</v>
      </c>
      <c r="H189" s="415">
        <f t="shared" si="19"/>
        <v>788.4</v>
      </c>
      <c r="I189" s="416">
        <f t="shared" si="20"/>
        <v>1720725.9281570436</v>
      </c>
      <c r="J189" s="417">
        <f t="shared" si="21"/>
        <v>3557796.2781912237</v>
      </c>
      <c r="K189" s="303"/>
      <c r="L189" s="72"/>
      <c r="M189" s="303"/>
      <c r="N189" s="72"/>
      <c r="O189" s="303"/>
      <c r="P189" s="72"/>
      <c r="Q189" s="303"/>
    </row>
    <row r="190" spans="3:17" s="36" customFormat="1">
      <c r="C190" s="290">
        <v>26</v>
      </c>
      <c r="D190" s="413">
        <f>Bandwidth!K154</f>
        <v>322016844.69238275</v>
      </c>
      <c r="E190" s="414">
        <v>4</v>
      </c>
      <c r="F190" s="415">
        <f t="shared" si="17"/>
        <v>840.96</v>
      </c>
      <c r="G190" s="415">
        <f t="shared" si="18"/>
        <v>1932101.0681542966</v>
      </c>
      <c r="H190" s="415">
        <f t="shared" si="19"/>
        <v>788.4</v>
      </c>
      <c r="I190" s="416">
        <f t="shared" si="20"/>
        <v>1811344.751394653</v>
      </c>
      <c r="J190" s="417">
        <f t="shared" si="21"/>
        <v>3745075.1795489495</v>
      </c>
      <c r="K190" s="303"/>
      <c r="L190" s="72"/>
      <c r="M190" s="303"/>
      <c r="N190" s="72"/>
      <c r="O190" s="303"/>
      <c r="P190" s="72"/>
      <c r="Q190" s="303"/>
    </row>
    <row r="191" spans="3:17" s="36" customFormat="1">
      <c r="C191" s="290">
        <v>27</v>
      </c>
      <c r="D191" s="413">
        <f>Bandwidth!K155</f>
        <v>338126857.71240234</v>
      </c>
      <c r="E191" s="414">
        <v>4</v>
      </c>
      <c r="F191" s="415">
        <f t="shared" si="17"/>
        <v>840.96</v>
      </c>
      <c r="G191" s="415">
        <f t="shared" si="18"/>
        <v>2028761.1462744141</v>
      </c>
      <c r="H191" s="415">
        <f t="shared" si="19"/>
        <v>788.4</v>
      </c>
      <c r="I191" s="416">
        <f t="shared" si="20"/>
        <v>1901963.574632263</v>
      </c>
      <c r="J191" s="417">
        <f t="shared" si="21"/>
        <v>3932354.0809066771</v>
      </c>
      <c r="K191" s="303"/>
      <c r="L191" s="72"/>
      <c r="M191" s="303"/>
      <c r="N191" s="72"/>
      <c r="O191" s="303"/>
      <c r="P191" s="72"/>
      <c r="Q191" s="303"/>
    </row>
    <row r="192" spans="3:17" s="36" customFormat="1">
      <c r="C192" s="290">
        <v>28</v>
      </c>
      <c r="D192" s="413">
        <f>Bandwidth!K156</f>
        <v>354236870.73242182</v>
      </c>
      <c r="E192" s="414">
        <v>4</v>
      </c>
      <c r="F192" s="415">
        <f t="shared" si="17"/>
        <v>840.96</v>
      </c>
      <c r="G192" s="415">
        <f t="shared" si="18"/>
        <v>2125421.224394531</v>
      </c>
      <c r="H192" s="415">
        <f t="shared" si="19"/>
        <v>788.4</v>
      </c>
      <c r="I192" s="416">
        <f t="shared" si="20"/>
        <v>1992582.3978698726</v>
      </c>
      <c r="J192" s="417">
        <f t="shared" si="21"/>
        <v>4119632.9822644033</v>
      </c>
      <c r="K192" s="303"/>
      <c r="L192" s="72"/>
      <c r="M192" s="303"/>
      <c r="N192" s="72"/>
      <c r="O192" s="303"/>
      <c r="P192" s="72"/>
      <c r="Q192" s="303"/>
    </row>
    <row r="193" spans="1:17" s="36" customFormat="1">
      <c r="C193" s="290">
        <v>29</v>
      </c>
      <c r="D193" s="413">
        <f>Bandwidth!K157</f>
        <v>370346883.75244135</v>
      </c>
      <c r="E193" s="414">
        <v>4</v>
      </c>
      <c r="F193" s="415">
        <f t="shared" si="17"/>
        <v>840.96</v>
      </c>
      <c r="G193" s="415">
        <f t="shared" si="18"/>
        <v>2222081.3025146481</v>
      </c>
      <c r="H193" s="415">
        <f t="shared" si="19"/>
        <v>788.4</v>
      </c>
      <c r="I193" s="416">
        <f t="shared" si="20"/>
        <v>2083201.2211074824</v>
      </c>
      <c r="J193" s="417">
        <f t="shared" si="21"/>
        <v>4306911.8836221304</v>
      </c>
      <c r="K193" s="303"/>
      <c r="L193" s="72"/>
      <c r="M193" s="303"/>
      <c r="N193" s="72"/>
      <c r="O193" s="303"/>
      <c r="P193" s="72"/>
      <c r="Q193" s="303"/>
    </row>
    <row r="194" spans="1:17" s="36" customFormat="1">
      <c r="C194" s="290">
        <v>30</v>
      </c>
      <c r="D194" s="413">
        <f>Bandwidth!K158</f>
        <v>386456896.77246094</v>
      </c>
      <c r="E194" s="414">
        <v>4</v>
      </c>
      <c r="F194" s="415">
        <f t="shared" si="17"/>
        <v>840.96</v>
      </c>
      <c r="G194" s="415">
        <f t="shared" si="18"/>
        <v>2318741.3806347656</v>
      </c>
      <c r="H194" s="415">
        <f t="shared" si="19"/>
        <v>788.4</v>
      </c>
      <c r="I194" s="416">
        <f t="shared" si="20"/>
        <v>2173820.0443450925</v>
      </c>
      <c r="J194" s="417">
        <f t="shared" si="21"/>
        <v>4494190.7849798575</v>
      </c>
      <c r="K194" s="303"/>
      <c r="L194" s="72"/>
      <c r="M194" s="303"/>
      <c r="N194" s="72"/>
      <c r="O194" s="303"/>
      <c r="P194" s="72"/>
      <c r="Q194" s="303"/>
    </row>
    <row r="195" spans="1:17" s="36" customFormat="1">
      <c r="C195" s="290">
        <v>31</v>
      </c>
      <c r="D195" s="413">
        <f>Bandwidth!K159</f>
        <v>407916534.609375</v>
      </c>
      <c r="E195" s="414">
        <v>4</v>
      </c>
      <c r="F195" s="415">
        <f t="shared" si="17"/>
        <v>840.96</v>
      </c>
      <c r="G195" s="415">
        <f t="shared" si="18"/>
        <v>2447499.2076562499</v>
      </c>
      <c r="H195" s="415">
        <f t="shared" si="19"/>
        <v>788.4</v>
      </c>
      <c r="I195" s="416">
        <f t="shared" si="20"/>
        <v>2294530.5071777343</v>
      </c>
      <c r="J195" s="417">
        <f t="shared" si="21"/>
        <v>4743659.0748339836</v>
      </c>
      <c r="K195" s="303"/>
      <c r="L195" s="72"/>
      <c r="M195" s="303"/>
      <c r="N195" s="72"/>
      <c r="O195" s="303"/>
      <c r="P195" s="72"/>
      <c r="Q195" s="303"/>
    </row>
    <row r="196" spans="1:17" s="36" customFormat="1">
      <c r="C196" s="290">
        <v>32</v>
      </c>
      <c r="D196" s="413">
        <f>Bandwidth!K160</f>
        <v>429376172.44628912</v>
      </c>
      <c r="E196" s="414">
        <v>4</v>
      </c>
      <c r="F196" s="415">
        <f t="shared" si="17"/>
        <v>840.96</v>
      </c>
      <c r="G196" s="415">
        <f t="shared" si="18"/>
        <v>2576257.0346777346</v>
      </c>
      <c r="H196" s="415">
        <f t="shared" si="19"/>
        <v>788.4</v>
      </c>
      <c r="I196" s="416">
        <f t="shared" si="20"/>
        <v>2415240.9700103761</v>
      </c>
      <c r="J196" s="417">
        <f t="shared" si="21"/>
        <v>4993127.3646881105</v>
      </c>
      <c r="K196" s="303"/>
      <c r="L196" s="72"/>
      <c r="M196" s="303"/>
      <c r="N196" s="72"/>
      <c r="O196" s="303"/>
      <c r="P196" s="72"/>
      <c r="Q196" s="303"/>
    </row>
    <row r="197" spans="1:17" s="36" customFormat="1">
      <c r="C197" s="290">
        <v>33</v>
      </c>
      <c r="D197" s="413">
        <f>Bandwidth!K161</f>
        <v>450835810.28320312</v>
      </c>
      <c r="E197" s="414">
        <v>4</v>
      </c>
      <c r="F197" s="415">
        <f t="shared" si="17"/>
        <v>840.96</v>
      </c>
      <c r="G197" s="415">
        <f t="shared" si="18"/>
        <v>2705014.8616992189</v>
      </c>
      <c r="H197" s="415">
        <f t="shared" si="19"/>
        <v>788.4</v>
      </c>
      <c r="I197" s="416">
        <f t="shared" si="20"/>
        <v>2535951.4328430174</v>
      </c>
      <c r="J197" s="417">
        <f t="shared" si="21"/>
        <v>5242595.6545422357</v>
      </c>
      <c r="K197" s="303"/>
      <c r="L197" s="72"/>
      <c r="M197" s="303"/>
      <c r="N197" s="72"/>
      <c r="O197" s="303"/>
      <c r="P197" s="72"/>
      <c r="Q197" s="303"/>
    </row>
    <row r="198" spans="1:17" s="36" customFormat="1">
      <c r="C198" s="290">
        <v>34</v>
      </c>
      <c r="D198" s="413">
        <f>Bandwidth!K162</f>
        <v>472295448.12011713</v>
      </c>
      <c r="E198" s="414">
        <v>4</v>
      </c>
      <c r="F198" s="415">
        <f t="shared" si="17"/>
        <v>840.96</v>
      </c>
      <c r="G198" s="415">
        <f t="shared" si="18"/>
        <v>2833772.6887207027</v>
      </c>
      <c r="H198" s="415">
        <f t="shared" si="19"/>
        <v>788.4</v>
      </c>
      <c r="I198" s="416">
        <f t="shared" si="20"/>
        <v>2656661.8956756587</v>
      </c>
      <c r="J198" s="417">
        <f t="shared" si="21"/>
        <v>5492063.9443963617</v>
      </c>
      <c r="K198" s="303"/>
      <c r="L198" s="72"/>
      <c r="M198" s="303"/>
      <c r="N198" s="72"/>
      <c r="O198" s="303"/>
      <c r="P198" s="72"/>
      <c r="Q198" s="303"/>
    </row>
    <row r="199" spans="1:17" s="36" customFormat="1">
      <c r="C199" s="290">
        <v>35</v>
      </c>
      <c r="D199" s="413">
        <f>Bandwidth!K163</f>
        <v>493755085.95703119</v>
      </c>
      <c r="E199" s="414">
        <v>4</v>
      </c>
      <c r="F199" s="415">
        <f t="shared" si="17"/>
        <v>840.96</v>
      </c>
      <c r="G199" s="415">
        <f t="shared" si="18"/>
        <v>2962530.5157421874</v>
      </c>
      <c r="H199" s="415">
        <f t="shared" si="19"/>
        <v>788.4</v>
      </c>
      <c r="I199" s="416">
        <f t="shared" si="20"/>
        <v>2777372.3585083005</v>
      </c>
      <c r="J199" s="417">
        <f t="shared" si="21"/>
        <v>5741532.2342504878</v>
      </c>
      <c r="K199" s="303"/>
      <c r="L199" s="72"/>
      <c r="M199" s="303"/>
      <c r="N199" s="72"/>
      <c r="O199" s="303"/>
      <c r="P199" s="72"/>
      <c r="Q199" s="303"/>
    </row>
    <row r="200" spans="1:17" s="36" customFormat="1" ht="17" thickBot="1">
      <c r="C200" s="291">
        <v>36</v>
      </c>
      <c r="D200" s="418">
        <f>Bandwidth!K164</f>
        <v>515214723.79394525</v>
      </c>
      <c r="E200" s="419">
        <v>4</v>
      </c>
      <c r="F200" s="420">
        <f t="shared" si="17"/>
        <v>840.96</v>
      </c>
      <c r="G200" s="420">
        <f t="shared" si="18"/>
        <v>3091288.3427636717</v>
      </c>
      <c r="H200" s="420">
        <f t="shared" si="19"/>
        <v>788.4</v>
      </c>
      <c r="I200" s="421">
        <f t="shared" si="20"/>
        <v>2898082.8213409418</v>
      </c>
      <c r="J200" s="422">
        <f t="shared" si="21"/>
        <v>5991000.5241046138</v>
      </c>
      <c r="K200" s="303"/>
      <c r="L200" s="72"/>
      <c r="M200" s="303"/>
      <c r="N200" s="72"/>
      <c r="O200" s="303"/>
      <c r="P200" s="72"/>
      <c r="Q200" s="303"/>
    </row>
    <row r="201" spans="1:17" s="36" customFormat="1">
      <c r="C201" s="300"/>
      <c r="D201" s="301"/>
      <c r="E201" s="302"/>
      <c r="F201" s="302"/>
      <c r="H201" s="72"/>
      <c r="I201" s="303"/>
      <c r="J201" s="72"/>
      <c r="K201" s="303"/>
      <c r="L201" s="72"/>
      <c r="M201" s="303"/>
      <c r="N201" s="72"/>
      <c r="O201" s="303"/>
      <c r="P201" s="72"/>
      <c r="Q201" s="303"/>
    </row>
    <row r="202" spans="1:17" s="36" customFormat="1" ht="17" thickBot="1">
      <c r="C202" s="300"/>
      <c r="D202" s="301"/>
      <c r="E202" s="302"/>
      <c r="F202" s="302"/>
      <c r="H202" s="72"/>
      <c r="I202" s="303"/>
      <c r="J202" s="72"/>
      <c r="K202" s="303"/>
      <c r="L202" s="72"/>
      <c r="M202" s="303"/>
      <c r="N202" s="72"/>
      <c r="O202" s="303"/>
      <c r="P202" s="72"/>
      <c r="Q202" s="303"/>
    </row>
    <row r="203" spans="1:17" ht="22" thickBot="1">
      <c r="A203" s="44" t="s">
        <v>351</v>
      </c>
      <c r="B203" t="s">
        <v>353</v>
      </c>
      <c r="C203" s="365" t="s">
        <v>246</v>
      </c>
      <c r="D203" s="367" t="s">
        <v>269</v>
      </c>
      <c r="E203" s="367"/>
      <c r="F203" s="367" t="s">
        <v>289</v>
      </c>
      <c r="G203" s="367"/>
      <c r="H203" s="371" t="s">
        <v>288</v>
      </c>
      <c r="I203" s="409"/>
      <c r="J203" s="378" t="s">
        <v>274</v>
      </c>
      <c r="L203" s="12" t="s">
        <v>289</v>
      </c>
    </row>
    <row r="204" spans="1:17" ht="22" thickBot="1">
      <c r="A204" s="44"/>
      <c r="B204" t="s">
        <v>290</v>
      </c>
      <c r="C204" s="380"/>
      <c r="D204" s="313" t="s">
        <v>253</v>
      </c>
      <c r="E204" s="313" t="s">
        <v>260</v>
      </c>
      <c r="F204" s="313" t="s">
        <v>253</v>
      </c>
      <c r="G204" s="313" t="s">
        <v>254</v>
      </c>
      <c r="H204" s="444" t="s">
        <v>349</v>
      </c>
      <c r="I204" s="444" t="s">
        <v>350</v>
      </c>
      <c r="J204" s="379"/>
      <c r="L204" s="275" t="s">
        <v>44</v>
      </c>
      <c r="M204" s="263" t="s">
        <v>45</v>
      </c>
      <c r="N204" s="316" t="s">
        <v>46</v>
      </c>
    </row>
    <row r="205" spans="1:17">
      <c r="B205" t="s">
        <v>354</v>
      </c>
      <c r="C205" s="292">
        <v>0</v>
      </c>
      <c r="D205" s="293">
        <f>'CPU (Workload)'!O16</f>
        <v>15146587500</v>
      </c>
      <c r="E205" s="294">
        <f>Bandwidth!K128</f>
        <v>45853927.001953132</v>
      </c>
      <c r="F205" s="295">
        <f>D205/10000*0.0075</f>
        <v>11359.940624999999</v>
      </c>
      <c r="G205" s="306">
        <f>((10240*0.085)+(40960*0.08)+(102400*0.06)+(358400*0.04)+(536576*0.03)+(4096000*0.025)+(E205-5120000)*0.02)</f>
        <v>957803.0200390626</v>
      </c>
      <c r="H205" s="433">
        <f>D205/1000000*0.6</f>
        <v>9087.9524999999994</v>
      </c>
      <c r="I205" s="433">
        <f>E205*0.00005001</f>
        <v>2293.1548893676759</v>
      </c>
      <c r="J205" s="317">
        <f>SUM(F205:I205)*25%</f>
        <v>245136.01701335757</v>
      </c>
      <c r="L205" s="314">
        <f>SUM(J205:J217)</f>
        <v>5028462.1814128505</v>
      </c>
      <c r="M205" s="314">
        <f>SUM(J218:J229)</f>
        <v>11897525.491066948</v>
      </c>
      <c r="N205" s="315">
        <f>SUM(J230:J241)</f>
        <v>24955496.324929811</v>
      </c>
    </row>
    <row r="206" spans="1:17">
      <c r="B206" t="s">
        <v>355</v>
      </c>
      <c r="C206" s="290">
        <v>1</v>
      </c>
      <c r="D206" s="155">
        <f>'CPU (Workload)'!O17</f>
        <v>15989747537.5</v>
      </c>
      <c r="E206" s="219">
        <f>Bandwidth!K129</f>
        <v>48406462.271728516</v>
      </c>
      <c r="F206" s="296">
        <f t="shared" ref="F206:F241" si="22">D206/10000*0.0075</f>
        <v>11992.310653125</v>
      </c>
      <c r="G206" s="307">
        <f t="shared" ref="G206:G241" si="23">((10240*0.085)+(40960*0.08)+(102400*0.06)+(358400*0.04)+(536576*0.03)+(4096000*0.025)+(E206-5120000)*0.02)</f>
        <v>1008853.7254345703</v>
      </c>
      <c r="H206" s="434">
        <f>D206/1000000*0.6</f>
        <v>9593.8485224999986</v>
      </c>
      <c r="I206" s="434">
        <f>E206*0.00005001</f>
        <v>2420.8071782091429</v>
      </c>
      <c r="J206" s="318">
        <f>SUM(F206:I206)*25%</f>
        <v>258215.17294710115</v>
      </c>
    </row>
    <row r="207" spans="1:17">
      <c r="C207" s="290">
        <v>2</v>
      </c>
      <c r="D207" s="155">
        <f>'CPU (Workload)'!O18</f>
        <v>16832907575</v>
      </c>
      <c r="E207" s="219">
        <f>Bandwidth!K130</f>
        <v>50958997.541503906</v>
      </c>
      <c r="F207" s="296">
        <f t="shared" si="22"/>
        <v>12624.68068125</v>
      </c>
      <c r="G207" s="307">
        <f t="shared" si="23"/>
        <v>1059904.4308300782</v>
      </c>
      <c r="H207" s="434">
        <f>D207/1000000*0.6</f>
        <v>10099.744545</v>
      </c>
      <c r="I207" s="434">
        <f>E207*0.00005001</f>
        <v>2548.4594670506103</v>
      </c>
      <c r="J207" s="318">
        <f>SUM(F207:I207)*25%</f>
        <v>271294.3288808447</v>
      </c>
    </row>
    <row r="208" spans="1:17">
      <c r="C208" s="290">
        <v>3</v>
      </c>
      <c r="D208" s="155">
        <f>'CPU (Workload)'!O19</f>
        <v>17676067612.5</v>
      </c>
      <c r="E208" s="219">
        <f>Bandwidth!K131</f>
        <v>53511532.811279297</v>
      </c>
      <c r="F208" s="296">
        <f t="shared" si="22"/>
        <v>13257.050709375</v>
      </c>
      <c r="G208" s="307">
        <f t="shared" si="23"/>
        <v>1110955.1362255858</v>
      </c>
      <c r="H208" s="434">
        <f>D208/1000000*0.6</f>
        <v>10605.640567499999</v>
      </c>
      <c r="I208" s="434">
        <f>E208*0.00005001</f>
        <v>2676.1117558920773</v>
      </c>
      <c r="J208" s="318">
        <f>SUM(F208:I208)*25%</f>
        <v>284373.48481458821</v>
      </c>
    </row>
    <row r="209" spans="3:13">
      <c r="C209" s="290">
        <v>4</v>
      </c>
      <c r="D209" s="155">
        <f>'CPU (Workload)'!O20</f>
        <v>18519227650</v>
      </c>
      <c r="E209" s="219">
        <f>Bandwidth!K132</f>
        <v>56064068.081054688</v>
      </c>
      <c r="F209" s="296">
        <f t="shared" si="22"/>
        <v>13889.420737499999</v>
      </c>
      <c r="G209" s="307">
        <f t="shared" si="23"/>
        <v>1162005.8416210939</v>
      </c>
      <c r="H209" s="434">
        <f>D209/1000000*0.6</f>
        <v>11111.53659</v>
      </c>
      <c r="I209" s="434">
        <f>E209*0.00005001</f>
        <v>2803.7640447335448</v>
      </c>
      <c r="J209" s="318">
        <f>SUM(F209:I209)*25%</f>
        <v>297452.64074833185</v>
      </c>
    </row>
    <row r="210" spans="3:13">
      <c r="C210" s="290">
        <v>5</v>
      </c>
      <c r="D210" s="155">
        <f>'CPU (Workload)'!O21</f>
        <v>19362387687.5</v>
      </c>
      <c r="E210" s="219">
        <f>Bandwidth!K133</f>
        <v>58616603.350830078</v>
      </c>
      <c r="F210" s="296">
        <f t="shared" si="22"/>
        <v>14521.790765624999</v>
      </c>
      <c r="G210" s="307">
        <f t="shared" si="23"/>
        <v>1213056.5470166015</v>
      </c>
      <c r="H210" s="434">
        <f>D210/1000000*0.6</f>
        <v>11617.432612499999</v>
      </c>
      <c r="I210" s="434">
        <f>E210*0.00005001</f>
        <v>2931.4163335750122</v>
      </c>
      <c r="J210" s="318">
        <f>SUM(F210:I210)*25%</f>
        <v>310531.79668207536</v>
      </c>
    </row>
    <row r="211" spans="3:13">
      <c r="C211" s="290">
        <v>6</v>
      </c>
      <c r="D211" s="155">
        <f>'CPU (Workload)'!O22</f>
        <v>20205547725</v>
      </c>
      <c r="E211" s="219">
        <f>Bandwidth!K134</f>
        <v>61169138.620605461</v>
      </c>
      <c r="F211" s="296">
        <f t="shared" si="22"/>
        <v>15154.160793749999</v>
      </c>
      <c r="G211" s="307">
        <f t="shared" si="23"/>
        <v>1264107.2524121092</v>
      </c>
      <c r="H211" s="434">
        <f>D211/1000000*0.6</f>
        <v>12123.328635</v>
      </c>
      <c r="I211" s="434">
        <f>E211*0.00005001</f>
        <v>3059.0686224164788</v>
      </c>
      <c r="J211" s="318">
        <f>SUM(F211:I211)*25%</f>
        <v>323610.95261581894</v>
      </c>
    </row>
    <row r="212" spans="3:13">
      <c r="C212" s="290">
        <v>7</v>
      </c>
      <c r="D212" s="155">
        <f>'CPU (Workload)'!O23</f>
        <v>23570614581.25</v>
      </c>
      <c r="E212" s="219">
        <f>Bandwidth!K135</f>
        <v>71356352.73620604</v>
      </c>
      <c r="F212" s="296">
        <f t="shared" si="22"/>
        <v>17677.960935937499</v>
      </c>
      <c r="G212" s="307">
        <f t="shared" si="23"/>
        <v>1467851.5347241207</v>
      </c>
      <c r="H212" s="434">
        <f>D212/1000000*0.6</f>
        <v>14142.368748749999</v>
      </c>
      <c r="I212" s="434">
        <f>E212*0.00005001</f>
        <v>3568.5312003376639</v>
      </c>
      <c r="J212" s="318">
        <f>SUM(F212:I212)*25%</f>
        <v>375810.0989022865</v>
      </c>
    </row>
    <row r="213" spans="3:13">
      <c r="C213" s="290">
        <v>8</v>
      </c>
      <c r="D213" s="155">
        <f>'CPU (Workload)'!O24</f>
        <v>26935681437.5</v>
      </c>
      <c r="E213" s="219">
        <f>Bandwidth!K136</f>
        <v>81543566.851806626</v>
      </c>
      <c r="F213" s="296">
        <f t="shared" si="22"/>
        <v>20201.761078124997</v>
      </c>
      <c r="G213" s="307">
        <f t="shared" si="23"/>
        <v>1671595.8170361326</v>
      </c>
      <c r="H213" s="434">
        <f>D213/1000000*0.6</f>
        <v>16161.408862499999</v>
      </c>
      <c r="I213" s="434">
        <f>E213*0.00005001</f>
        <v>4077.993778258849</v>
      </c>
      <c r="J213" s="318">
        <f>SUM(F213:I213)*25%</f>
        <v>428009.24518875411</v>
      </c>
    </row>
    <row r="214" spans="3:13">
      <c r="C214" s="290">
        <v>9</v>
      </c>
      <c r="D214" s="155">
        <f>'CPU (Workload)'!O25</f>
        <v>30300748293.75</v>
      </c>
      <c r="E214" s="219">
        <f>Bandwidth!K137</f>
        <v>91730780.967407227</v>
      </c>
      <c r="F214" s="296">
        <f t="shared" si="22"/>
        <v>22725.561220312502</v>
      </c>
      <c r="G214" s="307">
        <f t="shared" si="23"/>
        <v>1875340.0993481446</v>
      </c>
      <c r="H214" s="434">
        <f>D214/1000000*0.6</f>
        <v>18180.448976249998</v>
      </c>
      <c r="I214" s="434">
        <f>E214*0.00005001</f>
        <v>4587.4563561800351</v>
      </c>
      <c r="J214" s="318">
        <f>SUM(F214:I214)*25%</f>
        <v>480208.39147522178</v>
      </c>
    </row>
    <row r="215" spans="3:13">
      <c r="C215" s="290">
        <v>10</v>
      </c>
      <c r="D215" s="155">
        <f>'CPU (Workload)'!O26</f>
        <v>33665815150</v>
      </c>
      <c r="E215" s="219">
        <f>Bandwidth!K138</f>
        <v>101917995.08300781</v>
      </c>
      <c r="F215" s="296">
        <f t="shared" si="22"/>
        <v>25249.3613625</v>
      </c>
      <c r="G215" s="307">
        <f t="shared" si="23"/>
        <v>2079084.3816601562</v>
      </c>
      <c r="H215" s="434">
        <f>D215/1000000*0.6</f>
        <v>20199.489089999999</v>
      </c>
      <c r="I215" s="434">
        <f>E215*0.00005001</f>
        <v>5096.9189341012207</v>
      </c>
      <c r="J215" s="318">
        <f>SUM(F215:I215)*25%</f>
        <v>532407.53776168928</v>
      </c>
    </row>
    <row r="216" spans="3:13">
      <c r="C216" s="290">
        <v>11</v>
      </c>
      <c r="D216" s="155">
        <f>'CPU (Workload)'!O27</f>
        <v>37030882006.25</v>
      </c>
      <c r="E216" s="219">
        <f>Bandwidth!K139</f>
        <v>112105209.1986084</v>
      </c>
      <c r="F216" s="296">
        <f t="shared" si="22"/>
        <v>27773.161504687498</v>
      </c>
      <c r="G216" s="307">
        <f t="shared" si="23"/>
        <v>2282828.6639721678</v>
      </c>
      <c r="H216" s="434">
        <f>D216/1000000*0.6</f>
        <v>22218.52920375</v>
      </c>
      <c r="I216" s="434">
        <f>E216*0.00005001</f>
        <v>5606.3815120224053</v>
      </c>
      <c r="J216" s="318">
        <f>SUM(F216:I216)*25%</f>
        <v>584606.68404815695</v>
      </c>
    </row>
    <row r="217" spans="3:13">
      <c r="C217" s="290">
        <v>12</v>
      </c>
      <c r="D217" s="155">
        <f>'CPU (Workload)'!O28</f>
        <v>40395948862.5</v>
      </c>
      <c r="E217" s="219">
        <f>Bandwidth!K140</f>
        <v>122292423.31420897</v>
      </c>
      <c r="F217" s="296">
        <f t="shared" si="22"/>
        <v>30296.961646874999</v>
      </c>
      <c r="G217" s="307">
        <f t="shared" si="23"/>
        <v>2486572.9462841796</v>
      </c>
      <c r="H217" s="434">
        <f>D217/1000000*0.6</f>
        <v>24237.569317500001</v>
      </c>
      <c r="I217" s="434">
        <f>E217*0.00005001</f>
        <v>6115.84408994359</v>
      </c>
      <c r="J217" s="318">
        <f>SUM(F217:I217)*25%</f>
        <v>636805.83033462451</v>
      </c>
    </row>
    <row r="218" spans="3:13">
      <c r="C218" s="290">
        <v>13</v>
      </c>
      <c r="D218" s="155">
        <f>'CPU (Workload)'!O29</f>
        <v>42637643812.5</v>
      </c>
      <c r="E218" s="219">
        <f>Bandwidth!K141</f>
        <v>129078804.51049803</v>
      </c>
      <c r="F218" s="296">
        <f t="shared" si="22"/>
        <v>31978.232859374995</v>
      </c>
      <c r="G218" s="307">
        <f t="shared" si="23"/>
        <v>2622300.5702099605</v>
      </c>
      <c r="H218" s="434">
        <f>D218/1000000*0.6</f>
        <v>25582.586287499998</v>
      </c>
      <c r="I218" s="434">
        <f>E218*0.00005001</f>
        <v>6455.2310135700063</v>
      </c>
      <c r="J218" s="318">
        <f>SUM(F218:I218)*25%</f>
        <v>671579.15509260132</v>
      </c>
    </row>
    <row r="219" spans="3:13">
      <c r="C219" s="290">
        <v>14</v>
      </c>
      <c r="D219" s="155">
        <f>'CPU (Workload)'!O30</f>
        <v>44879338762.5</v>
      </c>
      <c r="E219" s="219">
        <f>Bandwidth!K142</f>
        <v>135865185.70678705</v>
      </c>
      <c r="F219" s="296">
        <f t="shared" si="22"/>
        <v>33659.504071874995</v>
      </c>
      <c r="G219" s="307">
        <f t="shared" si="23"/>
        <v>2758028.1941357409</v>
      </c>
      <c r="H219" s="434">
        <f>D219/1000000*0.6</f>
        <v>26927.603257500003</v>
      </c>
      <c r="I219" s="434">
        <f>E219*0.00005001</f>
        <v>6794.6179371964199</v>
      </c>
      <c r="J219" s="318">
        <f>SUM(F219:I219)*25%</f>
        <v>706352.47985057812</v>
      </c>
    </row>
    <row r="220" spans="3:13">
      <c r="C220" s="290">
        <v>15</v>
      </c>
      <c r="D220" s="155">
        <f>'CPU (Workload)'!O31</f>
        <v>47121033712.5</v>
      </c>
      <c r="E220" s="219">
        <f>Bandwidth!K143</f>
        <v>142651566.90307614</v>
      </c>
      <c r="F220" s="296">
        <f t="shared" si="22"/>
        <v>35340.775284374999</v>
      </c>
      <c r="G220" s="307">
        <f t="shared" si="23"/>
        <v>2893755.8180615227</v>
      </c>
      <c r="H220" s="434">
        <f>D220/1000000*0.6</f>
        <v>28272.6202275</v>
      </c>
      <c r="I220" s="434">
        <f>E220*0.00005001</f>
        <v>7134.0048608228371</v>
      </c>
      <c r="J220" s="318">
        <f>SUM(F220:I220)*25%</f>
        <v>741125.80460855516</v>
      </c>
      <c r="M220" s="2"/>
    </row>
    <row r="221" spans="3:13">
      <c r="C221" s="290">
        <v>16</v>
      </c>
      <c r="D221" s="155">
        <f>'CPU (Workload)'!O32</f>
        <v>49362728662.5</v>
      </c>
      <c r="E221" s="219">
        <f>Bandwidth!K144</f>
        <v>149437948.0993652</v>
      </c>
      <c r="F221" s="296">
        <f t="shared" si="22"/>
        <v>37022.046496874995</v>
      </c>
      <c r="G221" s="307">
        <f t="shared" si="23"/>
        <v>3029483.441987304</v>
      </c>
      <c r="H221" s="434">
        <f>D221/1000000*0.6</f>
        <v>29617.637197499997</v>
      </c>
      <c r="I221" s="434">
        <f>E221*0.00005001</f>
        <v>7473.3917844492535</v>
      </c>
      <c r="J221" s="318">
        <f>SUM(F221:I221)*25%</f>
        <v>775899.12936653208</v>
      </c>
      <c r="M221" s="2"/>
    </row>
    <row r="222" spans="3:13">
      <c r="C222" s="290">
        <v>17</v>
      </c>
      <c r="D222" s="155">
        <f>'CPU (Workload)'!O33</f>
        <v>51604423612.5</v>
      </c>
      <c r="E222" s="219">
        <f>Bandwidth!K145</f>
        <v>156224329.2956543</v>
      </c>
      <c r="F222" s="296">
        <f t="shared" si="22"/>
        <v>38703.317709374998</v>
      </c>
      <c r="G222" s="307">
        <f t="shared" si="23"/>
        <v>3165211.0659130858</v>
      </c>
      <c r="H222" s="434">
        <f>D222/1000000*0.6</f>
        <v>30962.654167500001</v>
      </c>
      <c r="I222" s="434">
        <f>E222*0.00005001</f>
        <v>7812.7787080756707</v>
      </c>
      <c r="J222" s="318">
        <f>SUM(F222:I222)*25%</f>
        <v>810672.45412450912</v>
      </c>
      <c r="M222" s="2"/>
    </row>
    <row r="223" spans="3:13">
      <c r="C223" s="290">
        <v>18</v>
      </c>
      <c r="D223" s="155">
        <f>'CPU (Workload)'!O34</f>
        <v>53846118562.5</v>
      </c>
      <c r="E223" s="219">
        <f>Bandwidth!K146</f>
        <v>163010710.49194333</v>
      </c>
      <c r="F223" s="296">
        <f t="shared" si="22"/>
        <v>40384.588921875002</v>
      </c>
      <c r="G223" s="307">
        <f t="shared" si="23"/>
        <v>3300938.6898388667</v>
      </c>
      <c r="H223" s="434">
        <f>D223/1000000*0.6</f>
        <v>32307.671137499998</v>
      </c>
      <c r="I223" s="434">
        <f>E223*0.00005001</f>
        <v>8152.1656317020852</v>
      </c>
      <c r="J223" s="318">
        <f>SUM(F223:I223)*25%</f>
        <v>845445.77888248605</v>
      </c>
      <c r="M223" s="2"/>
    </row>
    <row r="224" spans="3:13">
      <c r="C224" s="290">
        <v>19</v>
      </c>
      <c r="D224" s="155">
        <f>'CPU (Workload)'!O35</f>
        <v>60826170968.75</v>
      </c>
      <c r="E224" s="219">
        <f>Bandwidth!K147</f>
        <v>184141728.51867676</v>
      </c>
      <c r="F224" s="296">
        <f t="shared" si="22"/>
        <v>45619.628226562498</v>
      </c>
      <c r="G224" s="307">
        <f t="shared" si="23"/>
        <v>3723559.0503735351</v>
      </c>
      <c r="H224" s="434">
        <f>D224/1000000*0.6</f>
        <v>36495.70258125</v>
      </c>
      <c r="I224" s="434">
        <f>E224*0.00005001</f>
        <v>9208.927843219024</v>
      </c>
      <c r="J224" s="318">
        <f>SUM(F224:I224)*25%</f>
        <v>953720.8272561417</v>
      </c>
      <c r="M224" s="2"/>
    </row>
    <row r="225" spans="3:13">
      <c r="C225" s="290">
        <v>20</v>
      </c>
      <c r="D225" s="155">
        <f>'CPU (Workload)'!O36</f>
        <v>67806223375</v>
      </c>
      <c r="E225" s="219">
        <f>Bandwidth!K148</f>
        <v>205272746.54541019</v>
      </c>
      <c r="F225" s="296">
        <f t="shared" si="22"/>
        <v>50854.667531250001</v>
      </c>
      <c r="G225" s="307">
        <f t="shared" si="23"/>
        <v>4146179.4109082036</v>
      </c>
      <c r="H225" s="434">
        <f>D225/1000000*0.6</f>
        <v>40683.734024999998</v>
      </c>
      <c r="I225" s="434">
        <f>E225*0.00005001</f>
        <v>10265.690054735964</v>
      </c>
      <c r="J225" s="318">
        <f>SUM(F225:I225)*25%</f>
        <v>1061995.8756297973</v>
      </c>
      <c r="M225" s="2"/>
    </row>
    <row r="226" spans="3:13">
      <c r="C226" s="290">
        <v>21</v>
      </c>
      <c r="D226" s="155">
        <f>'CPU (Workload)'!O37</f>
        <v>74786275781.25</v>
      </c>
      <c r="E226" s="219">
        <f>Bandwidth!K149</f>
        <v>226403764.57214355</v>
      </c>
      <c r="F226" s="296">
        <f t="shared" si="22"/>
        <v>56089.706835937497</v>
      </c>
      <c r="G226" s="307">
        <f t="shared" si="23"/>
        <v>4568799.7714428715</v>
      </c>
      <c r="H226" s="434">
        <f>D226/1000000*0.6</f>
        <v>44871.765468750003</v>
      </c>
      <c r="I226" s="434">
        <f>E226*0.00005001</f>
        <v>11322.452266252898</v>
      </c>
      <c r="J226" s="318">
        <f>SUM(F226:I226)*25%</f>
        <v>1170270.924003453</v>
      </c>
      <c r="M226" s="2"/>
    </row>
    <row r="227" spans="3:13">
      <c r="C227" s="290">
        <v>22</v>
      </c>
      <c r="D227" s="155">
        <f>'CPU (Workload)'!O38</f>
        <v>81766328187.5</v>
      </c>
      <c r="E227" s="219">
        <f>Bandwidth!K150</f>
        <v>247534782.59887695</v>
      </c>
      <c r="F227" s="296">
        <f t="shared" si="22"/>
        <v>61324.746140624993</v>
      </c>
      <c r="G227" s="307">
        <f t="shared" si="23"/>
        <v>4991420.1319775395</v>
      </c>
      <c r="H227" s="434">
        <f>D227/1000000*0.6</f>
        <v>49059.796912499995</v>
      </c>
      <c r="I227" s="434">
        <f>E227*0.00005001</f>
        <v>12379.214477769836</v>
      </c>
      <c r="J227" s="318">
        <f>SUM(F227:I227)*25%</f>
        <v>1278545.9723771086</v>
      </c>
      <c r="M227" s="2"/>
    </row>
    <row r="228" spans="3:13">
      <c r="C228" s="290">
        <v>23</v>
      </c>
      <c r="D228" s="155">
        <f>'CPU (Workload)'!O39</f>
        <v>88746380593.75</v>
      </c>
      <c r="E228" s="219">
        <f>Bandwidth!K151</f>
        <v>268665800.62561035</v>
      </c>
      <c r="F228" s="296">
        <f t="shared" si="22"/>
        <v>66559.785445312489</v>
      </c>
      <c r="G228" s="307">
        <f t="shared" si="23"/>
        <v>5414040.4925122075</v>
      </c>
      <c r="H228" s="434">
        <f>D228/1000000*0.6</f>
        <v>53247.82835625</v>
      </c>
      <c r="I228" s="434">
        <f>E228*0.00005001</f>
        <v>13435.976689286774</v>
      </c>
      <c r="J228" s="318">
        <f>SUM(F228:I228)*25%</f>
        <v>1386821.0207507641</v>
      </c>
      <c r="M228" s="2"/>
    </row>
    <row r="229" spans="3:13">
      <c r="C229" s="290">
        <v>24</v>
      </c>
      <c r="D229" s="155">
        <f>'CPU (Workload)'!O40</f>
        <v>95726433000</v>
      </c>
      <c r="E229" s="219">
        <f>Bandwidth!K152</f>
        <v>289796818.65234363</v>
      </c>
      <c r="F229" s="296">
        <f t="shared" si="22"/>
        <v>71794.82475</v>
      </c>
      <c r="G229" s="307">
        <f t="shared" si="23"/>
        <v>5836660.8530468736</v>
      </c>
      <c r="H229" s="434">
        <f>D229/1000000*0.6</f>
        <v>57435.859799999998</v>
      </c>
      <c r="I229" s="434">
        <f>E229*0.00005001</f>
        <v>14492.738900803704</v>
      </c>
      <c r="J229" s="318">
        <f>SUM(F229:I229)*25%</f>
        <v>1495096.0691244192</v>
      </c>
      <c r="M229" s="2"/>
    </row>
    <row r="230" spans="3:13">
      <c r="C230" s="290">
        <v>25</v>
      </c>
      <c r="D230" s="155">
        <f>'CPU (Workload)'!O41</f>
        <v>101047934075</v>
      </c>
      <c r="E230" s="219">
        <f>Bandwidth!K153</f>
        <v>305906831.67236334</v>
      </c>
      <c r="F230" s="296">
        <f t="shared" si="22"/>
        <v>75785.950556249998</v>
      </c>
      <c r="G230" s="307">
        <f t="shared" si="23"/>
        <v>6158861.1134472676</v>
      </c>
      <c r="H230" s="434">
        <f>D230/1000000*0.6</f>
        <v>60628.760444999993</v>
      </c>
      <c r="I230" s="434">
        <f>E230*0.00005001</f>
        <v>15298.40065193489</v>
      </c>
      <c r="J230" s="318">
        <f>SUM(F230:I230)*25%</f>
        <v>1577643.556275113</v>
      </c>
      <c r="M230" s="2"/>
    </row>
    <row r="231" spans="3:13">
      <c r="C231" s="290">
        <v>26</v>
      </c>
      <c r="D231" s="155">
        <f>'CPU (Workload)'!O42</f>
        <v>106369435150</v>
      </c>
      <c r="E231" s="219">
        <f>Bandwidth!K154</f>
        <v>322016844.69238275</v>
      </c>
      <c r="F231" s="296">
        <f t="shared" si="22"/>
        <v>79777.076362499996</v>
      </c>
      <c r="G231" s="307">
        <f t="shared" si="23"/>
        <v>6481061.373847656</v>
      </c>
      <c r="H231" s="434">
        <f>D231/1000000*0.6</f>
        <v>63821.661090000001</v>
      </c>
      <c r="I231" s="434">
        <f>E231*0.00005001</f>
        <v>16104.06240306606</v>
      </c>
      <c r="J231" s="318">
        <f>SUM(F231:I231)*25%</f>
        <v>1660191.0434258054</v>
      </c>
      <c r="M231" s="2"/>
    </row>
    <row r="232" spans="3:13">
      <c r="C232" s="290">
        <v>27</v>
      </c>
      <c r="D232" s="155">
        <f>'CPU (Workload)'!O43</f>
        <v>111690936225</v>
      </c>
      <c r="E232" s="219">
        <f>Bandwidth!K155</f>
        <v>338126857.71240234</v>
      </c>
      <c r="F232" s="296">
        <f t="shared" si="22"/>
        <v>83768.202168749995</v>
      </c>
      <c r="G232" s="307">
        <f t="shared" si="23"/>
        <v>6803261.6342480462</v>
      </c>
      <c r="H232" s="434">
        <f>D232/1000000*0.6</f>
        <v>67014.561734999996</v>
      </c>
      <c r="I232" s="434">
        <f>E232*0.00005001</f>
        <v>16909.72415419724</v>
      </c>
      <c r="J232" s="318">
        <f>SUM(F232:I232)*25%</f>
        <v>1742738.5305764985</v>
      </c>
      <c r="M232" s="2"/>
    </row>
    <row r="233" spans="3:13">
      <c r="C233" s="290">
        <v>28</v>
      </c>
      <c r="D233" s="155">
        <f>'CPU (Workload)'!O44</f>
        <v>117012437300</v>
      </c>
      <c r="E233" s="219">
        <f>Bandwidth!K156</f>
        <v>354236870.73242182</v>
      </c>
      <c r="F233" s="296">
        <f t="shared" si="22"/>
        <v>87759.327974999993</v>
      </c>
      <c r="G233" s="307">
        <f t="shared" si="23"/>
        <v>7125461.8946484365</v>
      </c>
      <c r="H233" s="434">
        <f>D233/1000000*0.6</f>
        <v>70207.462379999997</v>
      </c>
      <c r="I233" s="434">
        <f>E233*0.00005001</f>
        <v>17715.385905328414</v>
      </c>
      <c r="J233" s="318">
        <f>SUM(F233:I233)*25%</f>
        <v>1825286.0177271913</v>
      </c>
      <c r="M233" s="2"/>
    </row>
    <row r="234" spans="3:13">
      <c r="C234" s="290">
        <v>29</v>
      </c>
      <c r="D234" s="155">
        <f>'CPU (Workload)'!O45</f>
        <v>122333938375</v>
      </c>
      <c r="E234" s="219">
        <f>Bandwidth!K157</f>
        <v>370346883.75244135</v>
      </c>
      <c r="F234" s="296">
        <f t="shared" si="22"/>
        <v>91750.453781250006</v>
      </c>
      <c r="G234" s="307">
        <f t="shared" si="23"/>
        <v>7447662.1550488267</v>
      </c>
      <c r="H234" s="434">
        <f>D234/1000000*0.6</f>
        <v>73400.363024999999</v>
      </c>
      <c r="I234" s="434">
        <f>E234*0.00005001</f>
        <v>18521.047656459592</v>
      </c>
      <c r="J234" s="318">
        <f>SUM(F234:I234)*25%</f>
        <v>1907833.5048778842</v>
      </c>
      <c r="M234" s="2"/>
    </row>
    <row r="235" spans="3:13">
      <c r="C235" s="290">
        <v>30</v>
      </c>
      <c r="D235" s="155">
        <f>'CPU (Workload)'!O46</f>
        <v>127655439450</v>
      </c>
      <c r="E235" s="219">
        <f>Bandwidth!K158</f>
        <v>386456896.77246094</v>
      </c>
      <c r="F235" s="296">
        <f t="shared" si="22"/>
        <v>95741.579587500004</v>
      </c>
      <c r="G235" s="307">
        <f t="shared" si="23"/>
        <v>7769862.4154492188</v>
      </c>
      <c r="H235" s="434">
        <f>D235/1000000*0.6</f>
        <v>76593.26367</v>
      </c>
      <c r="I235" s="434">
        <f>E235*0.00005001</f>
        <v>19326.70940759077</v>
      </c>
      <c r="J235" s="318">
        <f>SUM(F235:I235)*25%</f>
        <v>1990380.9920285773</v>
      </c>
      <c r="M235" s="2"/>
    </row>
    <row r="236" spans="3:13">
      <c r="C236" s="290">
        <v>31</v>
      </c>
      <c r="D236" s="155">
        <f>'CPU (Workload)'!O47</f>
        <v>134744042400</v>
      </c>
      <c r="E236" s="219">
        <f>Bandwidth!K159</f>
        <v>407916534.609375</v>
      </c>
      <c r="F236" s="296">
        <f t="shared" si="22"/>
        <v>101058.0318</v>
      </c>
      <c r="G236" s="307">
        <f t="shared" si="23"/>
        <v>8199055.1721874997</v>
      </c>
      <c r="H236" s="434">
        <f>D236/1000000*0.6</f>
        <v>80846.425440000006</v>
      </c>
      <c r="I236" s="434">
        <f>E236*0.00005001</f>
        <v>20399.905895814842</v>
      </c>
      <c r="J236" s="318">
        <f>SUM(F236:I236)*25%</f>
        <v>2100339.8838308286</v>
      </c>
      <c r="M236" s="2"/>
    </row>
    <row r="237" spans="3:13">
      <c r="C237" s="290">
        <v>32</v>
      </c>
      <c r="D237" s="155">
        <f>'CPU (Workload)'!O48</f>
        <v>141832645350</v>
      </c>
      <c r="E237" s="219">
        <f>Bandwidth!K160</f>
        <v>429376172.44628912</v>
      </c>
      <c r="F237" s="296">
        <f t="shared" si="22"/>
        <v>106374.48401249999</v>
      </c>
      <c r="G237" s="307">
        <f t="shared" si="23"/>
        <v>8628247.9289257824</v>
      </c>
      <c r="H237" s="434">
        <f>D237/1000000*0.6</f>
        <v>85099.587209999998</v>
      </c>
      <c r="I237" s="434">
        <f>E237*0.00005001</f>
        <v>21473.102384038917</v>
      </c>
      <c r="J237" s="318">
        <f>SUM(F237:I237)*25%</f>
        <v>2210298.7756330799</v>
      </c>
      <c r="M237" s="2"/>
    </row>
    <row r="238" spans="3:13">
      <c r="C238" s="290">
        <v>33</v>
      </c>
      <c r="D238" s="155">
        <f>'CPU (Workload)'!O49</f>
        <v>148921248300</v>
      </c>
      <c r="E238" s="219">
        <f>Bandwidth!K161</f>
        <v>450835810.28320312</v>
      </c>
      <c r="F238" s="296">
        <f t="shared" si="22"/>
        <v>111690.936225</v>
      </c>
      <c r="G238" s="307">
        <f t="shared" si="23"/>
        <v>9057440.6856640633</v>
      </c>
      <c r="H238" s="434">
        <f>D238/1000000*0.6</f>
        <v>89352.748980000004</v>
      </c>
      <c r="I238" s="434">
        <f>E238*0.00005001</f>
        <v>22546.298872262985</v>
      </c>
      <c r="J238" s="318">
        <f>SUM(F238:I238)*25%</f>
        <v>2320257.6674353317</v>
      </c>
      <c r="M238" s="2"/>
    </row>
    <row r="239" spans="3:13">
      <c r="C239" s="290">
        <v>34</v>
      </c>
      <c r="D239" s="155">
        <f>'CPU (Workload)'!O50</f>
        <v>156009851250</v>
      </c>
      <c r="E239" s="219">
        <f>Bandwidth!K162</f>
        <v>472295448.12011713</v>
      </c>
      <c r="F239" s="296">
        <f t="shared" si="22"/>
        <v>117007.38843749999</v>
      </c>
      <c r="G239" s="307">
        <f t="shared" si="23"/>
        <v>9486633.4424023423</v>
      </c>
      <c r="H239" s="434">
        <f>D239/1000000*0.6</f>
        <v>93605.910749999995</v>
      </c>
      <c r="I239" s="434">
        <f>E239*0.00005001</f>
        <v>23619.495360487057</v>
      </c>
      <c r="J239" s="318">
        <f>SUM(F239:I239)*25%</f>
        <v>2430216.5592375821</v>
      </c>
      <c r="M239" s="2"/>
    </row>
    <row r="240" spans="3:13">
      <c r="C240" s="290">
        <v>35</v>
      </c>
      <c r="D240" s="155">
        <f>'CPU (Workload)'!O51</f>
        <v>163098454200</v>
      </c>
      <c r="E240" s="219">
        <f>Bandwidth!K163</f>
        <v>493755085.95703119</v>
      </c>
      <c r="F240" s="296">
        <f t="shared" si="22"/>
        <v>122323.84065</v>
      </c>
      <c r="G240" s="307">
        <f t="shared" si="23"/>
        <v>9915826.1991406251</v>
      </c>
      <c r="H240" s="434">
        <f>D240/1000000*0.6</f>
        <v>97859.072520000002</v>
      </c>
      <c r="I240" s="434">
        <f>E240*0.00005001</f>
        <v>24692.691848711129</v>
      </c>
      <c r="J240" s="318">
        <f>SUM(F240:I240)*25%</f>
        <v>2540175.4510398344</v>
      </c>
      <c r="M240" s="2"/>
    </row>
    <row r="241" spans="3:13" ht="17" thickBot="1">
      <c r="C241" s="291">
        <v>36</v>
      </c>
      <c r="D241" s="157">
        <f>'CPU (Workload)'!O52</f>
        <v>170187057150</v>
      </c>
      <c r="E241" s="220">
        <f>Bandwidth!K164</f>
        <v>515214723.79394525</v>
      </c>
      <c r="F241" s="297">
        <f t="shared" si="22"/>
        <v>127640.29286249999</v>
      </c>
      <c r="G241" s="308">
        <f t="shared" si="23"/>
        <v>10345018.955878906</v>
      </c>
      <c r="H241" s="435">
        <f>D241/1000000*0.6</f>
        <v>102112.23429000001</v>
      </c>
      <c r="I241" s="435">
        <f>E241*0.00005001</f>
        <v>25765.888336935201</v>
      </c>
      <c r="J241" s="319">
        <f>SUM(F241:I241)*25%</f>
        <v>2650134.3428420853</v>
      </c>
      <c r="M241" s="2"/>
    </row>
    <row r="242" spans="3:13">
      <c r="K242" s="2"/>
    </row>
    <row r="243" spans="3:13">
      <c r="K243" s="2"/>
    </row>
    <row r="244" spans="3:13">
      <c r="K244" s="2"/>
    </row>
    <row r="245" spans="3:13">
      <c r="K245" s="2"/>
    </row>
    <row r="246" spans="3:13">
      <c r="K246" s="2"/>
    </row>
    <row r="247" spans="3:13">
      <c r="K247" s="2"/>
    </row>
    <row r="248" spans="3:13">
      <c r="K248" s="2"/>
    </row>
    <row r="249" spans="3:13">
      <c r="K249" s="2"/>
    </row>
    <row r="250" spans="3:13">
      <c r="K250" s="2"/>
    </row>
    <row r="251" spans="3:13">
      <c r="K251" s="2"/>
    </row>
    <row r="252" spans="3:13">
      <c r="K252" s="2"/>
    </row>
    <row r="253" spans="3:13">
      <c r="K253" s="2"/>
    </row>
    <row r="254" spans="3:13">
      <c r="K254" s="2"/>
    </row>
    <row r="255" spans="3:13">
      <c r="K255" s="2"/>
    </row>
    <row r="256" spans="3:13">
      <c r="K256" s="2"/>
    </row>
    <row r="257" spans="11:11">
      <c r="K257" s="2"/>
    </row>
    <row r="258" spans="11:11">
      <c r="K258" s="2"/>
    </row>
    <row r="259" spans="11:11">
      <c r="K259" s="2"/>
    </row>
    <row r="260" spans="11:11">
      <c r="K260" s="2"/>
    </row>
    <row r="261" spans="11:11">
      <c r="K261" s="2"/>
    </row>
    <row r="262" spans="11:11">
      <c r="K262" s="2"/>
    </row>
    <row r="263" spans="11:11">
      <c r="K263" s="2"/>
    </row>
    <row r="264" spans="11:11">
      <c r="K264" s="2"/>
    </row>
    <row r="265" spans="11:11">
      <c r="K265" s="2"/>
    </row>
    <row r="266" spans="11:11">
      <c r="K266" s="2"/>
    </row>
    <row r="267" spans="11:11">
      <c r="K267" s="2"/>
    </row>
    <row r="268" spans="11:11">
      <c r="K268" s="2"/>
    </row>
    <row r="269" spans="11:11">
      <c r="K269" s="2"/>
    </row>
    <row r="270" spans="11:11">
      <c r="K270" s="2"/>
    </row>
    <row r="271" spans="11:11">
      <c r="K271" s="2"/>
    </row>
    <row r="272" spans="11:11">
      <c r="K272" s="2"/>
    </row>
  </sheetData>
  <mergeCells count="19">
    <mergeCell ref="C162:C163"/>
    <mergeCell ref="F162:J162"/>
    <mergeCell ref="C82:C83"/>
    <mergeCell ref="C203:C204"/>
    <mergeCell ref="D203:E203"/>
    <mergeCell ref="G34:J34"/>
    <mergeCell ref="D34:F34"/>
    <mergeCell ref="C34:C35"/>
    <mergeCell ref="H203:I203"/>
    <mergeCell ref="C122:C123"/>
    <mergeCell ref="D122:G122"/>
    <mergeCell ref="H122:I122"/>
    <mergeCell ref="J122:K122"/>
    <mergeCell ref="L122:L123"/>
    <mergeCell ref="F203:G203"/>
    <mergeCell ref="J203:J204"/>
    <mergeCell ref="J82:K82"/>
    <mergeCell ref="H82:I82"/>
    <mergeCell ref="L82:L8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178B-18EE-C342-A204-BCD5BA21DF82}">
  <dimension ref="A1:CM204"/>
  <sheetViews>
    <sheetView topLeftCell="B1" zoomScaleNormal="100" workbookViewId="0">
      <selection activeCell="J176" sqref="J176"/>
    </sheetView>
  </sheetViews>
  <sheetFormatPr baseColWidth="10" defaultRowHeight="16"/>
  <cols>
    <col min="1" max="1" width="42.83203125" customWidth="1"/>
    <col min="2" max="2" width="75" bestFit="1" customWidth="1"/>
    <col min="3" max="3" width="15.33203125" bestFit="1" customWidth="1"/>
    <col min="4" max="4" width="18.6640625" bestFit="1" customWidth="1"/>
    <col min="5" max="5" width="17.33203125" bestFit="1" customWidth="1"/>
    <col min="6" max="6" width="16.33203125" customWidth="1"/>
    <col min="7" max="7" width="23" bestFit="1" customWidth="1"/>
    <col min="8" max="8" width="19.33203125" bestFit="1" customWidth="1"/>
    <col min="9" max="9" width="15.6640625" bestFit="1" customWidth="1"/>
    <col min="10" max="10" width="17.83203125" bestFit="1" customWidth="1"/>
    <col min="11" max="11" width="16.1640625" bestFit="1" customWidth="1"/>
    <col min="12" max="12" width="18" bestFit="1" customWidth="1"/>
    <col min="13" max="13" width="17.6640625" bestFit="1" customWidth="1"/>
    <col min="14" max="14" width="16.33203125" bestFit="1" customWidth="1"/>
    <col min="15" max="15" width="15.6640625" bestFit="1" customWidth="1"/>
    <col min="16" max="16" width="18.33203125" bestFit="1" customWidth="1"/>
    <col min="17" max="17" width="13.33203125" bestFit="1" customWidth="1"/>
    <col min="18" max="19" width="14.33203125" bestFit="1" customWidth="1"/>
    <col min="20" max="21" width="17.6640625" bestFit="1" customWidth="1"/>
    <col min="22" max="22" width="18.1640625" bestFit="1" customWidth="1"/>
    <col min="23" max="23" width="14.33203125" bestFit="1" customWidth="1"/>
    <col min="24" max="63" width="12.5" customWidth="1"/>
    <col min="64" max="65" width="11.6640625" customWidth="1"/>
    <col min="66" max="66" width="11.5" bestFit="1" customWidth="1"/>
    <col min="67" max="68" width="11.6640625" customWidth="1"/>
    <col min="69" max="69" width="12.5" bestFit="1" customWidth="1"/>
    <col min="70" max="76" width="11.6640625" customWidth="1"/>
    <col min="77" max="77" width="11.5" customWidth="1"/>
    <col min="78" max="80" width="11.5" bestFit="1" customWidth="1"/>
    <col min="81" max="81" width="23.6640625" bestFit="1" customWidth="1"/>
    <col min="82" max="82" width="10.5" bestFit="1" customWidth="1"/>
    <col min="83" max="84" width="11.5" bestFit="1" customWidth="1"/>
    <col min="85" max="85" width="12.5" bestFit="1" customWidth="1"/>
    <col min="86" max="86" width="11.5" bestFit="1" customWidth="1"/>
    <col min="87" max="87" width="11.6640625" customWidth="1"/>
    <col min="88" max="89" width="12.5" bestFit="1" customWidth="1"/>
  </cols>
  <sheetData>
    <row r="1" spans="1:22" ht="24">
      <c r="A1" s="50" t="s">
        <v>332</v>
      </c>
      <c r="V1" s="12"/>
    </row>
    <row r="2" spans="1:22">
      <c r="V2" s="12"/>
    </row>
    <row r="3" spans="1:22">
      <c r="C3" s="6"/>
      <c r="D3" s="1"/>
      <c r="V3" s="12"/>
    </row>
    <row r="4" spans="1:22" ht="21">
      <c r="A4" s="44" t="s">
        <v>41</v>
      </c>
      <c r="C4" s="6"/>
      <c r="D4" s="1"/>
      <c r="V4" s="12"/>
    </row>
    <row r="5" spans="1:22">
      <c r="V5" s="12"/>
    </row>
    <row r="6" spans="1:22">
      <c r="V6" s="12"/>
    </row>
    <row r="7" spans="1:22">
      <c r="A7" t="s">
        <v>202</v>
      </c>
      <c r="C7" s="6"/>
      <c r="D7" s="1"/>
      <c r="V7" s="12"/>
    </row>
    <row r="8" spans="1:22">
      <c r="A8" t="s">
        <v>201</v>
      </c>
      <c r="C8" s="6"/>
      <c r="D8" s="1"/>
      <c r="V8" s="12"/>
    </row>
    <row r="9" spans="1:22">
      <c r="A9" t="s">
        <v>293</v>
      </c>
      <c r="C9" s="6"/>
      <c r="D9" s="1"/>
      <c r="V9" s="12"/>
    </row>
    <row r="10" spans="1:22">
      <c r="A10" t="s">
        <v>60</v>
      </c>
      <c r="C10" s="6"/>
      <c r="D10" s="1"/>
      <c r="V10" s="12"/>
    </row>
    <row r="11" spans="1:22">
      <c r="A11" t="s">
        <v>294</v>
      </c>
      <c r="C11" s="6"/>
      <c r="D11" s="1"/>
      <c r="V11" s="12"/>
    </row>
    <row r="12" spans="1:22">
      <c r="C12" s="6"/>
      <c r="D12" s="1"/>
      <c r="V12" s="12"/>
    </row>
    <row r="13" spans="1:22" ht="21">
      <c r="A13" s="75" t="s">
        <v>59</v>
      </c>
      <c r="B13" s="11"/>
      <c r="C13" s="1"/>
      <c r="D13" s="1"/>
      <c r="E13" s="1"/>
      <c r="U13" s="12"/>
    </row>
    <row r="14" spans="1:22">
      <c r="B14" s="11"/>
      <c r="C14" s="1"/>
      <c r="D14" s="1"/>
      <c r="E14" s="1"/>
      <c r="U14" s="12"/>
    </row>
    <row r="15" spans="1:22">
      <c r="A15" s="9" t="s">
        <v>263</v>
      </c>
      <c r="B15" s="11"/>
      <c r="C15" s="211" t="s">
        <v>44</v>
      </c>
      <c r="D15" s="211" t="s">
        <v>45</v>
      </c>
      <c r="E15" s="211" t="s">
        <v>46</v>
      </c>
      <c r="U15" s="12"/>
    </row>
    <row r="16" spans="1:22">
      <c r="B16" s="81" t="s">
        <v>42</v>
      </c>
      <c r="C16" s="48">
        <f>C31</f>
        <v>249672.81068250001</v>
      </c>
      <c r="D16" s="48">
        <f t="shared" ref="D16:E16" si="0">D31</f>
        <v>349532.45816250006</v>
      </c>
      <c r="E16" s="48">
        <f t="shared" si="0"/>
        <v>563807.37603000004</v>
      </c>
      <c r="U16" s="12"/>
    </row>
    <row r="17" spans="1:91">
      <c r="B17" s="81" t="s">
        <v>282</v>
      </c>
      <c r="C17" s="48">
        <f>C79</f>
        <v>107595.522</v>
      </c>
      <c r="D17" s="48">
        <f t="shared" ref="D17:E17" si="1">D79</f>
        <v>252573.17399999997</v>
      </c>
      <c r="E17" s="48">
        <f t="shared" si="1"/>
        <v>527900.68799999997</v>
      </c>
      <c r="U17" s="12"/>
    </row>
    <row r="18" spans="1:91">
      <c r="B18" s="81" t="s">
        <v>320</v>
      </c>
      <c r="C18" s="48">
        <f>K168</f>
        <v>4894367.4042045157</v>
      </c>
      <c r="D18" s="48">
        <f t="shared" ref="D18:E18" si="2">L168</f>
        <v>11681716.007420287</v>
      </c>
      <c r="E18" s="48">
        <f t="shared" si="2"/>
        <v>24581556.31257686</v>
      </c>
      <c r="U18" s="12"/>
    </row>
    <row r="19" spans="1:91">
      <c r="B19" s="19" t="s">
        <v>266</v>
      </c>
      <c r="C19" s="79">
        <f>SUM(C16:C18)</f>
        <v>5251635.7368870154</v>
      </c>
      <c r="D19" s="79">
        <f t="shared" ref="D19:E19" si="3">SUM(D16:D18)</f>
        <v>12283821.639582787</v>
      </c>
      <c r="E19" s="79">
        <f t="shared" si="3"/>
        <v>25673264.376606859</v>
      </c>
      <c r="U19" s="12"/>
    </row>
    <row r="20" spans="1:91">
      <c r="A20" s="9" t="s">
        <v>173</v>
      </c>
      <c r="B20" s="11"/>
      <c r="C20" s="1"/>
      <c r="D20" s="1"/>
      <c r="E20" s="1"/>
      <c r="U20" s="12"/>
    </row>
    <row r="21" spans="1:91">
      <c r="B21" s="81" t="s">
        <v>78</v>
      </c>
      <c r="C21" s="48">
        <f>'Space and Labor'!C40</f>
        <v>972392</v>
      </c>
      <c r="D21" s="48">
        <f>'Space and Labor'!D40</f>
        <v>1001563.76</v>
      </c>
      <c r="E21" s="48">
        <f>'Space and Labor'!E40</f>
        <v>1031610.6728000001</v>
      </c>
      <c r="U21" s="12"/>
    </row>
    <row r="22" spans="1:91">
      <c r="B22" t="s">
        <v>264</v>
      </c>
      <c r="C22" s="48">
        <f>'Space and Labor'!C22</f>
        <v>232020</v>
      </c>
      <c r="D22" s="48">
        <f>'Space and Labor'!D22</f>
        <v>120600</v>
      </c>
      <c r="E22" s="48">
        <f>'Space and Labor'!E22</f>
        <v>120600</v>
      </c>
      <c r="U22" s="12"/>
    </row>
    <row r="23" spans="1:91">
      <c r="B23" t="s">
        <v>189</v>
      </c>
      <c r="C23" s="48">
        <f>'Space and Labor'!C33</f>
        <v>9499.68</v>
      </c>
      <c r="D23" s="48">
        <f>'Space and Labor'!D33</f>
        <v>9499.68</v>
      </c>
      <c r="E23" s="48">
        <f>'Space and Labor'!E33</f>
        <v>9499.68</v>
      </c>
      <c r="U23" s="12"/>
    </row>
    <row r="24" spans="1:91">
      <c r="B24" s="9" t="s">
        <v>175</v>
      </c>
      <c r="C24" s="79">
        <f>SUM(C21:C23)</f>
        <v>1213911.68</v>
      </c>
      <c r="D24" s="79">
        <f>SUM(D21:D23)</f>
        <v>1131663.44</v>
      </c>
      <c r="E24" s="79">
        <f>SUM(E21:E23)</f>
        <v>1161710.3528</v>
      </c>
      <c r="U24" s="12"/>
    </row>
    <row r="25" spans="1:91">
      <c r="A25" s="89" t="s">
        <v>174</v>
      </c>
      <c r="B25" s="94">
        <f>SUM(C25:E25)</f>
        <v>46716007.225876659</v>
      </c>
      <c r="C25" s="88">
        <f>SUM(C19,C24)</f>
        <v>6465547.4168870151</v>
      </c>
      <c r="D25" s="88">
        <f>SUM(D19,D24)</f>
        <v>13415485.079582786</v>
      </c>
      <c r="E25" s="88">
        <f>SUM(E19,E24)</f>
        <v>26834974.72940686</v>
      </c>
      <c r="U25" s="12"/>
    </row>
    <row r="26" spans="1:91">
      <c r="C26" s="1"/>
      <c r="U26" s="12"/>
    </row>
    <row r="27" spans="1:9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51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</row>
    <row r="29" spans="1:91" ht="22" thickBot="1">
      <c r="A29" s="44" t="s">
        <v>314</v>
      </c>
      <c r="B29" t="s">
        <v>359</v>
      </c>
      <c r="C29" s="9" t="s">
        <v>278</v>
      </c>
      <c r="G29" s="73"/>
      <c r="H29" s="73"/>
      <c r="I29" s="73"/>
      <c r="J29" s="73"/>
    </row>
    <row r="30" spans="1:91" ht="22" thickBot="1">
      <c r="A30" s="44"/>
      <c r="B30" t="s">
        <v>315</v>
      </c>
      <c r="C30" s="275" t="s">
        <v>44</v>
      </c>
      <c r="D30" s="263" t="s">
        <v>45</v>
      </c>
      <c r="E30" s="316" t="s">
        <v>46</v>
      </c>
      <c r="G30" s="80"/>
      <c r="H30" s="80"/>
      <c r="I30" s="80"/>
      <c r="J30" s="80"/>
    </row>
    <row r="31" spans="1:91" ht="21">
      <c r="A31" s="44"/>
      <c r="B31" t="s">
        <v>360</v>
      </c>
      <c r="C31" s="314">
        <f>SUM(J36:J48)</f>
        <v>249672.81068250001</v>
      </c>
      <c r="D31" s="314">
        <f>SUM(J49:J60)</f>
        <v>349532.45816250006</v>
      </c>
      <c r="E31" s="315">
        <f>SUM(J61:J72)</f>
        <v>563807.37603000004</v>
      </c>
      <c r="G31" s="80"/>
      <c r="H31" s="80"/>
      <c r="I31" s="80"/>
      <c r="J31" s="80"/>
    </row>
    <row r="32" spans="1:91" ht="21">
      <c r="A32" s="44"/>
      <c r="B32" t="s">
        <v>296</v>
      </c>
      <c r="C32" s="309"/>
      <c r="D32" s="309"/>
      <c r="E32" s="310"/>
      <c r="G32" s="80"/>
      <c r="H32" s="80"/>
      <c r="I32" s="80"/>
      <c r="J32" s="80"/>
    </row>
    <row r="33" spans="1:10" ht="22" thickBot="1">
      <c r="A33" s="44"/>
      <c r="G33" s="80"/>
      <c r="H33" s="80"/>
      <c r="I33" s="80"/>
      <c r="J33" s="80"/>
    </row>
    <row r="34" spans="1:10">
      <c r="C34" s="365" t="s">
        <v>246</v>
      </c>
      <c r="D34" s="367" t="s">
        <v>261</v>
      </c>
      <c r="E34" s="367"/>
      <c r="F34" s="367"/>
      <c r="G34" s="367" t="s">
        <v>262</v>
      </c>
      <c r="H34" s="367"/>
      <c r="I34" s="367"/>
      <c r="J34" s="371"/>
    </row>
    <row r="35" spans="1:10" ht="20" thickBot="1">
      <c r="C35" s="380"/>
      <c r="D35" s="227" t="s">
        <v>43</v>
      </c>
      <c r="E35" s="227" t="s">
        <v>322</v>
      </c>
      <c r="F35" s="227" t="s">
        <v>292</v>
      </c>
      <c r="G35" s="227" t="s">
        <v>42</v>
      </c>
      <c r="H35" s="227" t="s">
        <v>322</v>
      </c>
      <c r="I35" s="227" t="s">
        <v>292</v>
      </c>
      <c r="J35" s="305" t="s">
        <v>257</v>
      </c>
    </row>
    <row r="36" spans="1:10">
      <c r="C36" s="304">
        <v>0</v>
      </c>
      <c r="D36" s="327">
        <f>Storage!$E$11+Storage!$E$15</f>
        <v>500976.5625</v>
      </c>
      <c r="E36" s="341">
        <f>'CPU (Workload)'!L16+'CPU (Workload)'!M16</f>
        <v>9638737500</v>
      </c>
      <c r="F36" s="342">
        <f>Bandwidth!V5+Bandwidth!K48</f>
        <v>18758424.682617188</v>
      </c>
      <c r="G36" s="343">
        <f>$D36*0.026</f>
        <v>13025.390625</v>
      </c>
      <c r="H36" s="344">
        <f>($E36/10000)*0.004</f>
        <v>3855.4949999999999</v>
      </c>
      <c r="I36" s="344">
        <f>IFERROR($F36*0,0)</f>
        <v>0</v>
      </c>
      <c r="J36" s="345">
        <f>SUM(G36:I36)</f>
        <v>16880.885624999999</v>
      </c>
    </row>
    <row r="37" spans="1:10">
      <c r="C37" s="288">
        <v>1</v>
      </c>
      <c r="D37" s="333">
        <f>Storage!$E$11+Storage!$E$15</f>
        <v>500976.5625</v>
      </c>
      <c r="E37" s="346">
        <f>'CPU (Workload)'!L17+'CPU (Workload)'!M17</f>
        <v>10175293887.5</v>
      </c>
      <c r="F37" s="347">
        <f>Bandwidth!V6+Bandwidth!K49</f>
        <v>19802643.656616211</v>
      </c>
      <c r="G37" s="348">
        <f t="shared" ref="G37:G72" si="4">$D37*0.026</f>
        <v>13025.390625</v>
      </c>
      <c r="H37" s="349">
        <f t="shared" ref="H37:H72" si="5">($E37/10000)*0.004</f>
        <v>4070.1175550000003</v>
      </c>
      <c r="I37" s="349">
        <f t="shared" ref="I37:I72" si="6">IFERROR($F37*0,0)</f>
        <v>0</v>
      </c>
      <c r="J37" s="350">
        <f t="shared" ref="J37:J72" si="7">SUM(G37:I37)</f>
        <v>17095.508180000001</v>
      </c>
    </row>
    <row r="38" spans="1:10">
      <c r="C38" s="288">
        <v>2</v>
      </c>
      <c r="D38" s="333">
        <f>Storage!$E$11+Storage!$E$15</f>
        <v>500976.5625</v>
      </c>
      <c r="E38" s="346">
        <f>'CPU (Workload)'!L18+'CPU (Workload)'!M18</f>
        <v>10711850275</v>
      </c>
      <c r="F38" s="347">
        <f>Bandwidth!V7+Bandwidth!K50</f>
        <v>20846862.630615234</v>
      </c>
      <c r="G38" s="348">
        <f t="shared" si="4"/>
        <v>13025.390625</v>
      </c>
      <c r="H38" s="349">
        <f t="shared" si="5"/>
        <v>4284.7401100000006</v>
      </c>
      <c r="I38" s="349">
        <f t="shared" si="6"/>
        <v>0</v>
      </c>
      <c r="J38" s="350">
        <f t="shared" si="7"/>
        <v>17310.130734999999</v>
      </c>
    </row>
    <row r="39" spans="1:10">
      <c r="C39" s="288">
        <v>3</v>
      </c>
      <c r="D39" s="333">
        <f>Storage!$E$11+Storage!$E$15</f>
        <v>500976.5625</v>
      </c>
      <c r="E39" s="346">
        <f>'CPU (Workload)'!L19+'CPU (Workload)'!M19</f>
        <v>11248406662.5</v>
      </c>
      <c r="F39" s="347">
        <f>Bandwidth!V8+Bandwidth!K51</f>
        <v>21891081.604614258</v>
      </c>
      <c r="G39" s="348">
        <f t="shared" si="4"/>
        <v>13025.390625</v>
      </c>
      <c r="H39" s="349">
        <f t="shared" si="5"/>
        <v>4499.3626650000006</v>
      </c>
      <c r="I39" s="349">
        <f t="shared" si="6"/>
        <v>0</v>
      </c>
      <c r="J39" s="350">
        <f t="shared" si="7"/>
        <v>17524.753290000001</v>
      </c>
    </row>
    <row r="40" spans="1:10">
      <c r="C40" s="288">
        <v>4</v>
      </c>
      <c r="D40" s="333">
        <f>Storage!$E$11+Storage!$E$15</f>
        <v>500976.5625</v>
      </c>
      <c r="E40" s="346">
        <f>'CPU (Workload)'!L20+'CPU (Workload)'!M20</f>
        <v>11784963050</v>
      </c>
      <c r="F40" s="347">
        <f>Bandwidth!V9+Bandwidth!K52</f>
        <v>22935300.578613281</v>
      </c>
      <c r="G40" s="348">
        <f t="shared" si="4"/>
        <v>13025.390625</v>
      </c>
      <c r="H40" s="349">
        <f t="shared" si="5"/>
        <v>4713.9852199999996</v>
      </c>
      <c r="I40" s="349">
        <f t="shared" si="6"/>
        <v>0</v>
      </c>
      <c r="J40" s="350">
        <f t="shared" si="7"/>
        <v>17739.375844999999</v>
      </c>
    </row>
    <row r="41" spans="1:10">
      <c r="C41" s="288">
        <v>5</v>
      </c>
      <c r="D41" s="333">
        <f>Storage!$E$11+Storage!$E$15</f>
        <v>500976.5625</v>
      </c>
      <c r="E41" s="346">
        <f>'CPU (Workload)'!L21+'CPU (Workload)'!M21</f>
        <v>12321519437.5</v>
      </c>
      <c r="F41" s="347">
        <f>Bandwidth!V10+Bandwidth!K53</f>
        <v>23979519.552612305</v>
      </c>
      <c r="G41" s="348">
        <f t="shared" si="4"/>
        <v>13025.390625</v>
      </c>
      <c r="H41" s="349">
        <f t="shared" si="5"/>
        <v>4928.6077750000004</v>
      </c>
      <c r="I41" s="349">
        <f t="shared" si="6"/>
        <v>0</v>
      </c>
      <c r="J41" s="350">
        <f t="shared" si="7"/>
        <v>17953.9984</v>
      </c>
    </row>
    <row r="42" spans="1:10">
      <c r="C42" s="288">
        <v>6</v>
      </c>
      <c r="D42" s="333">
        <f>Storage!$E$11+Storage!$E$15</f>
        <v>500976.5625</v>
      </c>
      <c r="E42" s="346">
        <f>'CPU (Workload)'!L22+'CPU (Workload)'!M22</f>
        <v>12858075825</v>
      </c>
      <c r="F42" s="347">
        <f>Bandwidth!V11+Bandwidth!K54</f>
        <v>25023738.526611328</v>
      </c>
      <c r="G42" s="348">
        <f t="shared" si="4"/>
        <v>13025.390625</v>
      </c>
      <c r="H42" s="349">
        <f t="shared" si="5"/>
        <v>5143.2303300000003</v>
      </c>
      <c r="I42" s="349">
        <f t="shared" si="6"/>
        <v>0</v>
      </c>
      <c r="J42" s="350">
        <f t="shared" si="7"/>
        <v>18168.620954999999</v>
      </c>
    </row>
    <row r="43" spans="1:10">
      <c r="C43" s="288">
        <v>7</v>
      </c>
      <c r="D43" s="333">
        <f>Storage!$E$11+Storage!$E$15</f>
        <v>500976.5625</v>
      </c>
      <c r="E43" s="346">
        <f>'CPU (Workload)'!L23+'CPU (Workload)'!M23</f>
        <v>14999482006.25</v>
      </c>
      <c r="F43" s="347">
        <f>Bandwidth!V12+Bandwidth!K55</f>
        <v>29191235.210266113</v>
      </c>
      <c r="G43" s="348">
        <f t="shared" si="4"/>
        <v>13025.390625</v>
      </c>
      <c r="H43" s="349">
        <f t="shared" si="5"/>
        <v>5999.7928025000001</v>
      </c>
      <c r="I43" s="349">
        <f t="shared" si="6"/>
        <v>0</v>
      </c>
      <c r="J43" s="350">
        <f t="shared" si="7"/>
        <v>19025.1834275</v>
      </c>
    </row>
    <row r="44" spans="1:10">
      <c r="C44" s="288">
        <v>8</v>
      </c>
      <c r="D44" s="333">
        <f>Storage!$E$11+Storage!$E$15</f>
        <v>500976.5625</v>
      </c>
      <c r="E44" s="346">
        <f>'CPU (Workload)'!L24+'CPU (Workload)'!M24</f>
        <v>17140888187.5</v>
      </c>
      <c r="F44" s="347">
        <f>Bandwidth!V13+Bandwidth!K56</f>
        <v>33358731.893920898</v>
      </c>
      <c r="G44" s="348">
        <f t="shared" si="4"/>
        <v>13025.390625</v>
      </c>
      <c r="H44" s="349">
        <f t="shared" si="5"/>
        <v>6856.3552750000008</v>
      </c>
      <c r="I44" s="349">
        <f t="shared" si="6"/>
        <v>0</v>
      </c>
      <c r="J44" s="350">
        <f t="shared" si="7"/>
        <v>19881.745900000002</v>
      </c>
    </row>
    <row r="45" spans="1:10">
      <c r="C45" s="288">
        <v>9</v>
      </c>
      <c r="D45" s="333">
        <f>Storage!$E$11+Storage!$E$15</f>
        <v>500976.5625</v>
      </c>
      <c r="E45" s="346">
        <f>'CPU (Workload)'!L25+'CPU (Workload)'!M25</f>
        <v>19282294368.75</v>
      </c>
      <c r="F45" s="347">
        <f>Bandwidth!V14+Bandwidth!K57</f>
        <v>37526228.577575684</v>
      </c>
      <c r="G45" s="348">
        <f t="shared" si="4"/>
        <v>13025.390625</v>
      </c>
      <c r="H45" s="349">
        <f t="shared" si="5"/>
        <v>7712.9177474999997</v>
      </c>
      <c r="I45" s="349">
        <f t="shared" si="6"/>
        <v>0</v>
      </c>
      <c r="J45" s="350">
        <f t="shared" si="7"/>
        <v>20738.3083725</v>
      </c>
    </row>
    <row r="46" spans="1:10">
      <c r="C46" s="288">
        <v>10</v>
      </c>
      <c r="D46" s="333">
        <f>Storage!$E$11+Storage!$E$15</f>
        <v>500976.5625</v>
      </c>
      <c r="E46" s="346">
        <f>'CPU (Workload)'!L26+'CPU (Workload)'!M26</f>
        <v>21423700550</v>
      </c>
      <c r="F46" s="347">
        <f>Bandwidth!V15+Bandwidth!K58</f>
        <v>41693725.261230469</v>
      </c>
      <c r="G46" s="348">
        <f t="shared" si="4"/>
        <v>13025.390625</v>
      </c>
      <c r="H46" s="349">
        <f t="shared" si="5"/>
        <v>8569.4802200000013</v>
      </c>
      <c r="I46" s="349">
        <f t="shared" si="6"/>
        <v>0</v>
      </c>
      <c r="J46" s="350">
        <f t="shared" si="7"/>
        <v>21594.870845000001</v>
      </c>
    </row>
    <row r="47" spans="1:10">
      <c r="C47" s="288">
        <v>11</v>
      </c>
      <c r="D47" s="333">
        <f>Storage!$E$11+Storage!$E$15</f>
        <v>500976.5625</v>
      </c>
      <c r="E47" s="346">
        <f>'CPU (Workload)'!L27+'CPU (Workload)'!M27</f>
        <v>23565106731.25</v>
      </c>
      <c r="F47" s="347">
        <f>Bandwidth!V16+Bandwidth!K59</f>
        <v>45861221.944885254</v>
      </c>
      <c r="G47" s="348">
        <f t="shared" si="4"/>
        <v>13025.390625</v>
      </c>
      <c r="H47" s="349">
        <f t="shared" si="5"/>
        <v>9426.0426925000011</v>
      </c>
      <c r="I47" s="349">
        <f t="shared" si="6"/>
        <v>0</v>
      </c>
      <c r="J47" s="350">
        <f t="shared" si="7"/>
        <v>22451.433317499999</v>
      </c>
    </row>
    <row r="48" spans="1:10">
      <c r="C48" s="288">
        <v>12</v>
      </c>
      <c r="D48" s="333">
        <f>Storage!$E$11+Storage!$E$15</f>
        <v>500976.5625</v>
      </c>
      <c r="E48" s="346">
        <f>'CPU (Workload)'!L28+'CPU (Workload)'!M28</f>
        <v>25706512912.5</v>
      </c>
      <c r="F48" s="347">
        <f>Bandwidth!V17+Bandwidth!K60</f>
        <v>50028718.628540039</v>
      </c>
      <c r="G48" s="348">
        <f t="shared" si="4"/>
        <v>13025.390625</v>
      </c>
      <c r="H48" s="349">
        <f t="shared" si="5"/>
        <v>10282.605164999999</v>
      </c>
      <c r="I48" s="349">
        <f t="shared" si="6"/>
        <v>0</v>
      </c>
      <c r="J48" s="350">
        <f t="shared" si="7"/>
        <v>23307.995790000001</v>
      </c>
    </row>
    <row r="49" spans="3:10">
      <c r="C49" s="288">
        <v>13</v>
      </c>
      <c r="D49" s="333">
        <f>Storage!$E$11+Storage!$E$15</f>
        <v>500976.5625</v>
      </c>
      <c r="E49" s="346">
        <f>'CPU (Workload)'!L29+'CPU (Workload)'!M29</f>
        <v>27133046062.5</v>
      </c>
      <c r="F49" s="347">
        <f>Bandwidth!V18+Bandwidth!K61</f>
        <v>52804965.481567383</v>
      </c>
      <c r="G49" s="348">
        <f t="shared" si="4"/>
        <v>13025.390625</v>
      </c>
      <c r="H49" s="349">
        <f t="shared" si="5"/>
        <v>10853.218425000001</v>
      </c>
      <c r="I49" s="349">
        <f t="shared" si="6"/>
        <v>0</v>
      </c>
      <c r="J49" s="350">
        <f t="shared" si="7"/>
        <v>23878.609049999999</v>
      </c>
    </row>
    <row r="50" spans="3:10">
      <c r="C50" s="288">
        <v>14</v>
      </c>
      <c r="D50" s="333">
        <f>Storage!$E$11+Storage!$E$15</f>
        <v>500976.5625</v>
      </c>
      <c r="E50" s="346">
        <f>'CPU (Workload)'!L30+'CPU (Workload)'!M30</f>
        <v>28559579212.5</v>
      </c>
      <c r="F50" s="347">
        <f>Bandwidth!V19+Bandwidth!K62</f>
        <v>55581212.334594727</v>
      </c>
      <c r="G50" s="348">
        <f t="shared" si="4"/>
        <v>13025.390625</v>
      </c>
      <c r="H50" s="349">
        <f t="shared" si="5"/>
        <v>11423.831685000001</v>
      </c>
      <c r="I50" s="349">
        <f t="shared" si="6"/>
        <v>0</v>
      </c>
      <c r="J50" s="350">
        <f t="shared" si="7"/>
        <v>24449.222310000001</v>
      </c>
    </row>
    <row r="51" spans="3:10">
      <c r="C51" s="288">
        <v>15</v>
      </c>
      <c r="D51" s="333">
        <f>Storage!$E$11+Storage!$E$15</f>
        <v>500976.5625</v>
      </c>
      <c r="E51" s="346">
        <f>'CPU (Workload)'!L31+'CPU (Workload)'!M31</f>
        <v>29986112362.5</v>
      </c>
      <c r="F51" s="347">
        <f>Bandwidth!V20+Bandwidth!K63</f>
        <v>58357459.18762207</v>
      </c>
      <c r="G51" s="348">
        <f t="shared" si="4"/>
        <v>13025.390625</v>
      </c>
      <c r="H51" s="349">
        <f t="shared" si="5"/>
        <v>11994.444945000001</v>
      </c>
      <c r="I51" s="349">
        <f t="shared" si="6"/>
        <v>0</v>
      </c>
      <c r="J51" s="350">
        <f t="shared" si="7"/>
        <v>25019.835570000003</v>
      </c>
    </row>
    <row r="52" spans="3:10">
      <c r="C52" s="288">
        <v>16</v>
      </c>
      <c r="D52" s="333">
        <f>Storage!$E$11+Storage!$E$15</f>
        <v>500976.5625</v>
      </c>
      <c r="E52" s="346">
        <f>'CPU (Workload)'!L32+'CPU (Workload)'!M32</f>
        <v>31412645512.5</v>
      </c>
      <c r="F52" s="347">
        <f>Bandwidth!V21+Bandwidth!K64</f>
        <v>61133706.040649414</v>
      </c>
      <c r="G52" s="348">
        <f t="shared" si="4"/>
        <v>13025.390625</v>
      </c>
      <c r="H52" s="349">
        <f t="shared" si="5"/>
        <v>12565.058205000001</v>
      </c>
      <c r="I52" s="349">
        <f t="shared" si="6"/>
        <v>0</v>
      </c>
      <c r="J52" s="350">
        <f t="shared" si="7"/>
        <v>25590.448830000001</v>
      </c>
    </row>
    <row r="53" spans="3:10">
      <c r="C53" s="288">
        <v>17</v>
      </c>
      <c r="D53" s="333">
        <f>Storage!$E$11+Storage!$E$15</f>
        <v>500976.5625</v>
      </c>
      <c r="E53" s="346">
        <f>'CPU (Workload)'!L33+'CPU (Workload)'!M33</f>
        <v>32839178662.5</v>
      </c>
      <c r="F53" s="347">
        <f>Bandwidth!V22+Bandwidth!K65</f>
        <v>63909952.893676758</v>
      </c>
      <c r="G53" s="348">
        <f t="shared" si="4"/>
        <v>13025.390625</v>
      </c>
      <c r="H53" s="349">
        <f t="shared" si="5"/>
        <v>13135.671464999999</v>
      </c>
      <c r="I53" s="349">
        <f t="shared" si="6"/>
        <v>0</v>
      </c>
      <c r="J53" s="350">
        <f t="shared" si="7"/>
        <v>26161.062089999999</v>
      </c>
    </row>
    <row r="54" spans="3:10">
      <c r="C54" s="288">
        <v>18</v>
      </c>
      <c r="D54" s="333">
        <f>Storage!$E$11+Storage!$E$15</f>
        <v>500976.5625</v>
      </c>
      <c r="E54" s="346">
        <f>'CPU (Workload)'!L34+'CPU (Workload)'!M34</f>
        <v>34265711812.5</v>
      </c>
      <c r="F54" s="347">
        <f>Bandwidth!V23+Bandwidth!K66</f>
        <v>66686199.746704102</v>
      </c>
      <c r="G54" s="348">
        <f t="shared" si="4"/>
        <v>13025.390625</v>
      </c>
      <c r="H54" s="349">
        <f t="shared" si="5"/>
        <v>13706.284725</v>
      </c>
      <c r="I54" s="349">
        <f t="shared" si="6"/>
        <v>0</v>
      </c>
      <c r="J54" s="350">
        <f t="shared" si="7"/>
        <v>26731.675349999998</v>
      </c>
    </row>
    <row r="55" spans="3:10">
      <c r="C55" s="288">
        <v>19</v>
      </c>
      <c r="D55" s="333">
        <f>Storage!$E$11+Storage!$E$15</f>
        <v>500976.5625</v>
      </c>
      <c r="E55" s="346">
        <f>'CPU (Workload)'!L35+'CPU (Workload)'!M35</f>
        <v>38707563343.75</v>
      </c>
      <c r="F55" s="347">
        <f>Bandwidth!V24+Bandwidth!K67</f>
        <v>75330707.121276855</v>
      </c>
      <c r="G55" s="348">
        <f t="shared" si="4"/>
        <v>13025.390625</v>
      </c>
      <c r="H55" s="349">
        <f t="shared" si="5"/>
        <v>15483.025337500001</v>
      </c>
      <c r="I55" s="349">
        <f t="shared" si="6"/>
        <v>0</v>
      </c>
      <c r="J55" s="350">
        <f t="shared" si="7"/>
        <v>28508.415962500003</v>
      </c>
    </row>
    <row r="56" spans="3:10">
      <c r="C56" s="288">
        <v>20</v>
      </c>
      <c r="D56" s="333">
        <f>Storage!$E$11+Storage!$E$15</f>
        <v>500976.5625</v>
      </c>
      <c r="E56" s="346">
        <f>'CPU (Workload)'!L36+'CPU (Workload)'!M36</f>
        <v>43149414875</v>
      </c>
      <c r="F56" s="347">
        <f>Bandwidth!V25+Bandwidth!K68</f>
        <v>83975214.495849624</v>
      </c>
      <c r="G56" s="348">
        <f t="shared" si="4"/>
        <v>13025.390625</v>
      </c>
      <c r="H56" s="349">
        <f t="shared" si="5"/>
        <v>17259.765950000001</v>
      </c>
      <c r="I56" s="349">
        <f t="shared" si="6"/>
        <v>0</v>
      </c>
      <c r="J56" s="350">
        <f t="shared" si="7"/>
        <v>30285.156575000001</v>
      </c>
    </row>
    <row r="57" spans="3:10">
      <c r="C57" s="288">
        <v>21</v>
      </c>
      <c r="D57" s="333">
        <f>Storage!$E$11+Storage!$E$15</f>
        <v>500976.5625</v>
      </c>
      <c r="E57" s="346">
        <f>'CPU (Workload)'!L37+'CPU (Workload)'!M37</f>
        <v>47591266406.25</v>
      </c>
      <c r="F57" s="347">
        <f>Bandwidth!V26+Bandwidth!K69</f>
        <v>92619721.870422363</v>
      </c>
      <c r="G57" s="348">
        <f t="shared" si="4"/>
        <v>13025.390625</v>
      </c>
      <c r="H57" s="349">
        <f t="shared" si="5"/>
        <v>19036.506562499999</v>
      </c>
      <c r="I57" s="349">
        <f t="shared" si="6"/>
        <v>0</v>
      </c>
      <c r="J57" s="350">
        <f t="shared" si="7"/>
        <v>32061.897187499999</v>
      </c>
    </row>
    <row r="58" spans="3:10">
      <c r="C58" s="288">
        <v>22</v>
      </c>
      <c r="D58" s="333">
        <f>Storage!$E$11+Storage!$E$15</f>
        <v>500976.5625</v>
      </c>
      <c r="E58" s="346">
        <f>'CPU (Workload)'!L38+'CPU (Workload)'!M38</f>
        <v>52033117937.5</v>
      </c>
      <c r="F58" s="347">
        <f>Bandwidth!V27+Bandwidth!K70</f>
        <v>101264229.24499512</v>
      </c>
      <c r="G58" s="348">
        <f t="shared" si="4"/>
        <v>13025.390625</v>
      </c>
      <c r="H58" s="349">
        <f t="shared" si="5"/>
        <v>20813.247175</v>
      </c>
      <c r="I58" s="349">
        <f t="shared" si="6"/>
        <v>0</v>
      </c>
      <c r="J58" s="350">
        <f t="shared" si="7"/>
        <v>33838.637799999997</v>
      </c>
    </row>
    <row r="59" spans="3:10">
      <c r="C59" s="288">
        <v>23</v>
      </c>
      <c r="D59" s="333">
        <f>Storage!$E$11+Storage!$E$15</f>
        <v>500976.5625</v>
      </c>
      <c r="E59" s="346">
        <f>'CPU (Workload)'!L39+'CPU (Workload)'!M39</f>
        <v>56474969468.75</v>
      </c>
      <c r="F59" s="347">
        <f>Bandwidth!V28+Bandwidth!K71</f>
        <v>109908736.61956787</v>
      </c>
      <c r="G59" s="348">
        <f t="shared" si="4"/>
        <v>13025.390625</v>
      </c>
      <c r="H59" s="349">
        <f t="shared" si="5"/>
        <v>22589.987787500002</v>
      </c>
      <c r="I59" s="349">
        <f t="shared" si="6"/>
        <v>0</v>
      </c>
      <c r="J59" s="350">
        <f t="shared" si="7"/>
        <v>35615.378412500002</v>
      </c>
    </row>
    <row r="60" spans="3:10">
      <c r="C60" s="288">
        <v>24</v>
      </c>
      <c r="D60" s="333">
        <f>Storage!$E$11+Storage!$E$15</f>
        <v>500976.5625</v>
      </c>
      <c r="E60" s="346">
        <f>'CPU (Workload)'!L40+'CPU (Workload)'!M40</f>
        <v>60916821000</v>
      </c>
      <c r="F60" s="347">
        <f>Bandwidth!V29+Bandwidth!K72</f>
        <v>118553243.99414062</v>
      </c>
      <c r="G60" s="348">
        <f t="shared" si="4"/>
        <v>13025.390625</v>
      </c>
      <c r="H60" s="349">
        <f t="shared" si="5"/>
        <v>24366.7284</v>
      </c>
      <c r="I60" s="349">
        <f t="shared" si="6"/>
        <v>0</v>
      </c>
      <c r="J60" s="350">
        <f t="shared" si="7"/>
        <v>37392.119025</v>
      </c>
    </row>
    <row r="61" spans="3:10">
      <c r="C61" s="288">
        <v>25</v>
      </c>
      <c r="D61" s="333">
        <f>Storage!$E$11+Storage!$E$15</f>
        <v>500976.5625</v>
      </c>
      <c r="E61" s="346">
        <f>'CPU (Workload)'!L41+'CPU (Workload)'!M41</f>
        <v>64303230775</v>
      </c>
      <c r="F61" s="347">
        <f>Bandwidth!V30+Bandwidth!K73</f>
        <v>125143703.8659668</v>
      </c>
      <c r="G61" s="348">
        <f t="shared" si="4"/>
        <v>13025.390625</v>
      </c>
      <c r="H61" s="349">
        <f t="shared" si="5"/>
        <v>25721.292310000001</v>
      </c>
      <c r="I61" s="349">
        <f t="shared" si="6"/>
        <v>0</v>
      </c>
      <c r="J61" s="350">
        <f t="shared" si="7"/>
        <v>38746.682935000004</v>
      </c>
    </row>
    <row r="62" spans="3:10">
      <c r="C62" s="288">
        <v>26</v>
      </c>
      <c r="D62" s="333">
        <f>Storage!$E$11+Storage!$E$15</f>
        <v>500976.5625</v>
      </c>
      <c r="E62" s="346">
        <f>'CPU (Workload)'!L42+'CPU (Workload)'!M42</f>
        <v>67689640550</v>
      </c>
      <c r="F62" s="347">
        <f>Bandwidth!V31+Bandwidth!K74</f>
        <v>131734163.73779297</v>
      </c>
      <c r="G62" s="348">
        <f t="shared" si="4"/>
        <v>13025.390625</v>
      </c>
      <c r="H62" s="349">
        <f t="shared" si="5"/>
        <v>27075.856219999998</v>
      </c>
      <c r="I62" s="349">
        <f t="shared" si="6"/>
        <v>0</v>
      </c>
      <c r="J62" s="350">
        <f t="shared" si="7"/>
        <v>40101.246845000001</v>
      </c>
    </row>
    <row r="63" spans="3:10">
      <c r="C63" s="288">
        <v>27</v>
      </c>
      <c r="D63" s="333">
        <f>Storage!$E$11+Storage!$E$15</f>
        <v>500976.5625</v>
      </c>
      <c r="E63" s="346">
        <f>'CPU (Workload)'!L43+'CPU (Workload)'!M43</f>
        <v>71076050325</v>
      </c>
      <c r="F63" s="347">
        <f>Bandwidth!V32+Bandwidth!K75</f>
        <v>138324623.60961914</v>
      </c>
      <c r="G63" s="348">
        <f t="shared" si="4"/>
        <v>13025.390625</v>
      </c>
      <c r="H63" s="349">
        <f t="shared" si="5"/>
        <v>28430.420129999999</v>
      </c>
      <c r="I63" s="349">
        <f t="shared" si="6"/>
        <v>0</v>
      </c>
      <c r="J63" s="350">
        <f t="shared" si="7"/>
        <v>41455.810754999999</v>
      </c>
    </row>
    <row r="64" spans="3:10">
      <c r="C64" s="288">
        <v>28</v>
      </c>
      <c r="D64" s="333">
        <f>Storage!$E$11+Storage!$E$15</f>
        <v>500976.5625</v>
      </c>
      <c r="E64" s="346">
        <f>'CPU (Workload)'!L44+'CPU (Workload)'!M44</f>
        <v>74462460100</v>
      </c>
      <c r="F64" s="347">
        <f>Bandwidth!V33+Bandwidth!K76</f>
        <v>144915083.48144531</v>
      </c>
      <c r="G64" s="348">
        <f t="shared" si="4"/>
        <v>13025.390625</v>
      </c>
      <c r="H64" s="349">
        <f t="shared" si="5"/>
        <v>29784.984039999999</v>
      </c>
      <c r="I64" s="349">
        <f t="shared" si="6"/>
        <v>0</v>
      </c>
      <c r="J64" s="350">
        <f t="shared" si="7"/>
        <v>42810.374664999996</v>
      </c>
    </row>
    <row r="65" spans="1:10">
      <c r="C65" s="288">
        <v>29</v>
      </c>
      <c r="D65" s="333">
        <f>Storage!$E$11+Storage!$E$15</f>
        <v>500976.5625</v>
      </c>
      <c r="E65" s="346">
        <f>'CPU (Workload)'!L45+'CPU (Workload)'!M45</f>
        <v>77848869875</v>
      </c>
      <c r="F65" s="347">
        <f>Bandwidth!V34+Bandwidth!K77</f>
        <v>151505543.35327148</v>
      </c>
      <c r="G65" s="348">
        <f t="shared" si="4"/>
        <v>13025.390625</v>
      </c>
      <c r="H65" s="349">
        <f t="shared" si="5"/>
        <v>31139.54795</v>
      </c>
      <c r="I65" s="349">
        <f t="shared" si="6"/>
        <v>0</v>
      </c>
      <c r="J65" s="350">
        <f t="shared" si="7"/>
        <v>44164.938575</v>
      </c>
    </row>
    <row r="66" spans="1:10">
      <c r="C66" s="288">
        <v>30</v>
      </c>
      <c r="D66" s="333">
        <f>Storage!$E$11+Storage!$E$15</f>
        <v>500976.5625</v>
      </c>
      <c r="E66" s="346">
        <f>'CPU (Workload)'!L46+'CPU (Workload)'!M46</f>
        <v>81235279650</v>
      </c>
      <c r="F66" s="347">
        <f>Bandwidth!V35+Bandwidth!K78</f>
        <v>158096003.22509766</v>
      </c>
      <c r="G66" s="348">
        <f t="shared" si="4"/>
        <v>13025.390625</v>
      </c>
      <c r="H66" s="349">
        <f t="shared" si="5"/>
        <v>32494.111860000001</v>
      </c>
      <c r="I66" s="349">
        <f t="shared" si="6"/>
        <v>0</v>
      </c>
      <c r="J66" s="350">
        <f t="shared" si="7"/>
        <v>45519.502485000005</v>
      </c>
    </row>
    <row r="67" spans="1:10">
      <c r="C67" s="288">
        <v>31</v>
      </c>
      <c r="D67" s="333">
        <f>Storage!$E$11+Storage!$E$15</f>
        <v>500976.5625</v>
      </c>
      <c r="E67" s="346">
        <f>'CPU (Workload)'!L47+'CPU (Workload)'!M47</f>
        <v>85746208800</v>
      </c>
      <c r="F67" s="347">
        <f>Bandwidth!V36+Bandwidth!K79</f>
        <v>166874945.9765625</v>
      </c>
      <c r="G67" s="348">
        <f t="shared" si="4"/>
        <v>13025.390625</v>
      </c>
      <c r="H67" s="349">
        <f t="shared" si="5"/>
        <v>34298.483520000002</v>
      </c>
      <c r="I67" s="349">
        <f t="shared" si="6"/>
        <v>0</v>
      </c>
      <c r="J67" s="350">
        <f t="shared" si="7"/>
        <v>47323.874145000002</v>
      </c>
    </row>
    <row r="68" spans="1:10">
      <c r="C68" s="288">
        <v>32</v>
      </c>
      <c r="D68" s="333">
        <f>Storage!$E$11+Storage!$E$15</f>
        <v>500976.5625</v>
      </c>
      <c r="E68" s="346">
        <f>'CPU (Workload)'!L48+'CPU (Workload)'!M48</f>
        <v>90257137950</v>
      </c>
      <c r="F68" s="347">
        <f>Bandwidth!V37+Bandwidth!K80</f>
        <v>175653888.72802737</v>
      </c>
      <c r="G68" s="348">
        <f t="shared" si="4"/>
        <v>13025.390625</v>
      </c>
      <c r="H68" s="349">
        <f t="shared" si="5"/>
        <v>36102.855179999999</v>
      </c>
      <c r="I68" s="349">
        <f t="shared" si="6"/>
        <v>0</v>
      </c>
      <c r="J68" s="350">
        <f t="shared" si="7"/>
        <v>49128.245804999999</v>
      </c>
    </row>
    <row r="69" spans="1:10">
      <c r="C69" s="288">
        <v>33</v>
      </c>
      <c r="D69" s="333">
        <f>Storage!$E$11+Storage!$E$15</f>
        <v>500976.5625</v>
      </c>
      <c r="E69" s="346">
        <f>'CPU (Workload)'!L49+'CPU (Workload)'!M49</f>
        <v>94768067100</v>
      </c>
      <c r="F69" s="347">
        <f>Bandwidth!V38+Bandwidth!K81</f>
        <v>184432831.47949219</v>
      </c>
      <c r="G69" s="348">
        <f t="shared" si="4"/>
        <v>13025.390625</v>
      </c>
      <c r="H69" s="349">
        <f t="shared" si="5"/>
        <v>37907.226840000003</v>
      </c>
      <c r="I69" s="349">
        <f t="shared" si="6"/>
        <v>0</v>
      </c>
      <c r="J69" s="350">
        <f t="shared" si="7"/>
        <v>50932.617465000003</v>
      </c>
    </row>
    <row r="70" spans="1:10">
      <c r="C70" s="288">
        <v>34</v>
      </c>
      <c r="D70" s="333">
        <f>Storage!$E$11+Storage!$E$15</f>
        <v>500976.5625</v>
      </c>
      <c r="E70" s="346">
        <f>'CPU (Workload)'!L50+'CPU (Workload)'!M50</f>
        <v>99278996250</v>
      </c>
      <c r="F70" s="347">
        <f>Bandwidth!V39+Bandwidth!K82</f>
        <v>193211774.23095703</v>
      </c>
      <c r="G70" s="348">
        <f t="shared" si="4"/>
        <v>13025.390625</v>
      </c>
      <c r="H70" s="349">
        <f t="shared" si="5"/>
        <v>39711.5985</v>
      </c>
      <c r="I70" s="349">
        <f t="shared" si="6"/>
        <v>0</v>
      </c>
      <c r="J70" s="350">
        <f t="shared" si="7"/>
        <v>52736.989125</v>
      </c>
    </row>
    <row r="71" spans="1:10">
      <c r="C71" s="288">
        <v>35</v>
      </c>
      <c r="D71" s="333">
        <f>Storage!$E$11+Storage!$E$15</f>
        <v>500976.5625</v>
      </c>
      <c r="E71" s="346">
        <f>'CPU (Workload)'!L51+'CPU (Workload)'!M51</f>
        <v>103789925400</v>
      </c>
      <c r="F71" s="347">
        <f>Bandwidth!V40+Bandwidth!K83</f>
        <v>201990716.98242188</v>
      </c>
      <c r="G71" s="348">
        <f t="shared" si="4"/>
        <v>13025.390625</v>
      </c>
      <c r="H71" s="349">
        <f t="shared" si="5"/>
        <v>41515.970159999997</v>
      </c>
      <c r="I71" s="349">
        <f t="shared" si="6"/>
        <v>0</v>
      </c>
      <c r="J71" s="350">
        <f t="shared" si="7"/>
        <v>54541.360784999997</v>
      </c>
    </row>
    <row r="72" spans="1:10" ht="17" thickBot="1">
      <c r="C72" s="289">
        <v>36</v>
      </c>
      <c r="D72" s="340">
        <f>Storage!$E$11+Storage!$E$15</f>
        <v>500976.5625</v>
      </c>
      <c r="E72" s="351">
        <f>'CPU (Workload)'!L52+'CPU (Workload)'!M52</f>
        <v>108300854550</v>
      </c>
      <c r="F72" s="352">
        <f>Bandwidth!V41+Bandwidth!K84</f>
        <v>210769659.73388672</v>
      </c>
      <c r="G72" s="353">
        <f t="shared" si="4"/>
        <v>13025.390625</v>
      </c>
      <c r="H72" s="354">
        <f t="shared" si="5"/>
        <v>43320.341820000001</v>
      </c>
      <c r="I72" s="354">
        <f t="shared" si="6"/>
        <v>0</v>
      </c>
      <c r="J72" s="355">
        <f t="shared" si="7"/>
        <v>56345.732445000001</v>
      </c>
    </row>
    <row r="74" spans="1:10">
      <c r="C74" t="s">
        <v>258</v>
      </c>
    </row>
    <row r="75" spans="1:10">
      <c r="C75" t="s">
        <v>316</v>
      </c>
    </row>
    <row r="77" spans="1:10" ht="22" thickBot="1">
      <c r="A77" s="44" t="s">
        <v>299</v>
      </c>
      <c r="B77" t="s">
        <v>330</v>
      </c>
      <c r="C77" s="9" t="s">
        <v>277</v>
      </c>
      <c r="G77" s="402"/>
      <c r="H77" s="72"/>
      <c r="I77" s="72"/>
    </row>
    <row r="78" spans="1:10" ht="17" thickBot="1">
      <c r="B78" t="s">
        <v>331</v>
      </c>
      <c r="C78" s="275" t="s">
        <v>44</v>
      </c>
      <c r="D78" s="263" t="s">
        <v>45</v>
      </c>
      <c r="E78" s="316" t="s">
        <v>46</v>
      </c>
      <c r="G78" s="216"/>
      <c r="H78" s="216"/>
      <c r="I78" s="216"/>
    </row>
    <row r="79" spans="1:10">
      <c r="B79" t="s">
        <v>362</v>
      </c>
      <c r="C79" s="314">
        <f>P84+P124</f>
        <v>107595.522</v>
      </c>
      <c r="D79" s="314">
        <f>Q84+Q124</f>
        <v>252573.17399999997</v>
      </c>
      <c r="E79" s="315">
        <f>R84+R124</f>
        <v>527900.68799999997</v>
      </c>
      <c r="G79" s="400"/>
      <c r="H79" s="400"/>
      <c r="I79" s="401"/>
    </row>
    <row r="80" spans="1:10">
      <c r="B80" s="359" t="s">
        <v>319</v>
      </c>
    </row>
    <row r="81" spans="1:22" ht="17" thickBot="1"/>
    <row r="82" spans="1:22" ht="17" thickBot="1">
      <c r="C82" s="365" t="s">
        <v>246</v>
      </c>
      <c r="D82" s="224" t="s">
        <v>269</v>
      </c>
      <c r="E82" s="224"/>
      <c r="F82" s="224"/>
      <c r="G82" s="224"/>
      <c r="H82" s="367" t="s">
        <v>312</v>
      </c>
      <c r="I82" s="367"/>
      <c r="J82" s="367" t="s">
        <v>317</v>
      </c>
      <c r="K82" s="367"/>
      <c r="L82" s="445" t="s">
        <v>321</v>
      </c>
      <c r="M82" s="410"/>
      <c r="N82" s="410"/>
      <c r="O82" s="12"/>
      <c r="P82" t="s">
        <v>284</v>
      </c>
      <c r="S82" s="12"/>
      <c r="T82" s="72"/>
      <c r="U82" s="72"/>
      <c r="V82" s="72"/>
    </row>
    <row r="83" spans="1:22" ht="20" thickBot="1">
      <c r="A83" s="31" t="s">
        <v>176</v>
      </c>
      <c r="C83" s="380"/>
      <c r="D83" s="227" t="s">
        <v>108</v>
      </c>
      <c r="E83" s="227" t="s">
        <v>0</v>
      </c>
      <c r="F83" s="227" t="s">
        <v>217</v>
      </c>
      <c r="G83" s="227" t="s">
        <v>280</v>
      </c>
      <c r="H83" s="227" t="s">
        <v>271</v>
      </c>
      <c r="I83" s="312" t="s">
        <v>67</v>
      </c>
      <c r="J83" s="227" t="s">
        <v>276</v>
      </c>
      <c r="K83" s="227" t="s">
        <v>67</v>
      </c>
      <c r="L83" s="446"/>
      <c r="M83" s="216"/>
      <c r="N83" s="216"/>
      <c r="O83" s="12"/>
      <c r="P83" s="275" t="s">
        <v>44</v>
      </c>
      <c r="Q83" s="263" t="s">
        <v>45</v>
      </c>
      <c r="R83" s="316" t="s">
        <v>46</v>
      </c>
      <c r="S83" s="12"/>
      <c r="T83" s="216"/>
      <c r="U83" s="216"/>
      <c r="V83" s="216"/>
    </row>
    <row r="84" spans="1:22">
      <c r="C84" s="292">
        <v>0</v>
      </c>
      <c r="D84" s="320">
        <f>'CPU (Workload)'!G16</f>
        <v>5763.541666666667</v>
      </c>
      <c r="E84" s="321">
        <f>Memory!I88</f>
        <v>0.40934244791666674</v>
      </c>
      <c r="F84" s="321">
        <f>Bandwidth!I88</f>
        <v>3.2747395833333339</v>
      </c>
      <c r="G84" s="322">
        <v>512</v>
      </c>
      <c r="H84" s="399">
        <f>ROUNDUP(MAX($D84/gen_xl_tps80,$E84/gen_xl_ram,$F84/12),0)*2</f>
        <v>4</v>
      </c>
      <c r="I84" s="323">
        <f>(194.18*H84)</f>
        <v>776.72</v>
      </c>
      <c r="J84" s="358">
        <f>H84*G84</f>
        <v>2048</v>
      </c>
      <c r="K84" s="325">
        <f>J84*0.044</f>
        <v>90.111999999999995</v>
      </c>
      <c r="L84" s="326">
        <f>SUM(I84+K84)*75%</f>
        <v>650.12400000000002</v>
      </c>
      <c r="M84" s="411"/>
      <c r="N84" s="303"/>
      <c r="O84" s="12"/>
      <c r="P84" s="314">
        <f>SUM(L84:L96)</f>
        <v>12677.417999999998</v>
      </c>
      <c r="Q84" s="314">
        <f>SUM(L97:L108)</f>
        <v>27955.331999999999</v>
      </c>
      <c r="R84" s="315">
        <f>SUM(L109:L120)</f>
        <v>56560.788</v>
      </c>
      <c r="S84" s="12"/>
      <c r="T84" s="400"/>
      <c r="U84" s="400"/>
      <c r="V84" s="401"/>
    </row>
    <row r="85" spans="1:22">
      <c r="C85" s="290">
        <v>1</v>
      </c>
      <c r="D85" s="168">
        <f>'CPU (Workload)'!G17</f>
        <v>6084.3788194444442</v>
      </c>
      <c r="E85" s="166">
        <f>Memory!I89</f>
        <v>0.43212917751736113</v>
      </c>
      <c r="F85" s="166">
        <f>Bandwidth!I89</f>
        <v>3.457033420138889</v>
      </c>
      <c r="G85" s="328">
        <v>512</v>
      </c>
      <c r="H85" s="329">
        <f>ROUNDUP(MAX($D85/gen_xl_tps80,$E85/gen_xl_ram,$F85/12),0)*2</f>
        <v>4</v>
      </c>
      <c r="I85" s="330">
        <f t="shared" ref="I85:I120" si="8">(194.18*H85)</f>
        <v>776.72</v>
      </c>
      <c r="J85" s="356">
        <f t="shared" ref="J85:J120" si="9">H85*G85</f>
        <v>2048</v>
      </c>
      <c r="K85" s="331">
        <f t="shared" ref="K85:K120" si="10">J85*0.044</f>
        <v>90.111999999999995</v>
      </c>
      <c r="L85" s="332">
        <f t="shared" ref="L85:L120" si="11">SUM(I85+K85)*75%</f>
        <v>650.12400000000002</v>
      </c>
      <c r="M85" s="411"/>
      <c r="N85" s="303"/>
      <c r="O85" s="299"/>
      <c r="P85" s="12"/>
      <c r="Q85" s="299"/>
    </row>
    <row r="86" spans="1:22">
      <c r="C86" s="290">
        <v>2</v>
      </c>
      <c r="D86" s="168">
        <f>'CPU (Workload)'!G18</f>
        <v>6405.2159722222223</v>
      </c>
      <c r="E86" s="166">
        <f>Memory!I90</f>
        <v>0.45491590711805552</v>
      </c>
      <c r="F86" s="166">
        <f>Bandwidth!I90</f>
        <v>3.6393272569444441</v>
      </c>
      <c r="G86" s="328">
        <v>512</v>
      </c>
      <c r="H86" s="329">
        <f>ROUNDUP(MAX($D86/gen_xl_tps80,$E86/gen_xl_ram,$F86/12),0)*2</f>
        <v>4</v>
      </c>
      <c r="I86" s="330">
        <f t="shared" si="8"/>
        <v>776.72</v>
      </c>
      <c r="J86" s="356">
        <f t="shared" si="9"/>
        <v>2048</v>
      </c>
      <c r="K86" s="331">
        <f t="shared" si="10"/>
        <v>90.111999999999995</v>
      </c>
      <c r="L86" s="332">
        <f t="shared" si="11"/>
        <v>650.12400000000002</v>
      </c>
      <c r="M86" s="411"/>
      <c r="N86" s="303"/>
      <c r="O86" s="299"/>
      <c r="P86" s="12"/>
      <c r="Q86" s="299"/>
    </row>
    <row r="87" spans="1:22">
      <c r="C87" s="290">
        <v>3</v>
      </c>
      <c r="D87" s="168">
        <f>'CPU (Workload)'!G19</f>
        <v>6726.0531250000004</v>
      </c>
      <c r="E87" s="166">
        <f>Memory!I91</f>
        <v>0.47770263671875002</v>
      </c>
      <c r="F87" s="166">
        <f>Bandwidth!I91</f>
        <v>3.8216210937500001</v>
      </c>
      <c r="G87" s="328">
        <v>512</v>
      </c>
      <c r="H87" s="329">
        <f>ROUNDUP(MAX($D87/gen_xl_tps80,$E87/gen_xl_ram,$F87/12),0)*2</f>
        <v>4</v>
      </c>
      <c r="I87" s="330">
        <f t="shared" si="8"/>
        <v>776.72</v>
      </c>
      <c r="J87" s="356">
        <f t="shared" si="9"/>
        <v>2048</v>
      </c>
      <c r="K87" s="331">
        <f t="shared" si="10"/>
        <v>90.111999999999995</v>
      </c>
      <c r="L87" s="332">
        <f t="shared" si="11"/>
        <v>650.12400000000002</v>
      </c>
      <c r="M87" s="411"/>
      <c r="N87" s="303"/>
      <c r="O87" s="299"/>
      <c r="P87" s="12"/>
      <c r="Q87" s="299"/>
    </row>
    <row r="88" spans="1:22">
      <c r="C88" s="290">
        <v>4</v>
      </c>
      <c r="D88" s="168">
        <f>'CPU (Workload)'!G20</f>
        <v>7046.8902777777776</v>
      </c>
      <c r="E88" s="166">
        <f>Memory!I92</f>
        <v>0.50048936631944441</v>
      </c>
      <c r="F88" s="166">
        <f>Bandwidth!I92</f>
        <v>4.0039149305555553</v>
      </c>
      <c r="G88" s="328">
        <v>512</v>
      </c>
      <c r="H88" s="329">
        <f>ROUNDUP(MAX($D88/gen_xl_tps80,$E88/gen_xl_ram,$F88/12),0)*2</f>
        <v>4</v>
      </c>
      <c r="I88" s="330">
        <f t="shared" si="8"/>
        <v>776.72</v>
      </c>
      <c r="J88" s="356">
        <f t="shared" si="9"/>
        <v>2048</v>
      </c>
      <c r="K88" s="331">
        <f t="shared" si="10"/>
        <v>90.111999999999995</v>
      </c>
      <c r="L88" s="332">
        <f t="shared" si="11"/>
        <v>650.12400000000002</v>
      </c>
      <c r="M88" s="411"/>
      <c r="N88" s="303"/>
      <c r="O88" s="299"/>
      <c r="P88" s="12"/>
      <c r="Q88" s="299"/>
    </row>
    <row r="89" spans="1:22">
      <c r="C89" s="290">
        <v>5</v>
      </c>
      <c r="D89" s="168">
        <f>'CPU (Workload)'!G21</f>
        <v>7367.7274305555547</v>
      </c>
      <c r="E89" s="166">
        <f>Memory!I93</f>
        <v>0.52327609592013891</v>
      </c>
      <c r="F89" s="166">
        <f>Bandwidth!I93</f>
        <v>4.1862087673611112</v>
      </c>
      <c r="G89" s="328">
        <v>512</v>
      </c>
      <c r="H89" s="329">
        <f>ROUNDUP(MAX($D89/gen_xl_tps80,$E89/gen_xl_ram,$F89/12),0)*2</f>
        <v>6</v>
      </c>
      <c r="I89" s="330">
        <f t="shared" si="8"/>
        <v>1165.08</v>
      </c>
      <c r="J89" s="356">
        <f t="shared" si="9"/>
        <v>3072</v>
      </c>
      <c r="K89" s="331">
        <f t="shared" si="10"/>
        <v>135.16800000000001</v>
      </c>
      <c r="L89" s="332">
        <f t="shared" si="11"/>
        <v>975.18600000000004</v>
      </c>
      <c r="M89" s="411"/>
      <c r="N89" s="303"/>
      <c r="O89" s="299"/>
      <c r="P89" s="12"/>
      <c r="Q89" s="299"/>
    </row>
    <row r="90" spans="1:22">
      <c r="C90" s="290">
        <v>6</v>
      </c>
      <c r="D90" s="168">
        <f>'CPU (Workload)'!G22</f>
        <v>7688.5645833333328</v>
      </c>
      <c r="E90" s="166">
        <f>Memory!I94</f>
        <v>0.54606282552083341</v>
      </c>
      <c r="F90" s="166">
        <f>Bandwidth!I94</f>
        <v>4.3685026041666672</v>
      </c>
      <c r="G90" s="328">
        <v>512</v>
      </c>
      <c r="H90" s="329">
        <f>ROUNDUP(MAX($D90/gen_xl_tps80,$E90/gen_xl_ram,$F90/12),0)*2</f>
        <v>6</v>
      </c>
      <c r="I90" s="330">
        <f t="shared" si="8"/>
        <v>1165.08</v>
      </c>
      <c r="J90" s="356">
        <f t="shared" si="9"/>
        <v>3072</v>
      </c>
      <c r="K90" s="331">
        <f t="shared" si="10"/>
        <v>135.16800000000001</v>
      </c>
      <c r="L90" s="332">
        <f t="shared" si="11"/>
        <v>975.18600000000004</v>
      </c>
      <c r="M90" s="411"/>
      <c r="N90" s="303"/>
      <c r="O90" s="299"/>
      <c r="P90" s="12"/>
      <c r="Q90" s="299"/>
    </row>
    <row r="91" spans="1:22">
      <c r="C91" s="290">
        <v>7</v>
      </c>
      <c r="D91" s="168">
        <f>'CPU (Workload)'!G23</f>
        <v>8969.0314236111099</v>
      </c>
      <c r="E91" s="166">
        <f>Memory!I95</f>
        <v>0.63700507269965279</v>
      </c>
      <c r="F91" s="166">
        <f>Bandwidth!I95</f>
        <v>5.0960405815972223</v>
      </c>
      <c r="G91" s="328">
        <v>512</v>
      </c>
      <c r="H91" s="329">
        <f>ROUNDUP(MAX($D91/gen_xl_tps80,$E91/gen_xl_ram,$F91/12),0)*2</f>
        <v>6</v>
      </c>
      <c r="I91" s="330">
        <f t="shared" si="8"/>
        <v>1165.08</v>
      </c>
      <c r="J91" s="356">
        <f t="shared" si="9"/>
        <v>3072</v>
      </c>
      <c r="K91" s="331">
        <f t="shared" si="10"/>
        <v>135.16800000000001</v>
      </c>
      <c r="L91" s="332">
        <f t="shared" si="11"/>
        <v>975.18600000000004</v>
      </c>
      <c r="M91" s="411"/>
      <c r="N91" s="303"/>
      <c r="O91" s="299"/>
      <c r="P91" s="12"/>
      <c r="Q91" s="299"/>
    </row>
    <row r="92" spans="1:22">
      <c r="C92" s="290">
        <v>8</v>
      </c>
      <c r="D92" s="168">
        <f>'CPU (Workload)'!G24</f>
        <v>10249.498263888889</v>
      </c>
      <c r="E92" s="166">
        <f>Memory!I96</f>
        <v>0.72794731987847228</v>
      </c>
      <c r="F92" s="166">
        <f>Bandwidth!I96</f>
        <v>5.8235785590277782</v>
      </c>
      <c r="G92" s="328">
        <v>512</v>
      </c>
      <c r="H92" s="329">
        <f>ROUNDUP(MAX($D92/gen_xl_tps80,$E92/gen_xl_ram,$F92/12),0)*2</f>
        <v>6</v>
      </c>
      <c r="I92" s="330">
        <f t="shared" si="8"/>
        <v>1165.08</v>
      </c>
      <c r="J92" s="356">
        <f t="shared" si="9"/>
        <v>3072</v>
      </c>
      <c r="K92" s="331">
        <f t="shared" si="10"/>
        <v>135.16800000000001</v>
      </c>
      <c r="L92" s="332">
        <f t="shared" si="11"/>
        <v>975.18600000000004</v>
      </c>
      <c r="M92" s="411"/>
      <c r="N92" s="303"/>
      <c r="O92" s="299"/>
      <c r="P92" s="12"/>
      <c r="Q92" s="299"/>
    </row>
    <row r="93" spans="1:22">
      <c r="C93" s="290">
        <v>9</v>
      </c>
      <c r="D93" s="168">
        <f>'CPU (Workload)'!G25</f>
        <v>11529.965104166666</v>
      </c>
      <c r="E93" s="166">
        <f>Memory!I97</f>
        <v>0.81888956705729177</v>
      </c>
      <c r="F93" s="166">
        <f>Bandwidth!I97</f>
        <v>6.5511165364583341</v>
      </c>
      <c r="G93" s="328">
        <v>512</v>
      </c>
      <c r="H93" s="329">
        <f>ROUNDUP(MAX($D93/gen_xl_tps80,$E93/gen_xl_ram,$F93/12),0)*2</f>
        <v>8</v>
      </c>
      <c r="I93" s="330">
        <f t="shared" si="8"/>
        <v>1553.44</v>
      </c>
      <c r="J93" s="356">
        <f t="shared" si="9"/>
        <v>4096</v>
      </c>
      <c r="K93" s="331">
        <f t="shared" si="10"/>
        <v>180.22399999999999</v>
      </c>
      <c r="L93" s="332">
        <f t="shared" si="11"/>
        <v>1300.248</v>
      </c>
      <c r="M93" s="411"/>
      <c r="N93" s="303"/>
      <c r="O93" s="299"/>
      <c r="P93" s="12"/>
      <c r="Q93" s="299"/>
    </row>
    <row r="94" spans="1:22">
      <c r="C94" s="290">
        <v>10</v>
      </c>
      <c r="D94" s="168">
        <f>'CPU (Workload)'!G26</f>
        <v>12810.431944444445</v>
      </c>
      <c r="E94" s="166">
        <f>Memory!I98</f>
        <v>0.90983181423611104</v>
      </c>
      <c r="F94" s="166">
        <f>Bandwidth!I98</f>
        <v>7.2786545138888883</v>
      </c>
      <c r="G94" s="328">
        <v>512</v>
      </c>
      <c r="H94" s="329">
        <f>ROUNDUP(MAX($D94/gen_xl_tps80,$E94/gen_xl_ram,$F94/12),0)*2</f>
        <v>8</v>
      </c>
      <c r="I94" s="330">
        <f t="shared" si="8"/>
        <v>1553.44</v>
      </c>
      <c r="J94" s="356">
        <f t="shared" si="9"/>
        <v>4096</v>
      </c>
      <c r="K94" s="331">
        <f t="shared" si="10"/>
        <v>180.22399999999999</v>
      </c>
      <c r="L94" s="332">
        <f t="shared" si="11"/>
        <v>1300.248</v>
      </c>
      <c r="M94" s="411"/>
      <c r="N94" s="303"/>
      <c r="O94" s="299"/>
      <c r="P94" s="12"/>
      <c r="Q94" s="299"/>
    </row>
    <row r="95" spans="1:22">
      <c r="C95" s="290">
        <v>11</v>
      </c>
      <c r="D95" s="168">
        <f>'CPU (Workload)'!G27</f>
        <v>14090.898784722223</v>
      </c>
      <c r="E95" s="166">
        <f>Memory!I99</f>
        <v>1.0007740614149305</v>
      </c>
      <c r="F95" s="166">
        <f>Bandwidth!I99</f>
        <v>8.0061924913194442</v>
      </c>
      <c r="G95" s="328">
        <v>512</v>
      </c>
      <c r="H95" s="329">
        <f>ROUNDUP(MAX($D95/gen_xl_tps80,$E95/gen_xl_ram,$F95/12),0)*2</f>
        <v>8</v>
      </c>
      <c r="I95" s="330">
        <f t="shared" si="8"/>
        <v>1553.44</v>
      </c>
      <c r="J95" s="356">
        <f t="shared" si="9"/>
        <v>4096</v>
      </c>
      <c r="K95" s="331">
        <f t="shared" si="10"/>
        <v>180.22399999999999</v>
      </c>
      <c r="L95" s="332">
        <f t="shared" si="11"/>
        <v>1300.248</v>
      </c>
      <c r="M95" s="411"/>
      <c r="N95" s="303"/>
      <c r="O95" s="299"/>
      <c r="P95" s="12"/>
      <c r="Q95" s="299"/>
    </row>
    <row r="96" spans="1:22">
      <c r="C96" s="290">
        <v>12</v>
      </c>
      <c r="D96" s="168">
        <f>'CPU (Workload)'!G28</f>
        <v>15371.365624999999</v>
      </c>
      <c r="E96" s="166">
        <f>Memory!I100</f>
        <v>1.09171630859375</v>
      </c>
      <c r="F96" s="166">
        <f>Bandwidth!I100</f>
        <v>8.7337304687500001</v>
      </c>
      <c r="G96" s="328">
        <v>512</v>
      </c>
      <c r="H96" s="329">
        <f>ROUNDUP(MAX($D96/gen_xl_tps80,$E96/gen_xl_ram,$F96/12),0)*2</f>
        <v>10</v>
      </c>
      <c r="I96" s="330">
        <f t="shared" si="8"/>
        <v>1941.8000000000002</v>
      </c>
      <c r="J96" s="356">
        <f t="shared" si="9"/>
        <v>5120</v>
      </c>
      <c r="K96" s="331">
        <f t="shared" si="10"/>
        <v>225.27999999999997</v>
      </c>
      <c r="L96" s="332">
        <f t="shared" si="11"/>
        <v>1625.31</v>
      </c>
      <c r="M96" s="411"/>
      <c r="N96" s="303"/>
      <c r="O96" s="299"/>
      <c r="P96" s="12"/>
      <c r="Q96" s="299"/>
    </row>
    <row r="97" spans="3:17">
      <c r="C97" s="290">
        <v>13</v>
      </c>
      <c r="D97" s="168">
        <f>'CPU (Workload)'!G29</f>
        <v>16224.369791666664</v>
      </c>
      <c r="E97" s="166">
        <f>Memory!I101</f>
        <v>1.1522989908854167</v>
      </c>
      <c r="F97" s="166">
        <f>Bandwidth!I101</f>
        <v>9.2183919270833332</v>
      </c>
      <c r="G97" s="328">
        <v>512</v>
      </c>
      <c r="H97" s="329">
        <f>ROUNDUP(MAX($D97/gen_xl_tps80,$E97/gen_xl_ram,$F97/12),0)*2</f>
        <v>10</v>
      </c>
      <c r="I97" s="330">
        <f t="shared" si="8"/>
        <v>1941.8000000000002</v>
      </c>
      <c r="J97" s="356">
        <f t="shared" si="9"/>
        <v>5120</v>
      </c>
      <c r="K97" s="331">
        <f t="shared" si="10"/>
        <v>225.27999999999997</v>
      </c>
      <c r="L97" s="332">
        <f t="shared" si="11"/>
        <v>1625.31</v>
      </c>
      <c r="M97" s="411"/>
      <c r="N97" s="303"/>
      <c r="O97" s="299"/>
      <c r="P97" s="12"/>
      <c r="Q97" s="299"/>
    </row>
    <row r="98" spans="3:17">
      <c r="C98" s="290">
        <v>14</v>
      </c>
      <c r="D98" s="168">
        <f>'CPU (Workload)'!G30</f>
        <v>17077.37395833333</v>
      </c>
      <c r="E98" s="166">
        <f>Memory!I102</f>
        <v>1.2128816731770833</v>
      </c>
      <c r="F98" s="166">
        <f>Bandwidth!I102</f>
        <v>9.7030533854166663</v>
      </c>
      <c r="G98" s="328">
        <v>512</v>
      </c>
      <c r="H98" s="329">
        <f>ROUNDUP(MAX($D98/gen_xl_tps80,$E98/gen_xl_ram,$F98/12),0)*2</f>
        <v>10</v>
      </c>
      <c r="I98" s="330">
        <f t="shared" si="8"/>
        <v>1941.8000000000002</v>
      </c>
      <c r="J98" s="356">
        <f t="shared" si="9"/>
        <v>5120</v>
      </c>
      <c r="K98" s="331">
        <f t="shared" si="10"/>
        <v>225.27999999999997</v>
      </c>
      <c r="L98" s="332">
        <f t="shared" si="11"/>
        <v>1625.31</v>
      </c>
      <c r="M98" s="411"/>
      <c r="N98" s="303"/>
      <c r="O98" s="299"/>
      <c r="P98" s="12"/>
      <c r="Q98" s="299"/>
    </row>
    <row r="99" spans="3:17">
      <c r="C99" s="290">
        <v>15</v>
      </c>
      <c r="D99" s="168">
        <f>'CPU (Workload)'!G31</f>
        <v>17930.378124999999</v>
      </c>
      <c r="E99" s="166">
        <f>Memory!I103</f>
        <v>1.2734643554687501</v>
      </c>
      <c r="F99" s="166">
        <f>Bandwidth!I103</f>
        <v>10.187714843750001</v>
      </c>
      <c r="G99" s="328">
        <v>512</v>
      </c>
      <c r="H99" s="329">
        <f>ROUNDUP(MAX($D99/gen_xl_tps80,$E99/gen_xl_ram,$F99/12),0)*2</f>
        <v>10</v>
      </c>
      <c r="I99" s="330">
        <f t="shared" si="8"/>
        <v>1941.8000000000002</v>
      </c>
      <c r="J99" s="356">
        <f t="shared" si="9"/>
        <v>5120</v>
      </c>
      <c r="K99" s="331">
        <f t="shared" si="10"/>
        <v>225.27999999999997</v>
      </c>
      <c r="L99" s="332">
        <f t="shared" si="11"/>
        <v>1625.31</v>
      </c>
      <c r="M99" s="411"/>
      <c r="N99" s="303"/>
      <c r="O99" s="299"/>
      <c r="P99" s="12"/>
      <c r="Q99" s="299"/>
    </row>
    <row r="100" spans="3:17">
      <c r="C100" s="290">
        <v>16</v>
      </c>
      <c r="D100" s="168">
        <f>'CPU (Workload)'!G32</f>
        <v>18783.382291666665</v>
      </c>
      <c r="E100" s="166">
        <f>Memory!I104</f>
        <v>1.3340470377604168</v>
      </c>
      <c r="F100" s="166">
        <f>Bandwidth!I104</f>
        <v>10.672376302083334</v>
      </c>
      <c r="G100" s="328">
        <v>512</v>
      </c>
      <c r="H100" s="329">
        <f>ROUNDUP(MAX($D100/gen_xl_tps80,$E100/gen_xl_ram,$F100/12),0)*2</f>
        <v>12</v>
      </c>
      <c r="I100" s="330">
        <f t="shared" si="8"/>
        <v>2330.16</v>
      </c>
      <c r="J100" s="356">
        <f t="shared" si="9"/>
        <v>6144</v>
      </c>
      <c r="K100" s="331">
        <f t="shared" si="10"/>
        <v>270.33600000000001</v>
      </c>
      <c r="L100" s="332">
        <f t="shared" si="11"/>
        <v>1950.3720000000001</v>
      </c>
      <c r="M100" s="411"/>
      <c r="N100" s="303"/>
      <c r="O100" s="299"/>
      <c r="P100" s="12"/>
      <c r="Q100" s="299"/>
    </row>
    <row r="101" spans="3:17">
      <c r="C101" s="290">
        <v>17</v>
      </c>
      <c r="D101" s="168">
        <f>'CPU (Workload)'!G33</f>
        <v>19636.386458333331</v>
      </c>
      <c r="E101" s="166">
        <f>Memory!I105</f>
        <v>1.3946297200520834</v>
      </c>
      <c r="F101" s="166">
        <f>Bandwidth!I105</f>
        <v>11.157037760416667</v>
      </c>
      <c r="G101" s="328">
        <v>512</v>
      </c>
      <c r="H101" s="329">
        <f>ROUNDUP(MAX($D101/gen_xl_tps80,$E101/gen_xl_ram,$F101/12),0)*2</f>
        <v>12</v>
      </c>
      <c r="I101" s="330">
        <f t="shared" si="8"/>
        <v>2330.16</v>
      </c>
      <c r="J101" s="356">
        <f t="shared" si="9"/>
        <v>6144</v>
      </c>
      <c r="K101" s="331">
        <f t="shared" si="10"/>
        <v>270.33600000000001</v>
      </c>
      <c r="L101" s="332">
        <f t="shared" si="11"/>
        <v>1950.3720000000001</v>
      </c>
      <c r="M101" s="411"/>
      <c r="N101" s="303"/>
      <c r="O101" s="299"/>
      <c r="P101" s="12"/>
      <c r="Q101" s="299"/>
    </row>
    <row r="102" spans="3:17">
      <c r="C102" s="290">
        <v>18</v>
      </c>
      <c r="D102" s="168">
        <f>'CPU (Workload)'!G34</f>
        <v>20489.390625</v>
      </c>
      <c r="E102" s="166">
        <f>Memory!I106</f>
        <v>1.45521240234375</v>
      </c>
      <c r="F102" s="166">
        <f>Bandwidth!I106</f>
        <v>11.64169921875</v>
      </c>
      <c r="G102" s="328">
        <v>512</v>
      </c>
      <c r="H102" s="329">
        <f>ROUNDUP(MAX($D102/gen_xl_tps80,$E102/gen_xl_ram,$F102/12),0)*2</f>
        <v>12</v>
      </c>
      <c r="I102" s="330">
        <f t="shared" si="8"/>
        <v>2330.16</v>
      </c>
      <c r="J102" s="356">
        <f t="shared" si="9"/>
        <v>6144</v>
      </c>
      <c r="K102" s="331">
        <f t="shared" si="10"/>
        <v>270.33600000000001</v>
      </c>
      <c r="L102" s="332">
        <f t="shared" si="11"/>
        <v>1950.3720000000001</v>
      </c>
      <c r="M102" s="411"/>
      <c r="N102" s="303"/>
      <c r="O102" s="299"/>
      <c r="P102" s="12"/>
      <c r="Q102" s="299"/>
    </row>
    <row r="103" spans="3:17">
      <c r="C103" s="290">
        <v>19</v>
      </c>
      <c r="D103" s="168">
        <f>'CPU (Workload)'!G35</f>
        <v>23145.422743055555</v>
      </c>
      <c r="E103" s="166">
        <f>Memory!I107</f>
        <v>1.643851047092014</v>
      </c>
      <c r="F103" s="166">
        <f>Bandwidth!I107</f>
        <v>13.150808376736112</v>
      </c>
      <c r="G103" s="328">
        <v>512</v>
      </c>
      <c r="H103" s="329">
        <f>ROUNDUP(MAX($D103/gen_xl_tps80,$E103/gen_xl_ram,$F103/12),0)*2</f>
        <v>14</v>
      </c>
      <c r="I103" s="330">
        <f t="shared" si="8"/>
        <v>2718.52</v>
      </c>
      <c r="J103" s="356">
        <f t="shared" si="9"/>
        <v>7168</v>
      </c>
      <c r="K103" s="331">
        <f t="shared" si="10"/>
        <v>315.392</v>
      </c>
      <c r="L103" s="332">
        <f t="shared" si="11"/>
        <v>2275.4339999999997</v>
      </c>
      <c r="M103" s="411"/>
      <c r="N103" s="303"/>
      <c r="O103" s="299"/>
      <c r="P103" s="12"/>
      <c r="Q103" s="299"/>
    </row>
    <row r="104" spans="3:17">
      <c r="C104" s="290">
        <v>20</v>
      </c>
      <c r="D104" s="168">
        <f>'CPU (Workload)'!G36</f>
        <v>25801.454861111113</v>
      </c>
      <c r="E104" s="166">
        <f>Memory!I108</f>
        <v>1.832489691840278</v>
      </c>
      <c r="F104" s="166">
        <f>Bandwidth!I108</f>
        <v>14.659917534722224</v>
      </c>
      <c r="G104" s="328">
        <v>512</v>
      </c>
      <c r="H104" s="329">
        <f>ROUNDUP(MAX($D104/gen_xl_tps80,$E104/gen_xl_ram,$F104/12),0)*2</f>
        <v>16</v>
      </c>
      <c r="I104" s="330">
        <f t="shared" si="8"/>
        <v>3106.88</v>
      </c>
      <c r="J104" s="356">
        <f t="shared" si="9"/>
        <v>8192</v>
      </c>
      <c r="K104" s="331">
        <f t="shared" si="10"/>
        <v>360.44799999999998</v>
      </c>
      <c r="L104" s="332">
        <f t="shared" si="11"/>
        <v>2600.4960000000001</v>
      </c>
      <c r="M104" s="411"/>
      <c r="N104" s="303"/>
      <c r="O104" s="299"/>
      <c r="P104" s="12"/>
      <c r="Q104" s="299"/>
    </row>
    <row r="105" spans="3:17">
      <c r="C105" s="290">
        <v>21</v>
      </c>
      <c r="D105" s="168">
        <f>'CPU (Workload)'!G37</f>
        <v>28457.486979166664</v>
      </c>
      <c r="E105" s="166">
        <f>Memory!I109</f>
        <v>2.021128336588542</v>
      </c>
      <c r="F105" s="166">
        <f>Bandwidth!I109</f>
        <v>16.169026692708336</v>
      </c>
      <c r="G105" s="328">
        <v>512</v>
      </c>
      <c r="H105" s="329">
        <f>ROUNDUP(MAX($D105/gen_xl_tps80,$E105/gen_xl_ram,$F105/12),0)*2</f>
        <v>16</v>
      </c>
      <c r="I105" s="330">
        <f t="shared" si="8"/>
        <v>3106.88</v>
      </c>
      <c r="J105" s="356">
        <f t="shared" si="9"/>
        <v>8192</v>
      </c>
      <c r="K105" s="331">
        <f t="shared" si="10"/>
        <v>360.44799999999998</v>
      </c>
      <c r="L105" s="332">
        <f t="shared" si="11"/>
        <v>2600.4960000000001</v>
      </c>
      <c r="M105" s="411"/>
      <c r="N105" s="303"/>
      <c r="O105" s="299"/>
      <c r="P105" s="12"/>
      <c r="Q105" s="299"/>
    </row>
    <row r="106" spans="3:17">
      <c r="C106" s="290">
        <v>22</v>
      </c>
      <c r="D106" s="168">
        <f>'CPU (Workload)'!G38</f>
        <v>31113.519097222219</v>
      </c>
      <c r="E106" s="166">
        <f>Memory!I110</f>
        <v>2.2097669813368057</v>
      </c>
      <c r="F106" s="166">
        <f>Bandwidth!I110</f>
        <v>17.678135850694446</v>
      </c>
      <c r="G106" s="328">
        <v>512</v>
      </c>
      <c r="H106" s="329">
        <f>ROUNDUP(MAX($D106/gen_xl_tps80,$E106/gen_xl_ram,$F106/12),0)*2</f>
        <v>18</v>
      </c>
      <c r="I106" s="330">
        <f t="shared" si="8"/>
        <v>3495.2400000000002</v>
      </c>
      <c r="J106" s="356">
        <f t="shared" si="9"/>
        <v>9216</v>
      </c>
      <c r="K106" s="331">
        <f t="shared" si="10"/>
        <v>405.50399999999996</v>
      </c>
      <c r="L106" s="332">
        <f t="shared" si="11"/>
        <v>2925.558</v>
      </c>
      <c r="M106" s="411"/>
      <c r="N106" s="303"/>
      <c r="O106" s="299"/>
      <c r="P106" s="12"/>
      <c r="Q106" s="299"/>
    </row>
    <row r="107" spans="3:17">
      <c r="C107" s="290">
        <v>23</v>
      </c>
      <c r="D107" s="168">
        <f>'CPU (Workload)'!G39</f>
        <v>33769.551215277774</v>
      </c>
      <c r="E107" s="166">
        <f>Memory!I111</f>
        <v>2.3984056260850695</v>
      </c>
      <c r="F107" s="166">
        <f>Bandwidth!I111</f>
        <v>19.187245008680556</v>
      </c>
      <c r="G107" s="328">
        <v>512</v>
      </c>
      <c r="H107" s="329">
        <f>ROUNDUP(MAX($D107/gen_xl_tps80,$E107/gen_xl_ram,$F107/12),0)*2</f>
        <v>20</v>
      </c>
      <c r="I107" s="330">
        <f t="shared" si="8"/>
        <v>3883.6000000000004</v>
      </c>
      <c r="J107" s="356">
        <f t="shared" si="9"/>
        <v>10240</v>
      </c>
      <c r="K107" s="331">
        <f t="shared" si="10"/>
        <v>450.55999999999995</v>
      </c>
      <c r="L107" s="332">
        <f t="shared" si="11"/>
        <v>3250.62</v>
      </c>
      <c r="M107" s="411"/>
      <c r="N107" s="303"/>
      <c r="O107" s="299"/>
      <c r="P107" s="12"/>
      <c r="Q107" s="299"/>
    </row>
    <row r="108" spans="3:17">
      <c r="C108" s="290">
        <v>24</v>
      </c>
      <c r="D108" s="168">
        <f>'CPU (Workload)'!G40</f>
        <v>36425.583333333328</v>
      </c>
      <c r="E108" s="166">
        <f>Memory!I112</f>
        <v>2.5870442708333332</v>
      </c>
      <c r="F108" s="166">
        <f>Bandwidth!I112</f>
        <v>20.696354166666666</v>
      </c>
      <c r="G108" s="328">
        <v>512</v>
      </c>
      <c r="H108" s="329">
        <f>ROUNDUP(MAX($D108/gen_xl_tps80,$E108/gen_xl_ram,$F108/12),0)*2</f>
        <v>22</v>
      </c>
      <c r="I108" s="330">
        <f t="shared" si="8"/>
        <v>4271.96</v>
      </c>
      <c r="J108" s="356">
        <f t="shared" si="9"/>
        <v>11264</v>
      </c>
      <c r="K108" s="331">
        <f t="shared" si="10"/>
        <v>495.61599999999999</v>
      </c>
      <c r="L108" s="332">
        <f t="shared" si="11"/>
        <v>3575.6819999999998</v>
      </c>
      <c r="M108" s="411"/>
      <c r="N108" s="303"/>
      <c r="O108" s="299"/>
      <c r="P108" s="12"/>
      <c r="Q108" s="299"/>
    </row>
    <row r="109" spans="3:17">
      <c r="C109" s="290">
        <v>25</v>
      </c>
      <c r="D109" s="168">
        <f>'CPU (Workload)'!G41</f>
        <v>38450.507638888885</v>
      </c>
      <c r="E109" s="166">
        <f>Memory!I113</f>
        <v>2.7308599175347226</v>
      </c>
      <c r="F109" s="166">
        <f>Bandwidth!I113</f>
        <v>21.846879340277781</v>
      </c>
      <c r="G109" s="328">
        <v>512</v>
      </c>
      <c r="H109" s="329">
        <f>ROUNDUP(MAX($D109/gen_xl_tps80,$E109/gen_xl_ram,$F109/12),0)*2</f>
        <v>22</v>
      </c>
      <c r="I109" s="330">
        <f t="shared" si="8"/>
        <v>4271.96</v>
      </c>
      <c r="J109" s="356">
        <f t="shared" si="9"/>
        <v>11264</v>
      </c>
      <c r="K109" s="331">
        <f t="shared" si="10"/>
        <v>495.61599999999999</v>
      </c>
      <c r="L109" s="332">
        <f t="shared" si="11"/>
        <v>3575.6819999999998</v>
      </c>
      <c r="M109" s="411"/>
      <c r="N109" s="303"/>
      <c r="O109" s="299"/>
      <c r="P109" s="12"/>
      <c r="Q109" s="299"/>
    </row>
    <row r="110" spans="3:17">
      <c r="C110" s="290">
        <v>26</v>
      </c>
      <c r="D110" s="168">
        <f>'CPU (Workload)'!G42</f>
        <v>40475.431944444441</v>
      </c>
      <c r="E110" s="166">
        <f>Memory!I114</f>
        <v>2.8746755642361115</v>
      </c>
      <c r="F110" s="166">
        <f>Bandwidth!I114</f>
        <v>22.997404513888892</v>
      </c>
      <c r="G110" s="328">
        <v>512</v>
      </c>
      <c r="H110" s="329">
        <f>ROUNDUP(MAX($D110/gen_xl_tps80,$E110/gen_xl_ram,$F110/12),0)*2</f>
        <v>24</v>
      </c>
      <c r="I110" s="330">
        <f t="shared" si="8"/>
        <v>4660.32</v>
      </c>
      <c r="J110" s="356">
        <f t="shared" si="9"/>
        <v>12288</v>
      </c>
      <c r="K110" s="331">
        <f t="shared" si="10"/>
        <v>540.67200000000003</v>
      </c>
      <c r="L110" s="332">
        <f t="shared" si="11"/>
        <v>3900.7440000000001</v>
      </c>
      <c r="M110" s="411"/>
      <c r="N110" s="303"/>
      <c r="O110" s="299"/>
      <c r="P110" s="12"/>
      <c r="Q110" s="299"/>
    </row>
    <row r="111" spans="3:17">
      <c r="C111" s="290">
        <v>27</v>
      </c>
      <c r="D111" s="168">
        <f>'CPU (Workload)'!G43</f>
        <v>42500.356249999997</v>
      </c>
      <c r="E111" s="166">
        <f>Memory!I115</f>
        <v>3.0184912109374999</v>
      </c>
      <c r="F111" s="166">
        <f>Bandwidth!I115</f>
        <v>24.1479296875</v>
      </c>
      <c r="G111" s="328">
        <v>512</v>
      </c>
      <c r="H111" s="329">
        <f>ROUNDUP(MAX($D111/gen_xl_tps80,$E111/gen_xl_ram,$F111/12),0)*2</f>
        <v>24</v>
      </c>
      <c r="I111" s="330">
        <f t="shared" si="8"/>
        <v>4660.32</v>
      </c>
      <c r="J111" s="356">
        <f t="shared" si="9"/>
        <v>12288</v>
      </c>
      <c r="K111" s="331">
        <f t="shared" si="10"/>
        <v>540.67200000000003</v>
      </c>
      <c r="L111" s="332">
        <f t="shared" si="11"/>
        <v>3900.7440000000001</v>
      </c>
      <c r="M111" s="411"/>
      <c r="N111" s="303"/>
      <c r="O111" s="299"/>
      <c r="P111" s="12"/>
      <c r="Q111" s="299"/>
    </row>
    <row r="112" spans="3:17">
      <c r="C112" s="290">
        <v>28</v>
      </c>
      <c r="D112" s="168">
        <f>'CPU (Workload)'!G44</f>
        <v>44525.280555555553</v>
      </c>
      <c r="E112" s="166">
        <f>Memory!I116</f>
        <v>3.1623068576388889</v>
      </c>
      <c r="F112" s="166">
        <f>Bandwidth!I116</f>
        <v>25.298454861111111</v>
      </c>
      <c r="G112" s="328">
        <v>512</v>
      </c>
      <c r="H112" s="329">
        <f>ROUNDUP(MAX($D112/gen_xl_tps80,$E112/gen_xl_ram,$F112/12),0)*2</f>
        <v>26</v>
      </c>
      <c r="I112" s="330">
        <f t="shared" si="8"/>
        <v>5048.68</v>
      </c>
      <c r="J112" s="356">
        <f t="shared" si="9"/>
        <v>13312</v>
      </c>
      <c r="K112" s="331">
        <f t="shared" si="10"/>
        <v>585.72799999999995</v>
      </c>
      <c r="L112" s="332">
        <f t="shared" si="11"/>
        <v>4225.8060000000005</v>
      </c>
      <c r="M112" s="411"/>
      <c r="N112" s="303"/>
      <c r="O112" s="299"/>
      <c r="P112" s="12"/>
      <c r="Q112" s="299"/>
    </row>
    <row r="113" spans="1:22">
      <c r="C113" s="290">
        <v>29</v>
      </c>
      <c r="D113" s="168">
        <f>'CPU (Workload)'!G45</f>
        <v>46550.204861111109</v>
      </c>
      <c r="E113" s="166">
        <f>Memory!I117</f>
        <v>3.3061225043402782</v>
      </c>
      <c r="F113" s="166">
        <f>Bandwidth!I117</f>
        <v>26.448980034722226</v>
      </c>
      <c r="G113" s="328">
        <v>512</v>
      </c>
      <c r="H113" s="329">
        <f>ROUNDUP(MAX($D113/gen_xl_tps80,$E113/gen_xl_ram,$F113/12),0)*2</f>
        <v>26</v>
      </c>
      <c r="I113" s="330">
        <f t="shared" si="8"/>
        <v>5048.68</v>
      </c>
      <c r="J113" s="356">
        <f t="shared" si="9"/>
        <v>13312</v>
      </c>
      <c r="K113" s="331">
        <f t="shared" si="10"/>
        <v>585.72799999999995</v>
      </c>
      <c r="L113" s="332">
        <f t="shared" si="11"/>
        <v>4225.8060000000005</v>
      </c>
      <c r="M113" s="411"/>
      <c r="N113" s="303"/>
      <c r="O113" s="299"/>
      <c r="P113" s="12"/>
      <c r="Q113" s="299"/>
    </row>
    <row r="114" spans="1:22">
      <c r="C114" s="290">
        <v>30</v>
      </c>
      <c r="D114" s="168">
        <f>'CPU (Workload)'!G46</f>
        <v>48575.129166666666</v>
      </c>
      <c r="E114" s="166">
        <f>Memory!I118</f>
        <v>3.4499381510416671</v>
      </c>
      <c r="F114" s="166">
        <f>Bandwidth!I118</f>
        <v>27.599505208333337</v>
      </c>
      <c r="G114" s="328">
        <v>512</v>
      </c>
      <c r="H114" s="329">
        <f>ROUNDUP(MAX($D114/gen_xl_tps80,$E114/gen_xl_ram,$F114/12),0)*2</f>
        <v>28</v>
      </c>
      <c r="I114" s="330">
        <f t="shared" si="8"/>
        <v>5437.04</v>
      </c>
      <c r="J114" s="356">
        <f t="shared" si="9"/>
        <v>14336</v>
      </c>
      <c r="K114" s="331">
        <f t="shared" si="10"/>
        <v>630.78399999999999</v>
      </c>
      <c r="L114" s="332">
        <f t="shared" si="11"/>
        <v>4550.8679999999995</v>
      </c>
      <c r="M114" s="411"/>
      <c r="N114" s="303"/>
      <c r="O114" s="299"/>
      <c r="P114" s="12"/>
      <c r="Q114" s="299"/>
    </row>
    <row r="115" spans="1:22">
      <c r="C115" s="290">
        <v>31</v>
      </c>
      <c r="D115" s="168">
        <f>'CPU (Workload)'!G47</f>
        <v>51272.466666666667</v>
      </c>
      <c r="E115" s="166">
        <f>Memory!I119</f>
        <v>3.6415104166666667</v>
      </c>
      <c r="F115" s="166">
        <f>Bandwidth!I119</f>
        <v>29.132083333333334</v>
      </c>
      <c r="G115" s="328">
        <v>512</v>
      </c>
      <c r="H115" s="329">
        <f>ROUNDUP(MAX($D115/gen_xl_tps80,$E115/gen_xl_ram,$F115/12),0)*2</f>
        <v>30</v>
      </c>
      <c r="I115" s="330">
        <f t="shared" si="8"/>
        <v>5825.4000000000005</v>
      </c>
      <c r="J115" s="356">
        <f t="shared" si="9"/>
        <v>15360</v>
      </c>
      <c r="K115" s="331">
        <f t="shared" si="10"/>
        <v>675.83999999999992</v>
      </c>
      <c r="L115" s="332">
        <f t="shared" si="11"/>
        <v>4875.93</v>
      </c>
      <c r="M115" s="411"/>
      <c r="N115" s="303"/>
      <c r="O115" s="299"/>
      <c r="P115" s="12"/>
      <c r="Q115" s="299"/>
    </row>
    <row r="116" spans="1:22">
      <c r="C116" s="290">
        <v>32</v>
      </c>
      <c r="D116" s="168">
        <f>'CPU (Workload)'!G48</f>
        <v>53969.804166666669</v>
      </c>
      <c r="E116" s="166">
        <f>Memory!I120</f>
        <v>3.8330826822916673</v>
      </c>
      <c r="F116" s="166">
        <f>Bandwidth!I120</f>
        <v>30.664661458333338</v>
      </c>
      <c r="G116" s="328">
        <v>512</v>
      </c>
      <c r="H116" s="329">
        <f>ROUNDUP(MAX($D116/gen_xl_tps80,$E116/gen_xl_ram,$F116/12),0)*2</f>
        <v>30</v>
      </c>
      <c r="I116" s="330">
        <f t="shared" si="8"/>
        <v>5825.4000000000005</v>
      </c>
      <c r="J116" s="356">
        <f t="shared" si="9"/>
        <v>15360</v>
      </c>
      <c r="K116" s="331">
        <f t="shared" si="10"/>
        <v>675.83999999999992</v>
      </c>
      <c r="L116" s="332">
        <f t="shared" si="11"/>
        <v>4875.93</v>
      </c>
      <c r="M116" s="411"/>
      <c r="N116" s="303"/>
      <c r="O116" s="299"/>
      <c r="P116" s="12"/>
      <c r="Q116" s="299"/>
    </row>
    <row r="117" spans="1:22">
      <c r="C117" s="290">
        <v>33</v>
      </c>
      <c r="D117" s="168">
        <f>'CPU (Workload)'!G49</f>
        <v>56667.141666666663</v>
      </c>
      <c r="E117" s="166">
        <f>Memory!I121</f>
        <v>4.0246549479166669</v>
      </c>
      <c r="F117" s="166">
        <f>Bandwidth!I121</f>
        <v>32.197239583333335</v>
      </c>
      <c r="G117" s="328">
        <v>512</v>
      </c>
      <c r="H117" s="329">
        <f>ROUNDUP(MAX($D117/gen_xl_tps80,$E117/gen_xl_ram,$F117/12),0)*2</f>
        <v>32</v>
      </c>
      <c r="I117" s="330">
        <f t="shared" si="8"/>
        <v>6213.76</v>
      </c>
      <c r="J117" s="356">
        <f t="shared" si="9"/>
        <v>16384</v>
      </c>
      <c r="K117" s="331">
        <f t="shared" si="10"/>
        <v>720.89599999999996</v>
      </c>
      <c r="L117" s="332">
        <f t="shared" si="11"/>
        <v>5200.9920000000002</v>
      </c>
      <c r="M117" s="411"/>
      <c r="N117" s="303"/>
      <c r="O117" s="299"/>
      <c r="P117" s="12"/>
      <c r="Q117" s="299"/>
    </row>
    <row r="118" spans="1:22">
      <c r="C118" s="290">
        <v>34</v>
      </c>
      <c r="D118" s="168">
        <f>'CPU (Workload)'!G50</f>
        <v>59364.479166666657</v>
      </c>
      <c r="E118" s="166">
        <f>Memory!I122</f>
        <v>4.216227213541667</v>
      </c>
      <c r="F118" s="166">
        <f>Bandwidth!I122</f>
        <v>33.729817708333336</v>
      </c>
      <c r="G118" s="328">
        <v>512</v>
      </c>
      <c r="H118" s="329">
        <f>ROUNDUP(MAX($D118/gen_xl_tps80,$E118/gen_xl_ram,$F118/12),0)*2</f>
        <v>34</v>
      </c>
      <c r="I118" s="330">
        <f t="shared" si="8"/>
        <v>6602.12</v>
      </c>
      <c r="J118" s="356">
        <f t="shared" si="9"/>
        <v>17408</v>
      </c>
      <c r="K118" s="331">
        <f t="shared" si="10"/>
        <v>765.952</v>
      </c>
      <c r="L118" s="332">
        <f t="shared" si="11"/>
        <v>5526.0540000000001</v>
      </c>
      <c r="M118" s="411"/>
      <c r="N118" s="303"/>
      <c r="O118" s="299"/>
      <c r="P118" s="12"/>
      <c r="Q118" s="299"/>
    </row>
    <row r="119" spans="1:22">
      <c r="C119" s="290">
        <v>35</v>
      </c>
      <c r="D119" s="168">
        <f>'CPU (Workload)'!G51</f>
        <v>62061.816666666666</v>
      </c>
      <c r="E119" s="166">
        <f>Memory!I123</f>
        <v>4.407799479166667</v>
      </c>
      <c r="F119" s="166">
        <f>Bandwidth!I123</f>
        <v>35.262395833333336</v>
      </c>
      <c r="G119" s="328">
        <v>512</v>
      </c>
      <c r="H119" s="329">
        <f>ROUNDUP(MAX($D119/gen_xl_tps80,$E119/gen_xl_ram,$F119/12),0)*2</f>
        <v>36</v>
      </c>
      <c r="I119" s="330">
        <f t="shared" si="8"/>
        <v>6990.4800000000005</v>
      </c>
      <c r="J119" s="356">
        <f t="shared" si="9"/>
        <v>18432</v>
      </c>
      <c r="K119" s="331">
        <f t="shared" si="10"/>
        <v>811.00799999999992</v>
      </c>
      <c r="L119" s="332">
        <f t="shared" si="11"/>
        <v>5851.116</v>
      </c>
      <c r="M119" s="411"/>
      <c r="N119" s="303"/>
      <c r="O119" s="299"/>
      <c r="P119" s="12"/>
      <c r="Q119" s="299"/>
    </row>
    <row r="120" spans="1:22" ht="17" thickBot="1">
      <c r="C120" s="291">
        <v>36</v>
      </c>
      <c r="D120" s="171">
        <f>'CPU (Workload)'!G52</f>
        <v>64759.15416666666</v>
      </c>
      <c r="E120" s="177">
        <f>Memory!I124</f>
        <v>4.5993717447916671</v>
      </c>
      <c r="F120" s="177">
        <f>Bandwidth!I124</f>
        <v>36.794973958333337</v>
      </c>
      <c r="G120" s="334">
        <v>512</v>
      </c>
      <c r="H120" s="335">
        <f>ROUNDUP(MAX($D120/gen_xl_tps80,$E120/gen_xl_ram,$F120/12),0)*2</f>
        <v>36</v>
      </c>
      <c r="I120" s="336">
        <f t="shared" si="8"/>
        <v>6990.4800000000005</v>
      </c>
      <c r="J120" s="357">
        <f t="shared" si="9"/>
        <v>18432</v>
      </c>
      <c r="K120" s="338">
        <f t="shared" si="10"/>
        <v>811.00799999999992</v>
      </c>
      <c r="L120" s="339">
        <f t="shared" si="11"/>
        <v>5851.116</v>
      </c>
      <c r="M120" s="411"/>
      <c r="N120" s="303"/>
      <c r="O120" s="299"/>
      <c r="P120" s="12"/>
      <c r="Q120" s="299"/>
    </row>
    <row r="121" spans="1:22" ht="17" thickBot="1">
      <c r="C121" s="300"/>
      <c r="D121" s="301"/>
      <c r="E121" s="302"/>
      <c r="F121" s="302"/>
      <c r="G121" s="36"/>
      <c r="H121" s="72"/>
      <c r="I121" s="303"/>
      <c r="J121" s="72"/>
      <c r="K121" s="303"/>
      <c r="L121" s="72"/>
      <c r="M121" s="72"/>
      <c r="N121" s="303"/>
      <c r="O121" s="36"/>
      <c r="P121" s="36"/>
      <c r="Q121" s="36"/>
      <c r="R121" s="36"/>
      <c r="S121" s="36"/>
      <c r="T121" s="36"/>
    </row>
    <row r="122" spans="1:22" s="36" customFormat="1" ht="17" thickBot="1">
      <c r="C122" s="365" t="s">
        <v>246</v>
      </c>
      <c r="D122" s="224" t="s">
        <v>269</v>
      </c>
      <c r="E122" s="224"/>
      <c r="F122" s="224"/>
      <c r="G122" s="224"/>
      <c r="H122" s="367" t="s">
        <v>312</v>
      </c>
      <c r="I122" s="367"/>
      <c r="J122" s="367" t="s">
        <v>317</v>
      </c>
      <c r="K122" s="367"/>
      <c r="L122" s="370" t="s">
        <v>283</v>
      </c>
      <c r="M122" s="410"/>
      <c r="N122" s="410"/>
      <c r="O122" s="303"/>
      <c r="P122" t="s">
        <v>267</v>
      </c>
      <c r="Q122"/>
      <c r="R122"/>
      <c r="T122" s="72"/>
      <c r="U122" s="72"/>
      <c r="V122" s="72"/>
    </row>
    <row r="123" spans="1:22" s="36" customFormat="1" ht="36" thickBot="1">
      <c r="A123" s="31" t="s">
        <v>273</v>
      </c>
      <c r="B123" s="43" t="s">
        <v>313</v>
      </c>
      <c r="C123" s="380"/>
      <c r="D123" s="227" t="s">
        <v>108</v>
      </c>
      <c r="E123" s="227" t="s">
        <v>0</v>
      </c>
      <c r="F123" s="227" t="s">
        <v>217</v>
      </c>
      <c r="G123" s="227" t="s">
        <v>280</v>
      </c>
      <c r="H123" s="227" t="s">
        <v>271</v>
      </c>
      <c r="I123" s="227" t="s">
        <v>67</v>
      </c>
      <c r="J123" s="227" t="s">
        <v>276</v>
      </c>
      <c r="K123" s="227" t="s">
        <v>67</v>
      </c>
      <c r="L123" s="412"/>
      <c r="M123" s="216"/>
      <c r="N123" s="216"/>
      <c r="O123" s="303"/>
      <c r="P123" s="275" t="s">
        <v>44</v>
      </c>
      <c r="Q123" s="263" t="s">
        <v>45</v>
      </c>
      <c r="R123" s="316" t="s">
        <v>46</v>
      </c>
      <c r="T123" s="216"/>
      <c r="U123" s="216"/>
      <c r="V123" s="216"/>
    </row>
    <row r="124" spans="1:22" s="36" customFormat="1">
      <c r="C124" s="292">
        <v>0</v>
      </c>
      <c r="D124" s="320">
        <v>0</v>
      </c>
      <c r="E124" s="321">
        <v>0</v>
      </c>
      <c r="F124" s="321">
        <f>(Bandwidth!N5+Bandwidth!O5+Bandwidth!I48)</f>
        <v>163.941650390625</v>
      </c>
      <c r="G124" s="322">
        <v>512</v>
      </c>
      <c r="H124" s="399">
        <f>ROUNDUP(MAX($D124/gen_xl_tps80,$E124/gen_xl_ram,$F124/12),0)*2</f>
        <v>28</v>
      </c>
      <c r="I124" s="323">
        <f t="shared" ref="I124:I160" si="12">(194.18*H124)</f>
        <v>5437.04</v>
      </c>
      <c r="J124" s="358">
        <f>H124*G124</f>
        <v>14336</v>
      </c>
      <c r="K124" s="325">
        <f>J124*0.044</f>
        <v>630.78399999999999</v>
      </c>
      <c r="L124" s="326">
        <f t="shared" ref="L124:L160" si="13">SUM(I124+K124)*75%</f>
        <v>4550.8679999999995</v>
      </c>
      <c r="M124" s="411"/>
      <c r="N124" s="303"/>
      <c r="O124" s="303"/>
      <c r="P124" s="314">
        <f>SUM(L124:L136)</f>
        <v>94918.103999999992</v>
      </c>
      <c r="Q124" s="314">
        <f>SUM(L137:L148)</f>
        <v>224617.84199999998</v>
      </c>
      <c r="R124" s="315">
        <f>SUM(L149:L160)</f>
        <v>471339.89999999997</v>
      </c>
      <c r="T124" s="400"/>
      <c r="U124" s="400"/>
      <c r="V124" s="401"/>
    </row>
    <row r="125" spans="1:22" s="36" customFormat="1">
      <c r="C125" s="290">
        <v>1</v>
      </c>
      <c r="D125" s="168">
        <v>0</v>
      </c>
      <c r="E125" s="166">
        <v>0</v>
      </c>
      <c r="F125" s="166">
        <f>(Bandwidth!N6+Bandwidth!O6+Bandwidth!I49)</f>
        <v>173.06773559570311</v>
      </c>
      <c r="G125" s="328">
        <v>512</v>
      </c>
      <c r="H125" s="329">
        <f>ROUNDUP(MAX($D125/gen_xl_tps80,$E125/gen_xl_ram,$F125/12),0)*2</f>
        <v>30</v>
      </c>
      <c r="I125" s="330">
        <f t="shared" si="12"/>
        <v>5825.4000000000005</v>
      </c>
      <c r="J125" s="356">
        <f t="shared" ref="J125:J160" si="14">H125*G125</f>
        <v>15360</v>
      </c>
      <c r="K125" s="331">
        <f t="shared" ref="K125:K160" si="15">J125*0.044</f>
        <v>675.83999999999992</v>
      </c>
      <c r="L125" s="332">
        <f t="shared" si="13"/>
        <v>4875.93</v>
      </c>
      <c r="M125" s="411"/>
      <c r="N125" s="303"/>
      <c r="O125" s="303"/>
      <c r="P125" s="72"/>
      <c r="Q125" s="303"/>
    </row>
    <row r="126" spans="1:22" s="36" customFormat="1">
      <c r="C126" s="290">
        <v>2</v>
      </c>
      <c r="D126" s="168">
        <v>0</v>
      </c>
      <c r="E126" s="166">
        <v>0</v>
      </c>
      <c r="F126" s="166">
        <f>(Bandwidth!N7+Bandwidth!O7+Bandwidth!I50)</f>
        <v>182.19382080078125</v>
      </c>
      <c r="G126" s="328">
        <v>512</v>
      </c>
      <c r="H126" s="329">
        <f>ROUNDUP(MAX($D126/gen_xl_tps80,$E126/gen_xl_ram,$F126/12),0)*2</f>
        <v>32</v>
      </c>
      <c r="I126" s="330">
        <f t="shared" si="12"/>
        <v>6213.76</v>
      </c>
      <c r="J126" s="356">
        <f t="shared" si="14"/>
        <v>16384</v>
      </c>
      <c r="K126" s="331">
        <f t="shared" si="15"/>
        <v>720.89599999999996</v>
      </c>
      <c r="L126" s="332">
        <f t="shared" si="13"/>
        <v>5200.9920000000002</v>
      </c>
      <c r="M126" s="411"/>
      <c r="N126" s="303"/>
      <c r="O126" s="303"/>
      <c r="P126" s="72"/>
      <c r="Q126" s="303"/>
    </row>
    <row r="127" spans="1:22" s="36" customFormat="1">
      <c r="C127" s="290">
        <v>3</v>
      </c>
      <c r="D127" s="168">
        <v>0</v>
      </c>
      <c r="E127" s="166">
        <v>0</v>
      </c>
      <c r="F127" s="166">
        <f>(Bandwidth!N8+Bandwidth!O8+Bandwidth!I51)</f>
        <v>191.31990600585937</v>
      </c>
      <c r="G127" s="328">
        <v>512</v>
      </c>
      <c r="H127" s="329">
        <f>ROUNDUP(MAX($D127/gen_xl_tps80,$E127/gen_xl_ram,$F127/12),0)*2</f>
        <v>32</v>
      </c>
      <c r="I127" s="330">
        <f t="shared" si="12"/>
        <v>6213.76</v>
      </c>
      <c r="J127" s="356">
        <f t="shared" si="14"/>
        <v>16384</v>
      </c>
      <c r="K127" s="331">
        <f t="shared" si="15"/>
        <v>720.89599999999996</v>
      </c>
      <c r="L127" s="332">
        <f t="shared" si="13"/>
        <v>5200.9920000000002</v>
      </c>
      <c r="M127" s="411"/>
      <c r="N127" s="303"/>
      <c r="O127" s="303"/>
      <c r="P127" s="72"/>
      <c r="Q127" s="303"/>
    </row>
    <row r="128" spans="1:22" s="36" customFormat="1">
      <c r="C128" s="290">
        <v>4</v>
      </c>
      <c r="D128" s="168">
        <v>0</v>
      </c>
      <c r="E128" s="166">
        <v>0</v>
      </c>
      <c r="F128" s="166">
        <f>(Bandwidth!N9+Bandwidth!O9+Bandwidth!I52)</f>
        <v>200.44599121093751</v>
      </c>
      <c r="G128" s="328">
        <v>512</v>
      </c>
      <c r="H128" s="329">
        <f>ROUNDUP(MAX($D128/gen_xl_tps80,$E128/gen_xl_ram,$F128/12),0)*2</f>
        <v>34</v>
      </c>
      <c r="I128" s="330">
        <f t="shared" si="12"/>
        <v>6602.12</v>
      </c>
      <c r="J128" s="356">
        <f t="shared" si="14"/>
        <v>17408</v>
      </c>
      <c r="K128" s="331">
        <f t="shared" si="15"/>
        <v>765.952</v>
      </c>
      <c r="L128" s="332">
        <f t="shared" si="13"/>
        <v>5526.0540000000001</v>
      </c>
      <c r="M128" s="411"/>
      <c r="N128" s="303"/>
      <c r="O128" s="303"/>
      <c r="P128" s="72"/>
      <c r="Q128" s="303"/>
    </row>
    <row r="129" spans="3:17" s="36" customFormat="1">
      <c r="C129" s="290">
        <v>5</v>
      </c>
      <c r="D129" s="168">
        <v>0</v>
      </c>
      <c r="E129" s="166">
        <v>0</v>
      </c>
      <c r="F129" s="166">
        <f>(Bandwidth!N10+Bandwidth!O10+Bandwidth!I53)</f>
        <v>209.57207641601562</v>
      </c>
      <c r="G129" s="328">
        <v>512</v>
      </c>
      <c r="H129" s="329">
        <f>ROUNDUP(MAX($D129/gen_xl_tps80,$E129/gen_xl_ram,$F129/12),0)*2</f>
        <v>36</v>
      </c>
      <c r="I129" s="330">
        <f t="shared" si="12"/>
        <v>6990.4800000000005</v>
      </c>
      <c r="J129" s="356">
        <f t="shared" si="14"/>
        <v>18432</v>
      </c>
      <c r="K129" s="331">
        <f t="shared" si="15"/>
        <v>811.00799999999992</v>
      </c>
      <c r="L129" s="332">
        <f t="shared" si="13"/>
        <v>5851.116</v>
      </c>
      <c r="M129" s="411"/>
      <c r="N129" s="303"/>
      <c r="O129" s="303"/>
      <c r="P129" s="72"/>
      <c r="Q129" s="303"/>
    </row>
    <row r="130" spans="3:17" s="36" customFormat="1">
      <c r="C130" s="290">
        <v>6</v>
      </c>
      <c r="D130" s="168">
        <v>0</v>
      </c>
      <c r="E130" s="166">
        <v>0</v>
      </c>
      <c r="F130" s="166">
        <f>(Bandwidth!N11+Bandwidth!O11+Bandwidth!I54)</f>
        <v>218.6981616210937</v>
      </c>
      <c r="G130" s="328">
        <v>512</v>
      </c>
      <c r="H130" s="329">
        <f>ROUNDUP(MAX($D130/gen_xl_tps80,$E130/gen_xl_ram,$F130/12),0)*2</f>
        <v>38</v>
      </c>
      <c r="I130" s="330">
        <f t="shared" si="12"/>
        <v>7378.84</v>
      </c>
      <c r="J130" s="356">
        <f t="shared" si="14"/>
        <v>19456</v>
      </c>
      <c r="K130" s="331">
        <f t="shared" si="15"/>
        <v>856.06399999999996</v>
      </c>
      <c r="L130" s="332">
        <f t="shared" si="13"/>
        <v>6176.1779999999999</v>
      </c>
      <c r="M130" s="411"/>
      <c r="N130" s="303"/>
      <c r="O130" s="303"/>
      <c r="P130" s="72"/>
      <c r="Q130" s="303"/>
    </row>
    <row r="131" spans="3:17" s="36" customFormat="1">
      <c r="C131" s="290">
        <v>7</v>
      </c>
      <c r="D131" s="168">
        <v>0</v>
      </c>
      <c r="E131" s="166">
        <v>0</v>
      </c>
      <c r="F131" s="166">
        <f>(Bandwidth!N12+Bandwidth!O12+Bandwidth!I55)</f>
        <v>255.12053161621094</v>
      </c>
      <c r="G131" s="328">
        <v>512</v>
      </c>
      <c r="H131" s="329">
        <f>ROUNDUP(MAX($D131/gen_xl_tps80,$E131/gen_xl_ram,$F131/12),0)*2</f>
        <v>44</v>
      </c>
      <c r="I131" s="330">
        <f t="shared" si="12"/>
        <v>8543.92</v>
      </c>
      <c r="J131" s="356">
        <f t="shared" si="14"/>
        <v>22528</v>
      </c>
      <c r="K131" s="331">
        <f t="shared" si="15"/>
        <v>991.23199999999997</v>
      </c>
      <c r="L131" s="332">
        <f t="shared" si="13"/>
        <v>7151.3639999999996</v>
      </c>
      <c r="M131" s="411"/>
      <c r="N131" s="303"/>
      <c r="O131" s="303"/>
      <c r="P131" s="72"/>
      <c r="Q131" s="303"/>
    </row>
    <row r="132" spans="3:17" s="36" customFormat="1">
      <c r="C132" s="290">
        <v>8</v>
      </c>
      <c r="D132" s="168">
        <v>0</v>
      </c>
      <c r="E132" s="166">
        <v>0</v>
      </c>
      <c r="F132" s="166">
        <f>(Bandwidth!N13+Bandwidth!O13+Bandwidth!I56)</f>
        <v>291.54290161132809</v>
      </c>
      <c r="G132" s="328">
        <v>512</v>
      </c>
      <c r="H132" s="329">
        <f>ROUNDUP(MAX($D132/gen_xl_tps80,$E132/gen_xl_ram,$F132/12),0)*2</f>
        <v>50</v>
      </c>
      <c r="I132" s="330">
        <f t="shared" si="12"/>
        <v>9709</v>
      </c>
      <c r="J132" s="356">
        <f t="shared" si="14"/>
        <v>25600</v>
      </c>
      <c r="K132" s="331">
        <f t="shared" si="15"/>
        <v>1126.3999999999999</v>
      </c>
      <c r="L132" s="332">
        <f t="shared" si="13"/>
        <v>8126.5499999999993</v>
      </c>
      <c r="M132" s="411"/>
      <c r="N132" s="303"/>
      <c r="O132" s="303"/>
      <c r="P132" s="72"/>
      <c r="Q132" s="303"/>
    </row>
    <row r="133" spans="3:17" s="36" customFormat="1">
      <c r="C133" s="290">
        <v>9</v>
      </c>
      <c r="D133" s="168">
        <v>0</v>
      </c>
      <c r="E133" s="166">
        <v>0</v>
      </c>
      <c r="F133" s="166">
        <f>(Bandwidth!N14+Bandwidth!O14+Bandwidth!I57)</f>
        <v>327.9652716064453</v>
      </c>
      <c r="G133" s="328">
        <v>512</v>
      </c>
      <c r="H133" s="329">
        <f>ROUNDUP(MAX($D133/gen_xl_tps80,$E133/gen_xl_ram,$F133/12),0)*2</f>
        <v>56</v>
      </c>
      <c r="I133" s="330">
        <f t="shared" si="12"/>
        <v>10874.08</v>
      </c>
      <c r="J133" s="356">
        <f t="shared" si="14"/>
        <v>28672</v>
      </c>
      <c r="K133" s="331">
        <f t="shared" si="15"/>
        <v>1261.568</v>
      </c>
      <c r="L133" s="332">
        <f t="shared" si="13"/>
        <v>9101.735999999999</v>
      </c>
      <c r="M133" s="411"/>
      <c r="N133" s="303"/>
      <c r="O133" s="303"/>
      <c r="P133" s="72"/>
      <c r="Q133" s="303"/>
    </row>
    <row r="134" spans="3:17" s="36" customFormat="1">
      <c r="C134" s="290">
        <v>10</v>
      </c>
      <c r="D134" s="168">
        <v>0</v>
      </c>
      <c r="E134" s="166">
        <v>0</v>
      </c>
      <c r="F134" s="166">
        <f>(Bandwidth!N15+Bandwidth!O15+Bandwidth!I58)</f>
        <v>364.38764160156251</v>
      </c>
      <c r="G134" s="328">
        <v>512</v>
      </c>
      <c r="H134" s="329">
        <f>ROUNDUP(MAX($D134/gen_xl_tps80,$E134/gen_xl_ram,$F134/12),0)*2</f>
        <v>62</v>
      </c>
      <c r="I134" s="330">
        <f t="shared" si="12"/>
        <v>12039.16</v>
      </c>
      <c r="J134" s="356">
        <f t="shared" si="14"/>
        <v>31744</v>
      </c>
      <c r="K134" s="331">
        <f t="shared" si="15"/>
        <v>1396.7359999999999</v>
      </c>
      <c r="L134" s="332">
        <f t="shared" si="13"/>
        <v>10076.922</v>
      </c>
      <c r="M134" s="411"/>
      <c r="N134" s="303"/>
      <c r="O134" s="303"/>
      <c r="P134" s="72"/>
      <c r="Q134" s="303"/>
    </row>
    <row r="135" spans="3:17" s="36" customFormat="1">
      <c r="C135" s="290">
        <v>11</v>
      </c>
      <c r="D135" s="168">
        <v>0</v>
      </c>
      <c r="E135" s="166">
        <v>0</v>
      </c>
      <c r="F135" s="166">
        <f>(Bandwidth!N16+Bandwidth!O16+Bandwidth!I59)</f>
        <v>400.81001159667966</v>
      </c>
      <c r="G135" s="328">
        <v>512</v>
      </c>
      <c r="H135" s="329">
        <f>ROUNDUP(MAX($D135/gen_xl_tps80,$E135/gen_xl_ram,$F135/12),0)*2</f>
        <v>68</v>
      </c>
      <c r="I135" s="330">
        <f t="shared" si="12"/>
        <v>13204.24</v>
      </c>
      <c r="J135" s="356">
        <f t="shared" si="14"/>
        <v>34816</v>
      </c>
      <c r="K135" s="331">
        <f t="shared" si="15"/>
        <v>1531.904</v>
      </c>
      <c r="L135" s="332">
        <f t="shared" si="13"/>
        <v>11052.108</v>
      </c>
      <c r="M135" s="411"/>
      <c r="N135" s="303"/>
      <c r="O135" s="303"/>
      <c r="P135" s="72"/>
      <c r="Q135" s="303"/>
    </row>
    <row r="136" spans="3:17" s="36" customFormat="1">
      <c r="C136" s="290">
        <v>12</v>
      </c>
      <c r="D136" s="168">
        <v>0</v>
      </c>
      <c r="E136" s="166">
        <v>0</v>
      </c>
      <c r="F136" s="166">
        <f>(Bandwidth!N17+Bandwidth!O17+Bandwidth!I60)</f>
        <v>437.23238159179681</v>
      </c>
      <c r="G136" s="328">
        <v>512</v>
      </c>
      <c r="H136" s="329">
        <f>ROUNDUP(MAX($D136/gen_xl_tps80,$E136/gen_xl_ram,$F136/12),0)*2</f>
        <v>74</v>
      </c>
      <c r="I136" s="330">
        <f t="shared" si="12"/>
        <v>14369.32</v>
      </c>
      <c r="J136" s="356">
        <f t="shared" si="14"/>
        <v>37888</v>
      </c>
      <c r="K136" s="331">
        <f t="shared" si="15"/>
        <v>1667.0719999999999</v>
      </c>
      <c r="L136" s="332">
        <f t="shared" si="13"/>
        <v>12027.294</v>
      </c>
      <c r="M136" s="411"/>
      <c r="N136" s="303"/>
      <c r="O136" s="303"/>
      <c r="P136" s="72"/>
      <c r="Q136" s="303"/>
    </row>
    <row r="137" spans="3:17" s="36" customFormat="1">
      <c r="C137" s="290">
        <v>13</v>
      </c>
      <c r="D137" s="168">
        <v>0</v>
      </c>
      <c r="E137" s="166">
        <v>0</v>
      </c>
      <c r="F137" s="166">
        <f>(Bandwidth!N18+Bandwidth!O18+Bandwidth!I61)</f>
        <v>461.49574584960931</v>
      </c>
      <c r="G137" s="328">
        <v>512</v>
      </c>
      <c r="H137" s="329">
        <f>ROUNDUP(MAX($D137/gen_xl_tps80,$E137/gen_xl_ram,$F137/12),0)*2</f>
        <v>78</v>
      </c>
      <c r="I137" s="330">
        <f t="shared" si="12"/>
        <v>15146.04</v>
      </c>
      <c r="J137" s="356">
        <f t="shared" si="14"/>
        <v>39936</v>
      </c>
      <c r="K137" s="331">
        <f t="shared" si="15"/>
        <v>1757.184</v>
      </c>
      <c r="L137" s="332">
        <f t="shared" si="13"/>
        <v>12677.418000000001</v>
      </c>
      <c r="M137" s="411"/>
      <c r="N137" s="303"/>
      <c r="O137" s="303"/>
      <c r="P137" s="72"/>
      <c r="Q137" s="303"/>
    </row>
    <row r="138" spans="3:17" s="36" customFormat="1">
      <c r="C138" s="290">
        <v>14</v>
      </c>
      <c r="D138" s="168">
        <v>0</v>
      </c>
      <c r="E138" s="166">
        <v>0</v>
      </c>
      <c r="F138" s="166">
        <f>(Bandwidth!N19+Bandwidth!O19+Bandwidth!I62)</f>
        <v>485.75911010742175</v>
      </c>
      <c r="G138" s="328">
        <v>512</v>
      </c>
      <c r="H138" s="329">
        <f>ROUNDUP(MAX($D138/gen_xl_tps80,$E138/gen_xl_ram,$F138/12),0)*2</f>
        <v>82</v>
      </c>
      <c r="I138" s="330">
        <f t="shared" si="12"/>
        <v>15922.76</v>
      </c>
      <c r="J138" s="356">
        <f t="shared" si="14"/>
        <v>41984</v>
      </c>
      <c r="K138" s="331">
        <f t="shared" si="15"/>
        <v>1847.2959999999998</v>
      </c>
      <c r="L138" s="332">
        <f t="shared" si="13"/>
        <v>13327.542000000001</v>
      </c>
      <c r="M138" s="411"/>
      <c r="N138" s="303"/>
      <c r="O138" s="303"/>
      <c r="P138" s="72"/>
      <c r="Q138" s="303"/>
    </row>
    <row r="139" spans="3:17" s="36" customFormat="1">
      <c r="C139" s="290">
        <v>15</v>
      </c>
      <c r="D139" s="168">
        <v>0</v>
      </c>
      <c r="E139" s="166">
        <v>0</v>
      </c>
      <c r="F139" s="166">
        <f>(Bandwidth!N20+Bandwidth!O20+Bandwidth!I63)</f>
        <v>510.02247436523436</v>
      </c>
      <c r="G139" s="328">
        <v>512</v>
      </c>
      <c r="H139" s="329">
        <f>ROUNDUP(MAX($D139/gen_xl_tps80,$E139/gen_xl_ram,$F139/12),0)*2</f>
        <v>86</v>
      </c>
      <c r="I139" s="330">
        <f t="shared" si="12"/>
        <v>16699.48</v>
      </c>
      <c r="J139" s="356">
        <f t="shared" si="14"/>
        <v>44032</v>
      </c>
      <c r="K139" s="331">
        <f t="shared" si="15"/>
        <v>1937.4079999999999</v>
      </c>
      <c r="L139" s="332">
        <f t="shared" si="13"/>
        <v>13977.665999999999</v>
      </c>
      <c r="M139" s="411"/>
      <c r="N139" s="303"/>
      <c r="O139" s="303"/>
      <c r="P139" s="72"/>
      <c r="Q139" s="303"/>
    </row>
    <row r="140" spans="3:17" s="36" customFormat="1">
      <c r="C140" s="290">
        <v>16</v>
      </c>
      <c r="D140" s="168">
        <v>0</v>
      </c>
      <c r="E140" s="166">
        <v>0</v>
      </c>
      <c r="F140" s="166">
        <f>(Bandwidth!N21+Bandwidth!O21+Bandwidth!I64)</f>
        <v>534.28583862304686</v>
      </c>
      <c r="G140" s="328">
        <v>512</v>
      </c>
      <c r="H140" s="329">
        <f>ROUNDUP(MAX($D140/gen_xl_tps80,$E140/gen_xl_ram,$F140/12),0)*2</f>
        <v>90</v>
      </c>
      <c r="I140" s="330">
        <f t="shared" si="12"/>
        <v>17476.2</v>
      </c>
      <c r="J140" s="356">
        <f t="shared" si="14"/>
        <v>46080</v>
      </c>
      <c r="K140" s="331">
        <f t="shared" si="15"/>
        <v>2027.52</v>
      </c>
      <c r="L140" s="332">
        <f t="shared" si="13"/>
        <v>14627.79</v>
      </c>
      <c r="M140" s="411"/>
      <c r="N140" s="303"/>
      <c r="O140" s="303"/>
      <c r="P140" s="72"/>
      <c r="Q140" s="303"/>
    </row>
    <row r="141" spans="3:17" s="36" customFormat="1">
      <c r="C141" s="290">
        <v>17</v>
      </c>
      <c r="D141" s="168">
        <v>0</v>
      </c>
      <c r="E141" s="166">
        <v>0</v>
      </c>
      <c r="F141" s="166">
        <f>(Bandwidth!N22+Bandwidth!O22+Bandwidth!I65)</f>
        <v>558.54920288085941</v>
      </c>
      <c r="G141" s="328">
        <v>512</v>
      </c>
      <c r="H141" s="329">
        <f>ROUNDUP(MAX($D141/gen_xl_tps80,$E141/gen_xl_ram,$F141/12),0)*2</f>
        <v>94</v>
      </c>
      <c r="I141" s="330">
        <f t="shared" si="12"/>
        <v>18252.920000000002</v>
      </c>
      <c r="J141" s="356">
        <f t="shared" si="14"/>
        <v>48128</v>
      </c>
      <c r="K141" s="331">
        <f t="shared" si="15"/>
        <v>2117.6320000000001</v>
      </c>
      <c r="L141" s="332">
        <f t="shared" si="13"/>
        <v>15277.914000000002</v>
      </c>
      <c r="M141" s="411"/>
      <c r="N141" s="303"/>
      <c r="O141" s="303"/>
      <c r="P141" s="72"/>
      <c r="Q141" s="303"/>
    </row>
    <row r="142" spans="3:17" s="36" customFormat="1">
      <c r="C142" s="290">
        <v>18</v>
      </c>
      <c r="D142" s="168">
        <v>0</v>
      </c>
      <c r="E142" s="166">
        <v>0</v>
      </c>
      <c r="F142" s="166">
        <f>(Bandwidth!N23+Bandwidth!O23+Bandwidth!I66)</f>
        <v>582.81256713867185</v>
      </c>
      <c r="G142" s="328">
        <v>512</v>
      </c>
      <c r="H142" s="329">
        <f>ROUNDUP(MAX($D142/gen_xl_tps80,$E142/gen_xl_ram,$F142/12),0)*2</f>
        <v>98</v>
      </c>
      <c r="I142" s="330">
        <f t="shared" si="12"/>
        <v>19029.64</v>
      </c>
      <c r="J142" s="356">
        <f t="shared" si="14"/>
        <v>50176</v>
      </c>
      <c r="K142" s="331">
        <f t="shared" si="15"/>
        <v>2207.7439999999997</v>
      </c>
      <c r="L142" s="332">
        <f t="shared" si="13"/>
        <v>15928.037999999999</v>
      </c>
      <c r="M142" s="411"/>
      <c r="N142" s="303"/>
      <c r="O142" s="303"/>
      <c r="P142" s="72"/>
      <c r="Q142" s="303"/>
    </row>
    <row r="143" spans="3:17" s="36" customFormat="1">
      <c r="C143" s="290">
        <v>19</v>
      </c>
      <c r="D143" s="168">
        <v>0</v>
      </c>
      <c r="E143" s="166">
        <v>0</v>
      </c>
      <c r="F143" s="166">
        <f>(Bandwidth!N24+Bandwidth!O24+Bandwidth!I67)</f>
        <v>658.36234436035159</v>
      </c>
      <c r="G143" s="328">
        <v>512</v>
      </c>
      <c r="H143" s="329">
        <f>ROUNDUP(MAX($D143/gen_xl_tps80,$E143/gen_xl_ram,$F143/12),0)*2</f>
        <v>110</v>
      </c>
      <c r="I143" s="330">
        <f t="shared" si="12"/>
        <v>21359.8</v>
      </c>
      <c r="J143" s="356">
        <f t="shared" si="14"/>
        <v>56320</v>
      </c>
      <c r="K143" s="331">
        <f t="shared" si="15"/>
        <v>2478.08</v>
      </c>
      <c r="L143" s="332">
        <f t="shared" si="13"/>
        <v>17878.409999999996</v>
      </c>
      <c r="M143" s="411"/>
      <c r="N143" s="303"/>
      <c r="O143" s="303"/>
      <c r="P143" s="72"/>
      <c r="Q143" s="303"/>
    </row>
    <row r="144" spans="3:17" s="36" customFormat="1">
      <c r="C144" s="290">
        <v>20</v>
      </c>
      <c r="D144" s="168">
        <v>0</v>
      </c>
      <c r="E144" s="166">
        <v>0</v>
      </c>
      <c r="F144" s="166">
        <f>(Bandwidth!N25+Bandwidth!O25+Bandwidth!I68)</f>
        <v>733.91212158203132</v>
      </c>
      <c r="G144" s="328">
        <v>512</v>
      </c>
      <c r="H144" s="329">
        <f>ROUNDUP(MAX($D144/gen_xl_tps80,$E144/gen_xl_ram,$F144/12),0)*2</f>
        <v>124</v>
      </c>
      <c r="I144" s="330">
        <f t="shared" si="12"/>
        <v>24078.32</v>
      </c>
      <c r="J144" s="356">
        <f t="shared" si="14"/>
        <v>63488</v>
      </c>
      <c r="K144" s="331">
        <f t="shared" si="15"/>
        <v>2793.4719999999998</v>
      </c>
      <c r="L144" s="332">
        <f t="shared" si="13"/>
        <v>20153.844000000001</v>
      </c>
      <c r="M144" s="411"/>
      <c r="N144" s="303"/>
      <c r="O144" s="303"/>
      <c r="P144" s="72"/>
      <c r="Q144" s="303"/>
    </row>
    <row r="145" spans="3:17" s="36" customFormat="1">
      <c r="C145" s="290">
        <v>21</v>
      </c>
      <c r="D145" s="168">
        <v>0</v>
      </c>
      <c r="E145" s="166">
        <v>0</v>
      </c>
      <c r="F145" s="166">
        <f>(Bandwidth!N26+Bandwidth!O26+Bandwidth!I69)</f>
        <v>809.46189880371094</v>
      </c>
      <c r="G145" s="328">
        <v>512</v>
      </c>
      <c r="H145" s="329">
        <f>ROUNDUP(MAX($D145/gen_xl_tps80,$E145/gen_xl_ram,$F145/12),0)*2</f>
        <v>136</v>
      </c>
      <c r="I145" s="330">
        <f t="shared" si="12"/>
        <v>26408.48</v>
      </c>
      <c r="J145" s="356">
        <f t="shared" si="14"/>
        <v>69632</v>
      </c>
      <c r="K145" s="331">
        <f t="shared" si="15"/>
        <v>3063.808</v>
      </c>
      <c r="L145" s="332">
        <f t="shared" si="13"/>
        <v>22104.216</v>
      </c>
      <c r="M145" s="411"/>
      <c r="N145" s="303"/>
      <c r="O145" s="303"/>
      <c r="P145" s="72"/>
      <c r="Q145" s="303"/>
    </row>
    <row r="146" spans="3:17" s="36" customFormat="1">
      <c r="C146" s="290">
        <v>22</v>
      </c>
      <c r="D146" s="168">
        <v>0</v>
      </c>
      <c r="E146" s="166">
        <v>0</v>
      </c>
      <c r="F146" s="166">
        <f>(Bandwidth!N27+Bandwidth!O27+Bandwidth!I70)</f>
        <v>885.01167602539067</v>
      </c>
      <c r="G146" s="328">
        <v>512</v>
      </c>
      <c r="H146" s="329">
        <f>ROUNDUP(MAX($D146/gen_xl_tps80,$E146/gen_xl_ram,$F146/12),0)*2</f>
        <v>148</v>
      </c>
      <c r="I146" s="330">
        <f t="shared" si="12"/>
        <v>28738.639999999999</v>
      </c>
      <c r="J146" s="356">
        <f t="shared" si="14"/>
        <v>75776</v>
      </c>
      <c r="K146" s="331">
        <f t="shared" si="15"/>
        <v>3334.1439999999998</v>
      </c>
      <c r="L146" s="332">
        <f t="shared" si="13"/>
        <v>24054.588</v>
      </c>
      <c r="M146" s="411"/>
      <c r="N146" s="303"/>
      <c r="O146" s="303"/>
      <c r="P146" s="72"/>
      <c r="Q146" s="303"/>
    </row>
    <row r="147" spans="3:17" s="36" customFormat="1">
      <c r="C147" s="290">
        <v>23</v>
      </c>
      <c r="D147" s="168">
        <v>0</v>
      </c>
      <c r="E147" s="166">
        <v>0</v>
      </c>
      <c r="F147" s="166">
        <f>(Bandwidth!N28+Bandwidth!O28+Bandwidth!I71)</f>
        <v>960.56145324707029</v>
      </c>
      <c r="G147" s="328">
        <v>512</v>
      </c>
      <c r="H147" s="329">
        <f>ROUNDUP(MAX($D147/gen_xl_tps80,$E147/gen_xl_ram,$F147/12),0)*2</f>
        <v>162</v>
      </c>
      <c r="I147" s="330">
        <f t="shared" si="12"/>
        <v>31457.16</v>
      </c>
      <c r="J147" s="356">
        <f t="shared" si="14"/>
        <v>82944</v>
      </c>
      <c r="K147" s="331">
        <f t="shared" si="15"/>
        <v>3649.5359999999996</v>
      </c>
      <c r="L147" s="332">
        <f t="shared" si="13"/>
        <v>26330.021999999997</v>
      </c>
      <c r="M147" s="411"/>
      <c r="N147" s="303"/>
      <c r="O147" s="303"/>
      <c r="P147" s="72"/>
      <c r="Q147" s="303"/>
    </row>
    <row r="148" spans="3:17" s="36" customFormat="1">
      <c r="C148" s="290">
        <v>24</v>
      </c>
      <c r="D148" s="168">
        <v>0</v>
      </c>
      <c r="E148" s="166">
        <v>0</v>
      </c>
      <c r="F148" s="166">
        <f>(Bandwidth!N29+Bandwidth!O29+Bandwidth!I72)</f>
        <v>1036.1112304687499</v>
      </c>
      <c r="G148" s="328">
        <v>512</v>
      </c>
      <c r="H148" s="329">
        <f>ROUNDUP(MAX($D148/gen_xl_tps80,$E148/gen_xl_ram,$F148/12),0)*2</f>
        <v>174</v>
      </c>
      <c r="I148" s="330">
        <f t="shared" si="12"/>
        <v>33787.32</v>
      </c>
      <c r="J148" s="356">
        <f t="shared" si="14"/>
        <v>89088</v>
      </c>
      <c r="K148" s="331">
        <f t="shared" si="15"/>
        <v>3919.8719999999998</v>
      </c>
      <c r="L148" s="332">
        <f t="shared" si="13"/>
        <v>28280.394</v>
      </c>
      <c r="M148" s="411"/>
      <c r="N148" s="303"/>
      <c r="O148" s="303"/>
      <c r="P148" s="72"/>
      <c r="Q148" s="303"/>
    </row>
    <row r="149" spans="3:17" s="36" customFormat="1">
      <c r="C149" s="290">
        <v>25</v>
      </c>
      <c r="D149" s="168">
        <v>0</v>
      </c>
      <c r="E149" s="166">
        <v>0</v>
      </c>
      <c r="F149" s="166">
        <f>(Bandwidth!N30+Bandwidth!O30+Bandwidth!I73)</f>
        <v>1093.7093969726564</v>
      </c>
      <c r="G149" s="328">
        <v>512</v>
      </c>
      <c r="H149" s="329">
        <f>ROUNDUP(MAX($D149/gen_xl_tps80,$E149/gen_xl_ram,$F149/12),0)*2</f>
        <v>184</v>
      </c>
      <c r="I149" s="330">
        <f t="shared" si="12"/>
        <v>35729.120000000003</v>
      </c>
      <c r="J149" s="356">
        <f t="shared" si="14"/>
        <v>94208</v>
      </c>
      <c r="K149" s="331">
        <f t="shared" si="15"/>
        <v>4145.152</v>
      </c>
      <c r="L149" s="332">
        <f t="shared" si="13"/>
        <v>29905.704000000005</v>
      </c>
      <c r="M149" s="411"/>
      <c r="N149" s="303"/>
      <c r="O149" s="303"/>
      <c r="P149" s="72"/>
      <c r="Q149" s="303"/>
    </row>
    <row r="150" spans="3:17" s="36" customFormat="1">
      <c r="C150" s="290">
        <v>26</v>
      </c>
      <c r="D150" s="168">
        <v>0</v>
      </c>
      <c r="E150" s="166">
        <v>0</v>
      </c>
      <c r="F150" s="166">
        <f>(Bandwidth!N31+Bandwidth!O31+Bandwidth!I74)</f>
        <v>1151.3075634765623</v>
      </c>
      <c r="G150" s="328">
        <v>512</v>
      </c>
      <c r="H150" s="329">
        <f>ROUNDUP(MAX($D150/gen_xl_tps80,$E150/gen_xl_ram,$F150/12),0)*2</f>
        <v>192</v>
      </c>
      <c r="I150" s="330">
        <f t="shared" si="12"/>
        <v>37282.559999999998</v>
      </c>
      <c r="J150" s="356">
        <f t="shared" si="14"/>
        <v>98304</v>
      </c>
      <c r="K150" s="331">
        <f t="shared" si="15"/>
        <v>4325.3760000000002</v>
      </c>
      <c r="L150" s="332">
        <f t="shared" si="13"/>
        <v>31205.952000000001</v>
      </c>
      <c r="M150" s="411"/>
      <c r="N150" s="303"/>
      <c r="O150" s="303"/>
      <c r="P150" s="72"/>
      <c r="Q150" s="303"/>
    </row>
    <row r="151" spans="3:17" s="36" customFormat="1">
      <c r="C151" s="290">
        <v>27</v>
      </c>
      <c r="D151" s="168">
        <v>0</v>
      </c>
      <c r="E151" s="166">
        <v>0</v>
      </c>
      <c r="F151" s="166">
        <f>(Bandwidth!N32+Bandwidth!O32+Bandwidth!I75)</f>
        <v>1208.9057299804685</v>
      </c>
      <c r="G151" s="328">
        <v>512</v>
      </c>
      <c r="H151" s="329">
        <f>ROUNDUP(MAX($D151/gen_xl_tps80,$E151/gen_xl_ram,$F151/12),0)*2</f>
        <v>202</v>
      </c>
      <c r="I151" s="330">
        <f t="shared" si="12"/>
        <v>39224.36</v>
      </c>
      <c r="J151" s="356">
        <f t="shared" si="14"/>
        <v>103424</v>
      </c>
      <c r="K151" s="331">
        <f t="shared" si="15"/>
        <v>4550.6559999999999</v>
      </c>
      <c r="L151" s="332">
        <f t="shared" si="13"/>
        <v>32831.262000000002</v>
      </c>
      <c r="M151" s="411"/>
      <c r="N151" s="303"/>
      <c r="O151" s="303"/>
      <c r="P151" s="72"/>
      <c r="Q151" s="303"/>
    </row>
    <row r="152" spans="3:17" s="36" customFormat="1">
      <c r="C152" s="290">
        <v>28</v>
      </c>
      <c r="D152" s="168">
        <v>0</v>
      </c>
      <c r="E152" s="166">
        <v>0</v>
      </c>
      <c r="F152" s="166">
        <f>(Bandwidth!N33+Bandwidth!O33+Bandwidth!I76)</f>
        <v>1266.5038964843748</v>
      </c>
      <c r="G152" s="328">
        <v>512</v>
      </c>
      <c r="H152" s="329">
        <f>ROUNDUP(MAX($D152/gen_xl_tps80,$E152/gen_xl_ram,$F152/12),0)*2</f>
        <v>212</v>
      </c>
      <c r="I152" s="330">
        <f t="shared" si="12"/>
        <v>41166.160000000003</v>
      </c>
      <c r="J152" s="356">
        <f t="shared" si="14"/>
        <v>108544</v>
      </c>
      <c r="K152" s="331">
        <f t="shared" si="15"/>
        <v>4775.9359999999997</v>
      </c>
      <c r="L152" s="332">
        <f t="shared" si="13"/>
        <v>34456.572</v>
      </c>
      <c r="M152" s="411"/>
      <c r="N152" s="303"/>
      <c r="O152" s="303"/>
      <c r="P152" s="72"/>
      <c r="Q152" s="303"/>
    </row>
    <row r="153" spans="3:17" s="36" customFormat="1">
      <c r="C153" s="290">
        <v>29</v>
      </c>
      <c r="D153" s="168">
        <v>0</v>
      </c>
      <c r="E153" s="166">
        <v>0</v>
      </c>
      <c r="F153" s="166">
        <f>(Bandwidth!N34+Bandwidth!O34+Bandwidth!I77)</f>
        <v>1324.1020629882812</v>
      </c>
      <c r="G153" s="328">
        <v>512</v>
      </c>
      <c r="H153" s="329">
        <f>ROUNDUP(MAX($D153/gen_xl_tps80,$E153/gen_xl_ram,$F153/12),0)*2</f>
        <v>222</v>
      </c>
      <c r="I153" s="330">
        <f t="shared" si="12"/>
        <v>43107.96</v>
      </c>
      <c r="J153" s="356">
        <f t="shared" si="14"/>
        <v>113664</v>
      </c>
      <c r="K153" s="331">
        <f t="shared" si="15"/>
        <v>5001.2159999999994</v>
      </c>
      <c r="L153" s="332">
        <f t="shared" si="13"/>
        <v>36081.881999999998</v>
      </c>
      <c r="M153" s="411"/>
      <c r="N153" s="303"/>
      <c r="O153" s="303"/>
      <c r="P153" s="72"/>
      <c r="Q153" s="303"/>
    </row>
    <row r="154" spans="3:17" s="36" customFormat="1">
      <c r="C154" s="290">
        <v>30</v>
      </c>
      <c r="D154" s="168">
        <v>0</v>
      </c>
      <c r="E154" s="166">
        <v>0</v>
      </c>
      <c r="F154" s="166">
        <f>(Bandwidth!N35+Bandwidth!O35+Bandwidth!I78)</f>
        <v>1381.7002294921876</v>
      </c>
      <c r="G154" s="328">
        <v>512</v>
      </c>
      <c r="H154" s="329">
        <f>ROUNDUP(MAX($D154/gen_xl_tps80,$E154/gen_xl_ram,$F154/12),0)*2</f>
        <v>232</v>
      </c>
      <c r="I154" s="330">
        <f t="shared" si="12"/>
        <v>45049.760000000002</v>
      </c>
      <c r="J154" s="356">
        <f t="shared" si="14"/>
        <v>118784</v>
      </c>
      <c r="K154" s="331">
        <f t="shared" si="15"/>
        <v>5226.4960000000001</v>
      </c>
      <c r="L154" s="332">
        <f t="shared" si="13"/>
        <v>37707.192000000003</v>
      </c>
      <c r="M154" s="411"/>
      <c r="N154" s="303"/>
      <c r="O154" s="303"/>
      <c r="P154" s="72"/>
      <c r="Q154" s="303"/>
    </row>
    <row r="155" spans="3:17" s="36" customFormat="1">
      <c r="C155" s="290">
        <v>31</v>
      </c>
      <c r="D155" s="168">
        <v>0</v>
      </c>
      <c r="E155" s="166">
        <v>0</v>
      </c>
      <c r="F155" s="166">
        <f>(Bandwidth!N36+Bandwidth!O36+Bandwidth!I79)</f>
        <v>1458.4249218749999</v>
      </c>
      <c r="G155" s="328">
        <v>512</v>
      </c>
      <c r="H155" s="329">
        <f>ROUNDUP(MAX($D155/gen_xl_tps80,$E155/gen_xl_ram,$F155/12),0)*2</f>
        <v>244</v>
      </c>
      <c r="I155" s="330">
        <f t="shared" si="12"/>
        <v>47379.92</v>
      </c>
      <c r="J155" s="356">
        <f t="shared" si="14"/>
        <v>124928</v>
      </c>
      <c r="K155" s="331">
        <f t="shared" si="15"/>
        <v>5496.8319999999994</v>
      </c>
      <c r="L155" s="332">
        <f t="shared" si="13"/>
        <v>39657.563999999998</v>
      </c>
      <c r="M155" s="411"/>
      <c r="N155" s="303"/>
      <c r="O155" s="303"/>
      <c r="P155" s="72"/>
      <c r="Q155" s="303"/>
    </row>
    <row r="156" spans="3:17" s="36" customFormat="1">
      <c r="C156" s="290">
        <v>32</v>
      </c>
      <c r="D156" s="168">
        <v>0</v>
      </c>
      <c r="E156" s="166">
        <v>0</v>
      </c>
      <c r="F156" s="166">
        <f>(Bandwidth!N37+Bandwidth!O37+Bandwidth!I80)</f>
        <v>1535.1496142578126</v>
      </c>
      <c r="G156" s="328">
        <v>512</v>
      </c>
      <c r="H156" s="329">
        <f>ROUNDUP(MAX($D156/gen_xl_tps80,$E156/gen_xl_ram,$F156/12),0)*2</f>
        <v>256</v>
      </c>
      <c r="I156" s="330">
        <f t="shared" si="12"/>
        <v>49710.080000000002</v>
      </c>
      <c r="J156" s="356">
        <f t="shared" si="14"/>
        <v>131072</v>
      </c>
      <c r="K156" s="331">
        <f t="shared" si="15"/>
        <v>5767.1679999999997</v>
      </c>
      <c r="L156" s="332">
        <f t="shared" si="13"/>
        <v>41607.936000000002</v>
      </c>
      <c r="M156" s="411"/>
      <c r="N156" s="303"/>
      <c r="O156" s="303"/>
      <c r="P156" s="72"/>
      <c r="Q156" s="303"/>
    </row>
    <row r="157" spans="3:17" s="36" customFormat="1">
      <c r="C157" s="290">
        <v>33</v>
      </c>
      <c r="D157" s="168">
        <v>0</v>
      </c>
      <c r="E157" s="166">
        <v>0</v>
      </c>
      <c r="F157" s="166">
        <f>(Bandwidth!N38+Bandwidth!O38+Bandwidth!I81)</f>
        <v>1611.8743066406248</v>
      </c>
      <c r="G157" s="328">
        <v>512</v>
      </c>
      <c r="H157" s="329">
        <f>ROUNDUP(MAX($D157/gen_xl_tps80,$E157/gen_xl_ram,$F157/12),0)*2</f>
        <v>270</v>
      </c>
      <c r="I157" s="330">
        <f t="shared" si="12"/>
        <v>52428.6</v>
      </c>
      <c r="J157" s="356">
        <f t="shared" si="14"/>
        <v>138240</v>
      </c>
      <c r="K157" s="331">
        <f t="shared" si="15"/>
        <v>6082.5599999999995</v>
      </c>
      <c r="L157" s="332">
        <f t="shared" si="13"/>
        <v>43883.369999999995</v>
      </c>
      <c r="M157" s="411"/>
      <c r="N157" s="303"/>
      <c r="O157" s="303"/>
      <c r="P157" s="72"/>
      <c r="Q157" s="303"/>
    </row>
    <row r="158" spans="3:17" s="36" customFormat="1">
      <c r="C158" s="290">
        <v>34</v>
      </c>
      <c r="D158" s="168">
        <v>0</v>
      </c>
      <c r="E158" s="166">
        <v>0</v>
      </c>
      <c r="F158" s="166">
        <f>(Bandwidth!N39+Bandwidth!O39+Bandwidth!I82)</f>
        <v>1688.5989990234373</v>
      </c>
      <c r="G158" s="328">
        <v>512</v>
      </c>
      <c r="H158" s="329">
        <f>ROUNDUP(MAX($D158/gen_xl_tps80,$E158/gen_xl_ram,$F158/12),0)*2</f>
        <v>282</v>
      </c>
      <c r="I158" s="330">
        <f t="shared" si="12"/>
        <v>54758.76</v>
      </c>
      <c r="J158" s="356">
        <f t="shared" si="14"/>
        <v>144384</v>
      </c>
      <c r="K158" s="331">
        <f t="shared" si="15"/>
        <v>6352.8959999999997</v>
      </c>
      <c r="L158" s="332">
        <f t="shared" si="13"/>
        <v>45833.741999999998</v>
      </c>
      <c r="M158" s="411"/>
      <c r="N158" s="303"/>
      <c r="O158" s="303"/>
      <c r="P158" s="72"/>
      <c r="Q158" s="303"/>
    </row>
    <row r="159" spans="3:17" s="36" customFormat="1">
      <c r="C159" s="290">
        <v>35</v>
      </c>
      <c r="D159" s="168">
        <v>0</v>
      </c>
      <c r="E159" s="166">
        <v>0</v>
      </c>
      <c r="F159" s="166">
        <f>(Bandwidth!N40+Bandwidth!O40+Bandwidth!I83)</f>
        <v>1765.3236914062497</v>
      </c>
      <c r="G159" s="328">
        <v>512</v>
      </c>
      <c r="H159" s="329">
        <f>ROUNDUP(MAX($D159/gen_xl_tps80,$E159/gen_xl_ram,$F159/12),0)*2</f>
        <v>296</v>
      </c>
      <c r="I159" s="330">
        <f t="shared" si="12"/>
        <v>57477.279999999999</v>
      </c>
      <c r="J159" s="356">
        <f t="shared" si="14"/>
        <v>151552</v>
      </c>
      <c r="K159" s="331">
        <f t="shared" si="15"/>
        <v>6668.2879999999996</v>
      </c>
      <c r="L159" s="332">
        <f t="shared" si="13"/>
        <v>48109.175999999999</v>
      </c>
      <c r="M159" s="411"/>
      <c r="N159" s="303"/>
      <c r="O159" s="303"/>
      <c r="P159" s="72"/>
      <c r="Q159" s="303"/>
    </row>
    <row r="160" spans="3:17" s="36" customFormat="1" ht="17" thickBot="1">
      <c r="C160" s="291">
        <v>36</v>
      </c>
      <c r="D160" s="171">
        <v>0</v>
      </c>
      <c r="E160" s="177">
        <v>0</v>
      </c>
      <c r="F160" s="177">
        <f>(Bandwidth!N41+Bandwidth!O41+Bandwidth!I84)</f>
        <v>1842.0483837890622</v>
      </c>
      <c r="G160" s="334">
        <v>512</v>
      </c>
      <c r="H160" s="335">
        <f>ROUNDUP(MAX($D160/gen_xl_tps80,$E160/gen_xl_ram,$F160/12),0)*2</f>
        <v>308</v>
      </c>
      <c r="I160" s="336">
        <f t="shared" si="12"/>
        <v>59807.44</v>
      </c>
      <c r="J160" s="357">
        <f t="shared" si="14"/>
        <v>157696</v>
      </c>
      <c r="K160" s="338">
        <f t="shared" si="15"/>
        <v>6938.6239999999998</v>
      </c>
      <c r="L160" s="339">
        <f t="shared" si="13"/>
        <v>50059.547999999995</v>
      </c>
      <c r="M160" s="411"/>
      <c r="N160" s="303"/>
      <c r="O160" s="303"/>
      <c r="P160" s="72"/>
      <c r="Q160" s="303"/>
    </row>
    <row r="161" spans="1:22" s="36" customFormat="1">
      <c r="C161" s="300"/>
      <c r="D161" s="301"/>
      <c r="E161" s="302"/>
      <c r="F161" s="302"/>
      <c r="H161" s="72"/>
      <c r="I161" s="303"/>
      <c r="J161" s="72"/>
      <c r="K161" s="303"/>
      <c r="L161" s="72"/>
      <c r="M161" s="303"/>
      <c r="N161" s="72"/>
      <c r="O161" s="303"/>
      <c r="P161" s="72"/>
      <c r="Q161" s="303"/>
    </row>
    <row r="162" spans="1:22" s="36" customFormat="1">
      <c r="C162" s="300"/>
      <c r="D162" s="301"/>
      <c r="E162" s="302"/>
      <c r="F162" s="302"/>
      <c r="H162" s="72"/>
      <c r="I162" s="303"/>
      <c r="J162" s="72"/>
      <c r="K162" s="303"/>
      <c r="L162" s="72"/>
      <c r="M162" s="303"/>
      <c r="N162" s="72"/>
      <c r="O162" s="303"/>
      <c r="P162" s="72"/>
      <c r="Q162" s="303"/>
    </row>
    <row r="163" spans="1:22" s="36" customFormat="1">
      <c r="C163" s="300"/>
      <c r="D163" s="301"/>
      <c r="E163" s="302"/>
      <c r="F163" s="302"/>
      <c r="H163" s="72"/>
      <c r="I163" s="303"/>
      <c r="J163" s="72"/>
      <c r="K163" s="303"/>
      <c r="L163" s="72"/>
      <c r="M163" s="303"/>
      <c r="N163" s="72"/>
      <c r="O163" s="303"/>
      <c r="P163" s="72"/>
      <c r="Q163" s="303"/>
    </row>
    <row r="164" spans="1:22" s="36" customFormat="1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ht="22" thickBot="1">
      <c r="A165" s="44" t="s">
        <v>358</v>
      </c>
    </row>
    <row r="166" spans="1:22" ht="22" thickBot="1">
      <c r="A166" s="44"/>
      <c r="B166" t="s">
        <v>290</v>
      </c>
      <c r="C166" s="365" t="s">
        <v>246</v>
      </c>
      <c r="D166" s="367" t="s">
        <v>255</v>
      </c>
      <c r="E166" s="367"/>
      <c r="F166" s="224" t="s">
        <v>256</v>
      </c>
      <c r="G166" s="224"/>
      <c r="H166" s="224"/>
      <c r="I166" s="378" t="s">
        <v>274</v>
      </c>
      <c r="K166" s="12" t="s">
        <v>361</v>
      </c>
    </row>
    <row r="167" spans="1:22" ht="17" thickBot="1">
      <c r="B167" t="s">
        <v>364</v>
      </c>
      <c r="C167" s="380"/>
      <c r="D167" s="227" t="s">
        <v>253</v>
      </c>
      <c r="E167" s="227" t="s">
        <v>260</v>
      </c>
      <c r="F167" s="227" t="s">
        <v>253</v>
      </c>
      <c r="G167" s="313" t="s">
        <v>363</v>
      </c>
      <c r="H167" s="227" t="s">
        <v>254</v>
      </c>
      <c r="I167" s="379"/>
      <c r="K167" s="275" t="s">
        <v>44</v>
      </c>
      <c r="L167" s="263" t="s">
        <v>45</v>
      </c>
      <c r="M167" s="316" t="s">
        <v>46</v>
      </c>
    </row>
    <row r="168" spans="1:22">
      <c r="C168" s="292">
        <v>0</v>
      </c>
      <c r="D168" s="293">
        <f>'CPU (Workload)'!O16</f>
        <v>15146587500</v>
      </c>
      <c r="E168" s="294">
        <f>Bandwidth!K128</f>
        <v>45853927.001953132</v>
      </c>
      <c r="F168" s="295">
        <f>D168/10000*0.0075</f>
        <v>11359.940624999999</v>
      </c>
      <c r="G168" s="433">
        <f>D36*0.04</f>
        <v>20039.0625</v>
      </c>
      <c r="H168" s="306">
        <f>((10000*0.08)+(143360*0.055)+(870400*0.03)+(E168-1024000)*0.02)</f>
        <v>931395.34003906266</v>
      </c>
      <c r="I168" s="317">
        <f>SUM(F168:H168)*25%</f>
        <v>240698.58579101568</v>
      </c>
      <c r="K168" s="314">
        <f>SUM(I168:I180)</f>
        <v>4894367.4042045157</v>
      </c>
      <c r="L168" s="314">
        <f>SUM(I181:I192)</f>
        <v>11681716.007420287</v>
      </c>
      <c r="M168" s="315">
        <f>SUM(I193:I204)</f>
        <v>24581556.31257686</v>
      </c>
    </row>
    <row r="169" spans="1:22">
      <c r="C169" s="290">
        <v>1</v>
      </c>
      <c r="D169" s="155">
        <f>'CPU (Workload)'!O17</f>
        <v>15989747537.5</v>
      </c>
      <c r="E169" s="219">
        <f>Bandwidth!K129</f>
        <v>48406462.271728516</v>
      </c>
      <c r="F169" s="296">
        <f t="shared" ref="F169:F204" si="16">D169/10000*0.0075</f>
        <v>11992.310653125</v>
      </c>
      <c r="G169" s="434">
        <f>D37*10%*0.04</f>
        <v>2003.90625</v>
      </c>
      <c r="H169" s="307">
        <f>((10000*0.08)+(143360*0.055)+(870400*0.03)+(E169-1024000)*0.02)</f>
        <v>982446.04543457041</v>
      </c>
      <c r="I169" s="318">
        <f t="shared" ref="I169:I204" si="17">SUM(F169:H169)*25%</f>
        <v>249110.56558442386</v>
      </c>
    </row>
    <row r="170" spans="1:22">
      <c r="C170" s="290">
        <v>2</v>
      </c>
      <c r="D170" s="155">
        <f>'CPU (Workload)'!O18</f>
        <v>16832907575</v>
      </c>
      <c r="E170" s="219">
        <f>Bandwidth!K130</f>
        <v>50958997.541503906</v>
      </c>
      <c r="F170" s="296">
        <f t="shared" si="16"/>
        <v>12624.68068125</v>
      </c>
      <c r="G170" s="434">
        <f t="shared" ref="G170:G204" si="18">D38*10%*0.04</f>
        <v>2003.90625</v>
      </c>
      <c r="H170" s="307">
        <f>((10000*0.08)+(143360*0.055)+(870400*0.03)+(E170-1024000)*0.02)</f>
        <v>1033496.7508300781</v>
      </c>
      <c r="I170" s="318">
        <f t="shared" si="17"/>
        <v>262031.33444033202</v>
      </c>
    </row>
    <row r="171" spans="1:22">
      <c r="C171" s="290">
        <v>3</v>
      </c>
      <c r="D171" s="155">
        <f>'CPU (Workload)'!O19</f>
        <v>17676067612.5</v>
      </c>
      <c r="E171" s="219">
        <f>Bandwidth!K131</f>
        <v>53511532.811279297</v>
      </c>
      <c r="F171" s="296">
        <f t="shared" si="16"/>
        <v>13257.050709375</v>
      </c>
      <c r="G171" s="434">
        <f t="shared" si="18"/>
        <v>2003.90625</v>
      </c>
      <c r="H171" s="307">
        <f>((10000*0.08)+(143360*0.055)+(870400*0.03)+(E171-1024000)*0.02)</f>
        <v>1084547.4562255859</v>
      </c>
      <c r="I171" s="318">
        <f t="shared" si="17"/>
        <v>274952.10329624021</v>
      </c>
    </row>
    <row r="172" spans="1:22">
      <c r="C172" s="290">
        <v>4</v>
      </c>
      <c r="D172" s="155">
        <f>'CPU (Workload)'!O20</f>
        <v>18519227650</v>
      </c>
      <c r="E172" s="219">
        <f>Bandwidth!K132</f>
        <v>56064068.081054688</v>
      </c>
      <c r="F172" s="296">
        <f t="shared" si="16"/>
        <v>13889.420737499999</v>
      </c>
      <c r="G172" s="434">
        <f t="shared" si="18"/>
        <v>2003.90625</v>
      </c>
      <c r="H172" s="307">
        <f>((10000*0.08)+(143360*0.055)+(870400*0.03)+(E172-1024000)*0.02)</f>
        <v>1135598.1616210938</v>
      </c>
      <c r="I172" s="318">
        <f t="shared" si="17"/>
        <v>287872.87215214845</v>
      </c>
    </row>
    <row r="173" spans="1:22">
      <c r="C173" s="290">
        <v>5</v>
      </c>
      <c r="D173" s="155">
        <f>'CPU (Workload)'!O21</f>
        <v>19362387687.5</v>
      </c>
      <c r="E173" s="219">
        <f>Bandwidth!K133</f>
        <v>58616603.350830078</v>
      </c>
      <c r="F173" s="296">
        <f t="shared" si="16"/>
        <v>14521.790765624999</v>
      </c>
      <c r="G173" s="434">
        <f t="shared" si="18"/>
        <v>2003.90625</v>
      </c>
      <c r="H173" s="307">
        <f>((10000*0.08)+(143360*0.055)+(870400*0.03)+(E173-1024000)*0.02)</f>
        <v>1186648.8670166016</v>
      </c>
      <c r="I173" s="318">
        <f t="shared" si="17"/>
        <v>300793.64100805664</v>
      </c>
    </row>
    <row r="174" spans="1:22">
      <c r="C174" s="290">
        <v>6</v>
      </c>
      <c r="D174" s="155">
        <f>'CPU (Workload)'!O22</f>
        <v>20205547725</v>
      </c>
      <c r="E174" s="219">
        <f>Bandwidth!K134</f>
        <v>61169138.620605461</v>
      </c>
      <c r="F174" s="296">
        <f t="shared" si="16"/>
        <v>15154.160793749999</v>
      </c>
      <c r="G174" s="434">
        <f t="shared" si="18"/>
        <v>2003.90625</v>
      </c>
      <c r="H174" s="307">
        <f>((10000*0.08)+(143360*0.055)+(870400*0.03)+(E174-1024000)*0.02)</f>
        <v>1237699.5724121092</v>
      </c>
      <c r="I174" s="318">
        <f t="shared" si="17"/>
        <v>313714.40986396483</v>
      </c>
    </row>
    <row r="175" spans="1:22">
      <c r="C175" s="290">
        <v>7</v>
      </c>
      <c r="D175" s="155">
        <f>'CPU (Workload)'!O23</f>
        <v>23570614581.25</v>
      </c>
      <c r="E175" s="219">
        <f>Bandwidth!K135</f>
        <v>71356352.73620604</v>
      </c>
      <c r="F175" s="296">
        <f t="shared" si="16"/>
        <v>17677.960935937499</v>
      </c>
      <c r="G175" s="434">
        <f t="shared" si="18"/>
        <v>2003.90625</v>
      </c>
      <c r="H175" s="307">
        <f>((10000*0.08)+(143360*0.055)+(870400*0.03)+(E175-1024000)*0.02)</f>
        <v>1441443.8547241208</v>
      </c>
      <c r="I175" s="318">
        <f t="shared" si="17"/>
        <v>365281.43047751457</v>
      </c>
    </row>
    <row r="176" spans="1:22">
      <c r="C176" s="290">
        <v>8</v>
      </c>
      <c r="D176" s="155">
        <f>'CPU (Workload)'!O24</f>
        <v>26935681437.5</v>
      </c>
      <c r="E176" s="219">
        <f>Bandwidth!K136</f>
        <v>81543566.851806626</v>
      </c>
      <c r="F176" s="296">
        <f t="shared" si="16"/>
        <v>20201.761078124997</v>
      </c>
      <c r="G176" s="434">
        <f t="shared" si="18"/>
        <v>2003.90625</v>
      </c>
      <c r="H176" s="307">
        <f>((10000*0.08)+(143360*0.055)+(870400*0.03)+(E176-1024000)*0.02)</f>
        <v>1645188.1370361326</v>
      </c>
      <c r="I176" s="318">
        <f t="shared" si="17"/>
        <v>416848.45109106443</v>
      </c>
    </row>
    <row r="177" spans="3:9">
      <c r="C177" s="290">
        <v>9</v>
      </c>
      <c r="D177" s="155">
        <f>'CPU (Workload)'!O25</f>
        <v>30300748293.75</v>
      </c>
      <c r="E177" s="219">
        <f>Bandwidth!K137</f>
        <v>91730780.967407227</v>
      </c>
      <c r="F177" s="296">
        <f t="shared" si="16"/>
        <v>22725.561220312502</v>
      </c>
      <c r="G177" s="434">
        <f t="shared" si="18"/>
        <v>2003.90625</v>
      </c>
      <c r="H177" s="307">
        <f>((10000*0.08)+(143360*0.055)+(870400*0.03)+(E177-1024000)*0.02)</f>
        <v>1848932.4193481447</v>
      </c>
      <c r="I177" s="318">
        <f t="shared" si="17"/>
        <v>468415.47170461429</v>
      </c>
    </row>
    <row r="178" spans="3:9">
      <c r="C178" s="290">
        <v>10</v>
      </c>
      <c r="D178" s="155">
        <f>'CPU (Workload)'!O26</f>
        <v>33665815150</v>
      </c>
      <c r="E178" s="219">
        <f>Bandwidth!K138</f>
        <v>101917995.08300781</v>
      </c>
      <c r="F178" s="296">
        <f t="shared" si="16"/>
        <v>25249.3613625</v>
      </c>
      <c r="G178" s="434">
        <f t="shared" si="18"/>
        <v>2003.90625</v>
      </c>
      <c r="H178" s="307">
        <f>((10000*0.08)+(143360*0.055)+(870400*0.03)+(E178-1024000)*0.02)</f>
        <v>2052676.7016601562</v>
      </c>
      <c r="I178" s="318">
        <f t="shared" si="17"/>
        <v>519982.49231816409</v>
      </c>
    </row>
    <row r="179" spans="3:9">
      <c r="C179" s="290">
        <v>11</v>
      </c>
      <c r="D179" s="155">
        <f>'CPU (Workload)'!O27</f>
        <v>37030882006.25</v>
      </c>
      <c r="E179" s="219">
        <f>Bandwidth!K139</f>
        <v>112105209.1986084</v>
      </c>
      <c r="F179" s="296">
        <f t="shared" si="16"/>
        <v>27773.161504687498</v>
      </c>
      <c r="G179" s="434">
        <f t="shared" si="18"/>
        <v>2003.90625</v>
      </c>
      <c r="H179" s="307">
        <f>((10000*0.08)+(143360*0.055)+(870400*0.03)+(E179-1024000)*0.02)</f>
        <v>2256420.9839721676</v>
      </c>
      <c r="I179" s="318">
        <f t="shared" si="17"/>
        <v>571549.51293171372</v>
      </c>
    </row>
    <row r="180" spans="3:9">
      <c r="C180" s="290">
        <v>12</v>
      </c>
      <c r="D180" s="155">
        <f>'CPU (Workload)'!O28</f>
        <v>40395948862.5</v>
      </c>
      <c r="E180" s="219">
        <f>Bandwidth!K140</f>
        <v>122292423.31420897</v>
      </c>
      <c r="F180" s="296">
        <f t="shared" si="16"/>
        <v>30296.961646874999</v>
      </c>
      <c r="G180" s="434">
        <f t="shared" si="18"/>
        <v>2003.90625</v>
      </c>
      <c r="H180" s="307">
        <f>((10000*0.08)+(143360*0.055)+(870400*0.03)+(E180-1024000)*0.02)</f>
        <v>2460165.2662841794</v>
      </c>
      <c r="I180" s="318">
        <f t="shared" si="17"/>
        <v>623116.53354526358</v>
      </c>
    </row>
    <row r="181" spans="3:9">
      <c r="C181" s="290">
        <v>13</v>
      </c>
      <c r="D181" s="155">
        <f>'CPU (Workload)'!O29</f>
        <v>42637643812.5</v>
      </c>
      <c r="E181" s="219">
        <f>Bandwidth!K141</f>
        <v>129078804.51049803</v>
      </c>
      <c r="F181" s="296">
        <f t="shared" si="16"/>
        <v>31978.232859374995</v>
      </c>
      <c r="G181" s="434">
        <f t="shared" si="18"/>
        <v>2003.90625</v>
      </c>
      <c r="H181" s="307">
        <f>((10000*0.08)+(143360*0.055)+(870400*0.03)+(E181-1024000)*0.02)</f>
        <v>2595892.8902099603</v>
      </c>
      <c r="I181" s="318">
        <f t="shared" si="17"/>
        <v>657468.75732983381</v>
      </c>
    </row>
    <row r="182" spans="3:9">
      <c r="C182" s="290">
        <v>14</v>
      </c>
      <c r="D182" s="155">
        <f>'CPU (Workload)'!O30</f>
        <v>44879338762.5</v>
      </c>
      <c r="E182" s="219">
        <f>Bandwidth!K142</f>
        <v>135865185.70678705</v>
      </c>
      <c r="F182" s="296">
        <f t="shared" si="16"/>
        <v>33659.504071874995</v>
      </c>
      <c r="G182" s="434">
        <f t="shared" si="18"/>
        <v>2003.90625</v>
      </c>
      <c r="H182" s="307">
        <f>((10000*0.08)+(143360*0.055)+(870400*0.03)+(E182-1024000)*0.02)</f>
        <v>2731620.5141357407</v>
      </c>
      <c r="I182" s="318">
        <f t="shared" si="17"/>
        <v>691820.98111440393</v>
      </c>
    </row>
    <row r="183" spans="3:9">
      <c r="C183" s="290">
        <v>15</v>
      </c>
      <c r="D183" s="155">
        <f>'CPU (Workload)'!O31</f>
        <v>47121033712.5</v>
      </c>
      <c r="E183" s="219">
        <f>Bandwidth!K143</f>
        <v>142651566.90307614</v>
      </c>
      <c r="F183" s="296">
        <f t="shared" si="16"/>
        <v>35340.775284374999</v>
      </c>
      <c r="G183" s="434">
        <f t="shared" si="18"/>
        <v>2003.90625</v>
      </c>
      <c r="H183" s="307">
        <f>((10000*0.08)+(143360*0.055)+(870400*0.03)+(E183-1024000)*0.02)</f>
        <v>2867348.1380615225</v>
      </c>
      <c r="I183" s="318">
        <f t="shared" si="17"/>
        <v>726173.20489897439</v>
      </c>
    </row>
    <row r="184" spans="3:9">
      <c r="C184" s="290">
        <v>16</v>
      </c>
      <c r="D184" s="155">
        <f>'CPU (Workload)'!O32</f>
        <v>49362728662.5</v>
      </c>
      <c r="E184" s="219">
        <f>Bandwidth!K144</f>
        <v>149437948.0993652</v>
      </c>
      <c r="F184" s="296">
        <f t="shared" si="16"/>
        <v>37022.046496874995</v>
      </c>
      <c r="G184" s="434">
        <f t="shared" si="18"/>
        <v>2003.90625</v>
      </c>
      <c r="H184" s="307">
        <f>((10000*0.08)+(143360*0.055)+(870400*0.03)+(E184-1024000)*0.02)</f>
        <v>3003075.7619873038</v>
      </c>
      <c r="I184" s="318">
        <f t="shared" si="17"/>
        <v>760525.42868354474</v>
      </c>
    </row>
    <row r="185" spans="3:9">
      <c r="C185" s="290">
        <v>17</v>
      </c>
      <c r="D185" s="155">
        <f>'CPU (Workload)'!O33</f>
        <v>51604423612.5</v>
      </c>
      <c r="E185" s="219">
        <f>Bandwidth!K145</f>
        <v>156224329.2956543</v>
      </c>
      <c r="F185" s="296">
        <f t="shared" si="16"/>
        <v>38703.317709374998</v>
      </c>
      <c r="G185" s="434">
        <f t="shared" si="18"/>
        <v>2003.90625</v>
      </c>
      <c r="H185" s="307">
        <f>((10000*0.08)+(143360*0.055)+(870400*0.03)+(E185-1024000)*0.02)</f>
        <v>3138803.3859130857</v>
      </c>
      <c r="I185" s="318">
        <f t="shared" si="17"/>
        <v>794877.65246811521</v>
      </c>
    </row>
    <row r="186" spans="3:9">
      <c r="C186" s="290">
        <v>18</v>
      </c>
      <c r="D186" s="155">
        <f>'CPU (Workload)'!O34</f>
        <v>53846118562.5</v>
      </c>
      <c r="E186" s="219">
        <f>Bandwidth!K146</f>
        <v>163010710.49194333</v>
      </c>
      <c r="F186" s="296">
        <f t="shared" si="16"/>
        <v>40384.588921875002</v>
      </c>
      <c r="G186" s="434">
        <f t="shared" si="18"/>
        <v>2003.90625</v>
      </c>
      <c r="H186" s="307">
        <f>((10000*0.08)+(143360*0.055)+(870400*0.03)+(E186-1024000)*0.02)</f>
        <v>3274531.0098388665</v>
      </c>
      <c r="I186" s="318">
        <f t="shared" si="17"/>
        <v>829229.87625268544</v>
      </c>
    </row>
    <row r="187" spans="3:9">
      <c r="C187" s="290">
        <v>19</v>
      </c>
      <c r="D187" s="155">
        <f>'CPU (Workload)'!O35</f>
        <v>60826170968.75</v>
      </c>
      <c r="E187" s="219">
        <f>Bandwidth!K147</f>
        <v>184141728.51867676</v>
      </c>
      <c r="F187" s="296">
        <f t="shared" si="16"/>
        <v>45619.628226562498</v>
      </c>
      <c r="G187" s="434">
        <f t="shared" si="18"/>
        <v>2003.90625</v>
      </c>
      <c r="H187" s="307">
        <f>((10000*0.08)+(143360*0.055)+(870400*0.03)+(E187-1024000)*0.02)</f>
        <v>3697151.370373535</v>
      </c>
      <c r="I187" s="318">
        <f t="shared" si="17"/>
        <v>936193.72621252434</v>
      </c>
    </row>
    <row r="188" spans="3:9">
      <c r="C188" s="290">
        <v>20</v>
      </c>
      <c r="D188" s="155">
        <f>'CPU (Workload)'!O36</f>
        <v>67806223375</v>
      </c>
      <c r="E188" s="219">
        <f>Bandwidth!K148</f>
        <v>205272746.54541019</v>
      </c>
      <c r="F188" s="296">
        <f t="shared" si="16"/>
        <v>50854.667531250001</v>
      </c>
      <c r="G188" s="434">
        <f t="shared" si="18"/>
        <v>2003.90625</v>
      </c>
      <c r="H188" s="307">
        <f>((10000*0.08)+(143360*0.055)+(870400*0.03)+(E188-1024000)*0.02)</f>
        <v>4119771.7309082034</v>
      </c>
      <c r="I188" s="318">
        <f t="shared" si="17"/>
        <v>1043157.5761723634</v>
      </c>
    </row>
    <row r="189" spans="3:9">
      <c r="C189" s="290">
        <v>21</v>
      </c>
      <c r="D189" s="155">
        <f>'CPU (Workload)'!O37</f>
        <v>74786275781.25</v>
      </c>
      <c r="E189" s="219">
        <f>Bandwidth!K149</f>
        <v>226403764.57214355</v>
      </c>
      <c r="F189" s="296">
        <f t="shared" si="16"/>
        <v>56089.706835937497</v>
      </c>
      <c r="G189" s="434">
        <f t="shared" si="18"/>
        <v>2003.90625</v>
      </c>
      <c r="H189" s="307">
        <f>((10000*0.08)+(143360*0.055)+(870400*0.03)+(E189-1024000)*0.02)</f>
        <v>4542392.0914428709</v>
      </c>
      <c r="I189" s="318">
        <f t="shared" si="17"/>
        <v>1150121.4261322021</v>
      </c>
    </row>
    <row r="190" spans="3:9">
      <c r="C190" s="290">
        <v>22</v>
      </c>
      <c r="D190" s="155">
        <f>'CPU (Workload)'!O38</f>
        <v>81766328187.5</v>
      </c>
      <c r="E190" s="219">
        <f>Bandwidth!K150</f>
        <v>247534782.59887695</v>
      </c>
      <c r="F190" s="296">
        <f t="shared" si="16"/>
        <v>61324.746140624993</v>
      </c>
      <c r="G190" s="434">
        <f t="shared" si="18"/>
        <v>2003.90625</v>
      </c>
      <c r="H190" s="307">
        <f>((10000*0.08)+(143360*0.055)+(870400*0.03)+(E190-1024000)*0.02)</f>
        <v>4965012.4519775389</v>
      </c>
      <c r="I190" s="318">
        <f t="shared" si="17"/>
        <v>1257085.2760920411</v>
      </c>
    </row>
    <row r="191" spans="3:9">
      <c r="C191" s="290">
        <v>23</v>
      </c>
      <c r="D191" s="155">
        <f>'CPU (Workload)'!O39</f>
        <v>88746380593.75</v>
      </c>
      <c r="E191" s="219">
        <f>Bandwidth!K151</f>
        <v>268665800.62561035</v>
      </c>
      <c r="F191" s="296">
        <f t="shared" si="16"/>
        <v>66559.785445312489</v>
      </c>
      <c r="G191" s="434">
        <f t="shared" si="18"/>
        <v>2003.90625</v>
      </c>
      <c r="H191" s="307">
        <f>((10000*0.08)+(143360*0.055)+(870400*0.03)+(E191-1024000)*0.02)</f>
        <v>5387632.8125122068</v>
      </c>
      <c r="I191" s="318">
        <f t="shared" si="17"/>
        <v>1364049.1260518797</v>
      </c>
    </row>
    <row r="192" spans="3:9">
      <c r="C192" s="290">
        <v>24</v>
      </c>
      <c r="D192" s="155">
        <f>'CPU (Workload)'!O40</f>
        <v>95726433000</v>
      </c>
      <c r="E192" s="219">
        <f>Bandwidth!K152</f>
        <v>289796818.65234363</v>
      </c>
      <c r="F192" s="296">
        <f t="shared" si="16"/>
        <v>71794.82475</v>
      </c>
      <c r="G192" s="434">
        <f t="shared" si="18"/>
        <v>2003.90625</v>
      </c>
      <c r="H192" s="307">
        <f>((10000*0.08)+(143360*0.055)+(870400*0.03)+(E192-1024000)*0.02)</f>
        <v>5810253.173046873</v>
      </c>
      <c r="I192" s="318">
        <f t="shared" si="17"/>
        <v>1471012.9760117182</v>
      </c>
    </row>
    <row r="193" spans="3:9">
      <c r="C193" s="290">
        <v>25</v>
      </c>
      <c r="D193" s="155">
        <f>'CPU (Workload)'!O41</f>
        <v>101047934075</v>
      </c>
      <c r="E193" s="219">
        <f>Bandwidth!K153</f>
        <v>305906831.67236334</v>
      </c>
      <c r="F193" s="296">
        <f t="shared" si="16"/>
        <v>75785.950556249998</v>
      </c>
      <c r="G193" s="434">
        <f t="shared" si="18"/>
        <v>2003.90625</v>
      </c>
      <c r="H193" s="307">
        <f>((10000*0.08)+(143360*0.055)+(870400*0.03)+(E193-1024000)*0.02)</f>
        <v>6132453.4334472669</v>
      </c>
      <c r="I193" s="318">
        <f t="shared" si="17"/>
        <v>1552560.8225633793</v>
      </c>
    </row>
    <row r="194" spans="3:9">
      <c r="C194" s="290">
        <v>26</v>
      </c>
      <c r="D194" s="155">
        <f>'CPU (Workload)'!O42</f>
        <v>106369435150</v>
      </c>
      <c r="E194" s="219">
        <f>Bandwidth!K154</f>
        <v>322016844.69238275</v>
      </c>
      <c r="F194" s="296">
        <f t="shared" si="16"/>
        <v>79777.076362499996</v>
      </c>
      <c r="G194" s="434">
        <f t="shared" si="18"/>
        <v>2003.90625</v>
      </c>
      <c r="H194" s="307">
        <f>((10000*0.08)+(143360*0.055)+(870400*0.03)+(E194-1024000)*0.02)</f>
        <v>6454653.6938476553</v>
      </c>
      <c r="I194" s="318">
        <f t="shared" si="17"/>
        <v>1634108.6691150388</v>
      </c>
    </row>
    <row r="195" spans="3:9">
      <c r="C195" s="290">
        <v>27</v>
      </c>
      <c r="D195" s="155">
        <f>'CPU (Workload)'!O43</f>
        <v>111690936225</v>
      </c>
      <c r="E195" s="219">
        <f>Bandwidth!K155</f>
        <v>338126857.71240234</v>
      </c>
      <c r="F195" s="296">
        <f t="shared" si="16"/>
        <v>83768.202168749995</v>
      </c>
      <c r="G195" s="434">
        <f t="shared" si="18"/>
        <v>2003.90625</v>
      </c>
      <c r="H195" s="307">
        <f>((10000*0.08)+(143360*0.055)+(870400*0.03)+(E195-1024000)*0.02)</f>
        <v>6776853.9542480465</v>
      </c>
      <c r="I195" s="318">
        <f t="shared" si="17"/>
        <v>1715656.515666699</v>
      </c>
    </row>
    <row r="196" spans="3:9">
      <c r="C196" s="290">
        <v>28</v>
      </c>
      <c r="D196" s="155">
        <f>'CPU (Workload)'!O44</f>
        <v>117012437300</v>
      </c>
      <c r="E196" s="219">
        <f>Bandwidth!K156</f>
        <v>354236870.73242182</v>
      </c>
      <c r="F196" s="296">
        <f t="shared" si="16"/>
        <v>87759.327974999993</v>
      </c>
      <c r="G196" s="434">
        <f t="shared" si="18"/>
        <v>2003.90625</v>
      </c>
      <c r="H196" s="307">
        <f>((10000*0.08)+(143360*0.055)+(870400*0.03)+(E196-1024000)*0.02)</f>
        <v>7099054.2146484358</v>
      </c>
      <c r="I196" s="318">
        <f t="shared" si="17"/>
        <v>1797204.362218359</v>
      </c>
    </row>
    <row r="197" spans="3:9">
      <c r="C197" s="290">
        <v>29</v>
      </c>
      <c r="D197" s="155">
        <f>'CPU (Workload)'!O45</f>
        <v>122333938375</v>
      </c>
      <c r="E197" s="219">
        <f>Bandwidth!K157</f>
        <v>370346883.75244135</v>
      </c>
      <c r="F197" s="296">
        <f t="shared" si="16"/>
        <v>91750.453781250006</v>
      </c>
      <c r="G197" s="434">
        <f t="shared" si="18"/>
        <v>2003.90625</v>
      </c>
      <c r="H197" s="307">
        <f>((10000*0.08)+(143360*0.055)+(870400*0.03)+(E197-1024000)*0.02)</f>
        <v>7421254.475048827</v>
      </c>
      <c r="I197" s="318">
        <f t="shared" si="17"/>
        <v>1878752.2087700192</v>
      </c>
    </row>
    <row r="198" spans="3:9">
      <c r="C198" s="290">
        <v>30</v>
      </c>
      <c r="D198" s="155">
        <f>'CPU (Workload)'!O46</f>
        <v>127655439450</v>
      </c>
      <c r="E198" s="219">
        <f>Bandwidth!K158</f>
        <v>386456896.77246094</v>
      </c>
      <c r="F198" s="296">
        <f t="shared" si="16"/>
        <v>95741.579587500004</v>
      </c>
      <c r="G198" s="434">
        <f t="shared" si="18"/>
        <v>2003.90625</v>
      </c>
      <c r="H198" s="307">
        <f>((10000*0.08)+(143360*0.055)+(870400*0.03)+(E198-1024000)*0.02)</f>
        <v>7743454.7354492191</v>
      </c>
      <c r="I198" s="318">
        <f t="shared" si="17"/>
        <v>1960300.0553216797</v>
      </c>
    </row>
    <row r="199" spans="3:9">
      <c r="C199" s="290">
        <v>31</v>
      </c>
      <c r="D199" s="155">
        <f>'CPU (Workload)'!O47</f>
        <v>134744042400</v>
      </c>
      <c r="E199" s="219">
        <f>Bandwidth!K159</f>
        <v>407916534.609375</v>
      </c>
      <c r="F199" s="296">
        <f t="shared" si="16"/>
        <v>101058.0318</v>
      </c>
      <c r="G199" s="434">
        <f t="shared" si="18"/>
        <v>2003.90625</v>
      </c>
      <c r="H199" s="307">
        <f>((10000*0.08)+(143360*0.055)+(870400*0.03)+(E199-1024000)*0.02)</f>
        <v>8172647.4921875</v>
      </c>
      <c r="I199" s="318">
        <f t="shared" si="17"/>
        <v>2068927.357559375</v>
      </c>
    </row>
    <row r="200" spans="3:9">
      <c r="C200" s="290">
        <v>32</v>
      </c>
      <c r="D200" s="155">
        <f>'CPU (Workload)'!O48</f>
        <v>141832645350</v>
      </c>
      <c r="E200" s="219">
        <f>Bandwidth!K160</f>
        <v>429376172.44628912</v>
      </c>
      <c r="F200" s="296">
        <f t="shared" si="16"/>
        <v>106374.48401249999</v>
      </c>
      <c r="G200" s="434">
        <f t="shared" si="18"/>
        <v>2003.90625</v>
      </c>
      <c r="H200" s="307">
        <f>((10000*0.08)+(143360*0.055)+(870400*0.03)+(E200-1024000)*0.02)</f>
        <v>8601840.2489257827</v>
      </c>
      <c r="I200" s="318">
        <f t="shared" si="17"/>
        <v>2177554.6597970705</v>
      </c>
    </row>
    <row r="201" spans="3:9">
      <c r="C201" s="290">
        <v>33</v>
      </c>
      <c r="D201" s="155">
        <f>'CPU (Workload)'!O49</f>
        <v>148921248300</v>
      </c>
      <c r="E201" s="219">
        <f>Bandwidth!K161</f>
        <v>450835810.28320312</v>
      </c>
      <c r="F201" s="296">
        <f t="shared" si="16"/>
        <v>111690.936225</v>
      </c>
      <c r="G201" s="434">
        <f t="shared" si="18"/>
        <v>2003.90625</v>
      </c>
      <c r="H201" s="307">
        <f>((10000*0.08)+(143360*0.055)+(870400*0.03)+(E201-1024000)*0.02)</f>
        <v>9031033.0056640636</v>
      </c>
      <c r="I201" s="318">
        <f t="shared" si="17"/>
        <v>2286181.9620347661</v>
      </c>
    </row>
    <row r="202" spans="3:9">
      <c r="C202" s="290">
        <v>34</v>
      </c>
      <c r="D202" s="155">
        <f>'CPU (Workload)'!O50</f>
        <v>156009851250</v>
      </c>
      <c r="E202" s="219">
        <f>Bandwidth!K162</f>
        <v>472295448.12011713</v>
      </c>
      <c r="F202" s="296">
        <f t="shared" si="16"/>
        <v>117007.38843749999</v>
      </c>
      <c r="G202" s="434">
        <f t="shared" si="18"/>
        <v>2003.90625</v>
      </c>
      <c r="H202" s="307">
        <f>((10000*0.08)+(143360*0.055)+(870400*0.03)+(E202-1024000)*0.02)</f>
        <v>9460225.7624023426</v>
      </c>
      <c r="I202" s="318">
        <f t="shared" si="17"/>
        <v>2394809.2642724607</v>
      </c>
    </row>
    <row r="203" spans="3:9">
      <c r="C203" s="290">
        <v>35</v>
      </c>
      <c r="D203" s="155">
        <f>'CPU (Workload)'!O51</f>
        <v>163098454200</v>
      </c>
      <c r="E203" s="219">
        <f>Bandwidth!K163</f>
        <v>493755085.95703119</v>
      </c>
      <c r="F203" s="296">
        <f t="shared" si="16"/>
        <v>122323.84065</v>
      </c>
      <c r="G203" s="434">
        <f t="shared" si="18"/>
        <v>2003.90625</v>
      </c>
      <c r="H203" s="307">
        <f>((10000*0.08)+(143360*0.055)+(870400*0.03)+(E203-1024000)*0.02)</f>
        <v>9889418.5191406254</v>
      </c>
      <c r="I203" s="318">
        <f t="shared" si="17"/>
        <v>2503436.5665101563</v>
      </c>
    </row>
    <row r="204" spans="3:9" ht="17" thickBot="1">
      <c r="C204" s="291">
        <v>36</v>
      </c>
      <c r="D204" s="157">
        <f>'CPU (Workload)'!O52</f>
        <v>170187057150</v>
      </c>
      <c r="E204" s="220">
        <f>Bandwidth!K164</f>
        <v>515214723.79394525</v>
      </c>
      <c r="F204" s="297">
        <f t="shared" si="16"/>
        <v>127640.29286249999</v>
      </c>
      <c r="G204" s="435">
        <f t="shared" si="18"/>
        <v>2003.90625</v>
      </c>
      <c r="H204" s="308">
        <f>((10000*0.08)+(143360*0.055)+(870400*0.03)+(E204-1024000)*0.02)</f>
        <v>10318611.275878906</v>
      </c>
      <c r="I204" s="319">
        <f t="shared" si="17"/>
        <v>2612063.8687478513</v>
      </c>
    </row>
  </sheetData>
  <mergeCells count="16">
    <mergeCell ref="C34:C35"/>
    <mergeCell ref="D34:F34"/>
    <mergeCell ref="G34:J34"/>
    <mergeCell ref="C82:C83"/>
    <mergeCell ref="H82:I82"/>
    <mergeCell ref="J82:K82"/>
    <mergeCell ref="L82:L83"/>
    <mergeCell ref="M82:N82"/>
    <mergeCell ref="C122:C123"/>
    <mergeCell ref="H122:I122"/>
    <mergeCell ref="J122:K122"/>
    <mergeCell ref="L122:L123"/>
    <mergeCell ref="M122:N122"/>
    <mergeCell ref="C166:C167"/>
    <mergeCell ref="D166:E166"/>
    <mergeCell ref="I166:I16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9815-D09F-B848-878A-A4AAED8681D0}">
  <dimension ref="A1:U56"/>
  <sheetViews>
    <sheetView zoomScaleNormal="100" workbookViewId="0">
      <selection activeCell="I27" sqref="I27"/>
    </sheetView>
  </sheetViews>
  <sheetFormatPr baseColWidth="10" defaultRowHeight="16"/>
  <cols>
    <col min="1" max="1" width="23.1640625" customWidth="1"/>
    <col min="2" max="2" width="44.33203125" bestFit="1" customWidth="1"/>
    <col min="3" max="4" width="11.5" bestFit="1" customWidth="1"/>
    <col min="5" max="5" width="12.33203125" bestFit="1" customWidth="1"/>
  </cols>
  <sheetData>
    <row r="1" spans="1:21" ht="19">
      <c r="A1" s="45" t="s">
        <v>243</v>
      </c>
      <c r="U1" s="12"/>
    </row>
    <row r="2" spans="1:21">
      <c r="A2" t="s">
        <v>245</v>
      </c>
      <c r="U2" s="12"/>
    </row>
    <row r="3" spans="1:21">
      <c r="U3" s="12"/>
    </row>
    <row r="4" spans="1:21">
      <c r="C4" s="9" t="s">
        <v>44</v>
      </c>
      <c r="D4" s="9" t="s">
        <v>45</v>
      </c>
      <c r="E4" s="9" t="s">
        <v>46</v>
      </c>
      <c r="U4" s="12"/>
    </row>
    <row r="5" spans="1:21">
      <c r="A5" s="9" t="s">
        <v>219</v>
      </c>
      <c r="B5" s="78"/>
      <c r="C5" s="79"/>
      <c r="D5" s="79"/>
      <c r="E5" s="79"/>
      <c r="T5" s="12"/>
    </row>
    <row r="6" spans="1:21">
      <c r="A6" s="9"/>
      <c r="B6" s="86" t="s">
        <v>244</v>
      </c>
      <c r="C6" s="79"/>
      <c r="D6" s="79"/>
      <c r="E6" s="79"/>
      <c r="T6" s="12"/>
    </row>
    <row r="7" spans="1:21">
      <c r="B7" s="11" t="s">
        <v>223</v>
      </c>
      <c r="C7" s="1">
        <v>1500</v>
      </c>
      <c r="D7" s="1">
        <v>1500</v>
      </c>
      <c r="E7" s="1">
        <v>1500</v>
      </c>
      <c r="T7" s="12"/>
    </row>
    <row r="8" spans="1:21">
      <c r="B8" s="189" t="s">
        <v>220</v>
      </c>
      <c r="C8" s="190">
        <f>C7*12*w_space</f>
        <v>120600</v>
      </c>
      <c r="D8" s="190">
        <f>D7*12*w_space</f>
        <v>120600</v>
      </c>
      <c r="E8" s="190">
        <f>E7*12*w_space</f>
        <v>120600</v>
      </c>
      <c r="H8" s="4"/>
      <c r="I8" s="4"/>
      <c r="J8" s="4"/>
      <c r="T8" s="12"/>
    </row>
    <row r="9" spans="1:21">
      <c r="B9" s="84" t="s">
        <v>155</v>
      </c>
      <c r="C9" s="85">
        <v>0</v>
      </c>
      <c r="D9" s="85">
        <v>0</v>
      </c>
      <c r="E9" s="85">
        <v>0</v>
      </c>
      <c r="T9" s="12"/>
    </row>
    <row r="10" spans="1:21">
      <c r="B10" s="84" t="s">
        <v>156</v>
      </c>
      <c r="C10" s="85">
        <f>C7/2*262*50%</f>
        <v>98250</v>
      </c>
      <c r="D10" s="85">
        <f>(D7-C7)/2*262*50%</f>
        <v>0</v>
      </c>
      <c r="E10" s="85">
        <f>(E7-D7)/2*262*50%</f>
        <v>0</v>
      </c>
      <c r="T10" s="12"/>
    </row>
    <row r="11" spans="1:21">
      <c r="B11" s="84" t="s">
        <v>163</v>
      </c>
      <c r="C11" s="191"/>
      <c r="D11" s="192"/>
      <c r="E11" s="192"/>
      <c r="T11" s="12"/>
    </row>
    <row r="12" spans="1:21">
      <c r="B12" s="84" t="s">
        <v>164</v>
      </c>
      <c r="C12" s="85">
        <f>1%*SUM(C9:C10)</f>
        <v>982.5</v>
      </c>
      <c r="D12" s="85">
        <f>1%*SUM(D9:D10)</f>
        <v>0</v>
      </c>
      <c r="E12" s="85">
        <f>1%*SUM(E9:E10)</f>
        <v>0</v>
      </c>
      <c r="T12" s="12"/>
    </row>
    <row r="13" spans="1:21">
      <c r="B13" s="84" t="s">
        <v>165</v>
      </c>
      <c r="C13" s="2"/>
      <c r="U13" s="12"/>
    </row>
    <row r="14" spans="1:21">
      <c r="B14" s="28" t="s">
        <v>134</v>
      </c>
      <c r="C14" s="4">
        <v>12</v>
      </c>
      <c r="D14" s="4">
        <v>0</v>
      </c>
      <c r="E14" s="4">
        <v>0</v>
      </c>
      <c r="U14" s="12"/>
    </row>
    <row r="15" spans="1:21">
      <c r="B15" s="28" t="s">
        <v>129</v>
      </c>
      <c r="C15" s="4">
        <f>ROUNDUP(C14/144,0)</f>
        <v>1</v>
      </c>
      <c r="D15" s="4">
        <f t="shared" ref="D15:E15" si="0">ROUNDUP(D14/144,0)</f>
        <v>0</v>
      </c>
      <c r="E15" s="4">
        <f t="shared" si="0"/>
        <v>0</v>
      </c>
      <c r="U15" s="12"/>
    </row>
    <row r="16" spans="1:21">
      <c r="B16" s="28" t="s">
        <v>131</v>
      </c>
      <c r="C16" s="1">
        <f>C15*fiber_run*110%</f>
        <v>550</v>
      </c>
      <c r="D16" s="1">
        <f>D15*fiber_run*110%</f>
        <v>0</v>
      </c>
      <c r="E16" s="1">
        <f>E15*fiber_run*110%</f>
        <v>0</v>
      </c>
      <c r="U16" s="12"/>
    </row>
    <row r="17" spans="1:21">
      <c r="B17" s="28" t="s">
        <v>132</v>
      </c>
      <c r="C17" s="48">
        <f>C16*fiber_cost</f>
        <v>1083.5</v>
      </c>
      <c r="D17" s="48">
        <f>D16*fiber_cost</f>
        <v>0</v>
      </c>
      <c r="E17" s="48">
        <f>E16*fiber_cost</f>
        <v>0</v>
      </c>
      <c r="U17" s="12"/>
    </row>
    <row r="18" spans="1:21">
      <c r="B18" s="28" t="s">
        <v>135</v>
      </c>
      <c r="C18" s="48">
        <f>5000</f>
        <v>5000</v>
      </c>
      <c r="D18" s="48">
        <f t="shared" ref="D18:E18" si="1">20000*D15</f>
        <v>0</v>
      </c>
      <c r="E18" s="48">
        <f t="shared" si="1"/>
        <v>0</v>
      </c>
      <c r="U18" s="12"/>
    </row>
    <row r="19" spans="1:21">
      <c r="B19" s="40" t="s">
        <v>136</v>
      </c>
      <c r="C19" s="42">
        <v>0</v>
      </c>
      <c r="D19" s="42">
        <f t="shared" ref="D19:E19" si="2">SUM(D17:D18)</f>
        <v>0</v>
      </c>
      <c r="E19" s="42">
        <f t="shared" si="2"/>
        <v>0</v>
      </c>
      <c r="U19" s="12"/>
    </row>
    <row r="20" spans="1:21">
      <c r="B20" s="90" t="s">
        <v>170</v>
      </c>
      <c r="C20" s="91">
        <f>C7/2*65*25%</f>
        <v>12187.5</v>
      </c>
      <c r="D20" s="91">
        <f>(D7-C7)/2*65</f>
        <v>0</v>
      </c>
      <c r="E20" s="91">
        <f>(E7-D7)/2*65</f>
        <v>0</v>
      </c>
      <c r="U20" s="12"/>
    </row>
    <row r="21" spans="1:21">
      <c r="B21" s="84" t="s">
        <v>166</v>
      </c>
      <c r="C21" s="42">
        <v>0</v>
      </c>
      <c r="D21" s="20">
        <v>0</v>
      </c>
      <c r="E21" s="20">
        <v>0</v>
      </c>
      <c r="U21" s="12"/>
    </row>
    <row r="22" spans="1:21">
      <c r="B22" s="19" t="s">
        <v>265</v>
      </c>
      <c r="C22" s="79">
        <f>SUM(C8:C12,C19,C20,C21)</f>
        <v>232020</v>
      </c>
      <c r="D22" s="79">
        <f t="shared" ref="D22:E22" si="3">SUM(D8:D12,D19,D20,D21)</f>
        <v>120600</v>
      </c>
      <c r="E22" s="79">
        <f t="shared" si="3"/>
        <v>120600</v>
      </c>
      <c r="T22" s="12"/>
    </row>
    <row r="23" spans="1:21">
      <c r="A23" s="9" t="s">
        <v>222</v>
      </c>
      <c r="B23" s="21"/>
      <c r="C23" s="79"/>
      <c r="D23" s="83"/>
      <c r="E23" s="83"/>
      <c r="T23" s="12"/>
    </row>
    <row r="24" spans="1:21">
      <c r="B24" s="14" t="s">
        <v>157</v>
      </c>
      <c r="C24" s="20"/>
      <c r="D24" s="20"/>
      <c r="E24" s="20"/>
      <c r="U24" s="12"/>
    </row>
    <row r="25" spans="1:21">
      <c r="A25" s="9"/>
      <c r="B25" s="76" t="s">
        <v>162</v>
      </c>
      <c r="C25" s="22">
        <f>C28/24/365</f>
        <v>7.5</v>
      </c>
      <c r="D25" s="22">
        <f t="shared" ref="D25:E25" si="4">D28/24/365</f>
        <v>7.5</v>
      </c>
      <c r="E25" s="22">
        <f t="shared" si="4"/>
        <v>7.5</v>
      </c>
      <c r="U25" s="12"/>
    </row>
    <row r="26" spans="1:21">
      <c r="B26" s="76" t="s">
        <v>160</v>
      </c>
      <c r="C26" s="1">
        <f>1*5*24*365</f>
        <v>43800</v>
      </c>
      <c r="D26" s="1">
        <f t="shared" ref="D26:E26" si="5">1*5*24*365</f>
        <v>43800</v>
      </c>
      <c r="E26" s="1">
        <f t="shared" si="5"/>
        <v>43800</v>
      </c>
      <c r="T26" s="12"/>
    </row>
    <row r="27" spans="1:21">
      <c r="B27" s="76" t="s">
        <v>161</v>
      </c>
      <c r="C27" s="1">
        <f>C26*50%</f>
        <v>21900</v>
      </c>
      <c r="D27" s="1">
        <f t="shared" ref="D27:E27" si="6">D26*50%</f>
        <v>21900</v>
      </c>
      <c r="E27" s="1">
        <f t="shared" si="6"/>
        <v>21900</v>
      </c>
      <c r="T27" s="12"/>
    </row>
    <row r="28" spans="1:21">
      <c r="B28" s="76" t="s">
        <v>159</v>
      </c>
      <c r="C28" s="1">
        <f>SUM(C26:C27)</f>
        <v>65700</v>
      </c>
      <c r="D28" s="1">
        <f t="shared" ref="D28:E28" si="7">SUM(D26:D27)</f>
        <v>65700</v>
      </c>
      <c r="E28" s="1">
        <f t="shared" si="7"/>
        <v>65700</v>
      </c>
      <c r="T28" s="12"/>
    </row>
    <row r="29" spans="1:21">
      <c r="B29" s="197" t="s">
        <v>167</v>
      </c>
      <c r="C29" s="190">
        <f>C28*ne_pwr</f>
        <v>4099.6799999999994</v>
      </c>
      <c r="D29" s="190">
        <f>D28*ne_pwr</f>
        <v>4099.6799999999994</v>
      </c>
      <c r="E29" s="190">
        <f>E28*ne_pwr</f>
        <v>4099.6799999999994</v>
      </c>
      <c r="T29" s="12"/>
    </row>
    <row r="30" spans="1:21">
      <c r="B30" s="198" t="s">
        <v>168</v>
      </c>
      <c r="C30" s="85">
        <f>2*1000*ne_it*12*50%</f>
        <v>5400</v>
      </c>
      <c r="D30" s="85">
        <f>2*1000*ne_it*12*50%</f>
        <v>5400</v>
      </c>
      <c r="E30" s="85">
        <f>2*1000*ne_it*12*50%</f>
        <v>5400</v>
      </c>
      <c r="U30" s="12"/>
    </row>
    <row r="31" spans="1:21">
      <c r="B31" s="86" t="s">
        <v>172</v>
      </c>
      <c r="C31" s="85">
        <v>0</v>
      </c>
      <c r="D31" s="85">
        <v>0</v>
      </c>
      <c r="E31" s="85">
        <v>0</v>
      </c>
      <c r="U31" s="12"/>
    </row>
    <row r="32" spans="1:21">
      <c r="B32" s="198" t="s">
        <v>150</v>
      </c>
      <c r="C32" s="199">
        <v>0</v>
      </c>
      <c r="D32" s="199">
        <v>0</v>
      </c>
      <c r="E32" s="199">
        <v>0</v>
      </c>
      <c r="T32" s="12"/>
    </row>
    <row r="33" spans="1:21">
      <c r="B33" s="19" t="s">
        <v>169</v>
      </c>
      <c r="C33" s="87">
        <f>SUM(C29,C30,C31,C32)</f>
        <v>9499.68</v>
      </c>
      <c r="D33" s="87">
        <f t="shared" ref="D33:E33" si="8">SUM(D29,D30,D31,D32)</f>
        <v>9499.68</v>
      </c>
      <c r="E33" s="87">
        <f t="shared" si="8"/>
        <v>9499.68</v>
      </c>
      <c r="U33" s="12"/>
    </row>
    <row r="34" spans="1:21">
      <c r="A34" s="19" t="s">
        <v>151</v>
      </c>
      <c r="U34" s="12"/>
    </row>
    <row r="35" spans="1:21">
      <c r="B35" s="81" t="s">
        <v>231</v>
      </c>
      <c r="C35" s="48">
        <f>D55*1000</f>
        <v>244752</v>
      </c>
      <c r="D35" s="42">
        <f>C35*1.03</f>
        <v>252094.56</v>
      </c>
      <c r="E35" s="42">
        <f>D35*1.03</f>
        <v>259657.39680000002</v>
      </c>
      <c r="U35" s="12"/>
    </row>
    <row r="36" spans="1:21">
      <c r="B36" s="81" t="s">
        <v>232</v>
      </c>
      <c r="C36" s="48">
        <f>E55*1000</f>
        <v>407920</v>
      </c>
      <c r="D36" s="42">
        <f t="shared" ref="D36:E40" si="9">C36*1.03</f>
        <v>420157.60000000003</v>
      </c>
      <c r="E36" s="42">
        <f t="shared" si="9"/>
        <v>432762.32800000004</v>
      </c>
      <c r="U36" s="12"/>
    </row>
    <row r="37" spans="1:21">
      <c r="B37" s="81" t="s">
        <v>233</v>
      </c>
      <c r="C37" s="48">
        <f>F55*1000</f>
        <v>319720</v>
      </c>
      <c r="D37" s="42">
        <f t="shared" si="9"/>
        <v>329311.60000000003</v>
      </c>
      <c r="E37" s="42">
        <f>D37*1.03*1.333</f>
        <v>452141.53368400002</v>
      </c>
      <c r="U37" s="12"/>
    </row>
    <row r="38" spans="1:21">
      <c r="B38" s="81" t="s">
        <v>153</v>
      </c>
      <c r="C38" s="48">
        <f>G55*1000</f>
        <v>0</v>
      </c>
      <c r="D38" s="42">
        <f t="shared" si="9"/>
        <v>0</v>
      </c>
      <c r="E38" s="42">
        <f t="shared" si="9"/>
        <v>0</v>
      </c>
      <c r="U38" s="12"/>
    </row>
    <row r="39" spans="1:21">
      <c r="B39" s="81" t="s">
        <v>152</v>
      </c>
      <c r="C39" s="48">
        <f>E56*C7</f>
        <v>0</v>
      </c>
      <c r="D39" s="42">
        <f>C39*1.03</f>
        <v>0</v>
      </c>
      <c r="E39" s="42">
        <f>D39*1.03</f>
        <v>0</v>
      </c>
      <c r="U39" s="12"/>
    </row>
    <row r="40" spans="1:21">
      <c r="B40" s="19" t="s">
        <v>154</v>
      </c>
      <c r="C40" s="87">
        <f>SUM(C35:C38)</f>
        <v>972392</v>
      </c>
      <c r="D40" s="87">
        <f t="shared" si="9"/>
        <v>1001563.76</v>
      </c>
      <c r="E40" s="87">
        <f t="shared" si="9"/>
        <v>1031610.6728000001</v>
      </c>
      <c r="U40" s="12"/>
    </row>
    <row r="41" spans="1:21">
      <c r="A41" s="9" t="s">
        <v>171</v>
      </c>
      <c r="B41" s="201">
        <f>SUM(C41:E41)</f>
        <v>3507285.4728000001</v>
      </c>
      <c r="C41" s="87">
        <f>SUM(C22,C33,C40)</f>
        <v>1213911.68</v>
      </c>
      <c r="D41" s="87">
        <f>SUM(D22,D33,D40)</f>
        <v>1131663.44</v>
      </c>
      <c r="E41" s="87">
        <f>SUM(E22,E33,E40)</f>
        <v>1161710.3528</v>
      </c>
      <c r="U41" s="12"/>
    </row>
    <row r="42" spans="1:21">
      <c r="B42" s="78"/>
      <c r="C42" s="82"/>
      <c r="D42" s="82"/>
      <c r="E42" s="82"/>
      <c r="U42" s="12"/>
    </row>
    <row r="43" spans="1:21">
      <c r="B43" s="78"/>
      <c r="C43" s="82"/>
      <c r="D43" s="82"/>
      <c r="E43" s="82"/>
      <c r="U43" s="12"/>
    </row>
    <row r="44" spans="1:21">
      <c r="U44" s="12"/>
    </row>
    <row r="45" spans="1:21">
      <c r="U45" s="12"/>
    </row>
    <row r="46" spans="1:21">
      <c r="U46" s="12"/>
    </row>
    <row r="47" spans="1:21">
      <c r="U47" s="12"/>
    </row>
    <row r="48" spans="1:21">
      <c r="B48" t="s">
        <v>158</v>
      </c>
      <c r="U48" s="12"/>
    </row>
    <row r="49" spans="2:21">
      <c r="U49" s="12"/>
    </row>
    <row r="50" spans="2:21" ht="34">
      <c r="D50" s="204" t="s">
        <v>229</v>
      </c>
      <c r="E50" s="205" t="s">
        <v>230</v>
      </c>
      <c r="F50" s="205" t="s">
        <v>224</v>
      </c>
      <c r="U50" s="12"/>
    </row>
    <row r="51" spans="2:21">
      <c r="B51" t="s">
        <v>138</v>
      </c>
      <c r="C51" t="s">
        <v>139</v>
      </c>
      <c r="D51" s="202">
        <f>E51*120%</f>
        <v>122.376</v>
      </c>
      <c r="E51" s="202">
        <f>ne_admin/1000</f>
        <v>101.98</v>
      </c>
      <c r="F51" s="202">
        <f>ne_tech/1000</f>
        <v>79.930000000000007</v>
      </c>
      <c r="U51" s="12"/>
    </row>
    <row r="52" spans="2:21">
      <c r="B52" t="s">
        <v>140</v>
      </c>
      <c r="C52" t="s">
        <v>141</v>
      </c>
      <c r="D52" s="202">
        <v>1</v>
      </c>
      <c r="E52" s="202">
        <v>2</v>
      </c>
      <c r="F52" s="202">
        <v>2</v>
      </c>
      <c r="U52" s="12"/>
    </row>
    <row r="53" spans="2:21">
      <c r="B53" t="s">
        <v>142</v>
      </c>
      <c r="C53" t="s">
        <v>141</v>
      </c>
      <c r="D53" s="202">
        <v>2</v>
      </c>
      <c r="E53" s="202">
        <v>2</v>
      </c>
      <c r="F53" s="202">
        <v>2</v>
      </c>
      <c r="U53" s="12"/>
    </row>
    <row r="54" spans="2:21">
      <c r="B54" t="s">
        <v>143</v>
      </c>
      <c r="C54" t="s">
        <v>144</v>
      </c>
      <c r="D54" s="203">
        <v>0</v>
      </c>
      <c r="E54" s="203">
        <v>0</v>
      </c>
      <c r="F54" s="203">
        <v>0</v>
      </c>
      <c r="U54" s="12"/>
    </row>
    <row r="55" spans="2:21">
      <c r="B55" t="s">
        <v>145</v>
      </c>
      <c r="C55" t="s">
        <v>139</v>
      </c>
      <c r="D55" s="202">
        <f>D52*D53*D51*(1+D54)</f>
        <v>244.75200000000001</v>
      </c>
      <c r="E55" s="202">
        <f>E52*E53*E51*(1+E54)</f>
        <v>407.92</v>
      </c>
      <c r="F55" s="202">
        <f>F52*F53*F51*(1+F54)</f>
        <v>319.72000000000003</v>
      </c>
      <c r="U55" s="12"/>
    </row>
    <row r="56" spans="2:21">
      <c r="B56" t="s">
        <v>146</v>
      </c>
      <c r="E56" s="20">
        <v>0</v>
      </c>
      <c r="F56" t="s">
        <v>147</v>
      </c>
      <c r="U56" s="1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EA7B-0CC3-3A43-BF87-72956B9431CD}">
  <dimension ref="A2:AB60"/>
  <sheetViews>
    <sheetView topLeftCell="A3" zoomScale="120" zoomScaleNormal="120" workbookViewId="0">
      <selection activeCell="B15" sqref="B15"/>
    </sheetView>
  </sheetViews>
  <sheetFormatPr baseColWidth="10" defaultColWidth="12.5" defaultRowHeight="16"/>
  <cols>
    <col min="1" max="1" width="49.33203125" bestFit="1" customWidth="1"/>
    <col min="2" max="2" width="12.5" customWidth="1"/>
    <col min="5" max="5" width="12.5" style="43" customWidth="1"/>
    <col min="6" max="6" width="12.5" customWidth="1"/>
    <col min="7" max="7" width="12.5" style="43" customWidth="1"/>
  </cols>
  <sheetData>
    <row r="2" spans="1:10">
      <c r="A2" s="9" t="s">
        <v>52</v>
      </c>
    </row>
    <row r="3" spans="1:10">
      <c r="A3" s="21" t="s">
        <v>54</v>
      </c>
      <c r="B3" s="1">
        <v>40000000</v>
      </c>
    </row>
    <row r="4" spans="1:10">
      <c r="A4" s="21"/>
      <c r="B4" s="1"/>
    </row>
    <row r="5" spans="1:10">
      <c r="A5" s="21" t="s">
        <v>96</v>
      </c>
      <c r="B5" s="66" t="s">
        <v>97</v>
      </c>
      <c r="C5" s="52" t="s">
        <v>98</v>
      </c>
    </row>
    <row r="6" spans="1:10">
      <c r="A6" s="21"/>
      <c r="B6">
        <v>44</v>
      </c>
      <c r="C6" s="24">
        <f>ROUND(tot_req_hr/3600,3)</f>
        <v>1.2E-2</v>
      </c>
    </row>
    <row r="7" spans="1:10">
      <c r="A7" s="21"/>
      <c r="B7" s="24"/>
    </row>
    <row r="8" spans="1:10" ht="34">
      <c r="A8" s="60" t="s">
        <v>99</v>
      </c>
      <c r="B8" s="53" t="s">
        <v>89</v>
      </c>
      <c r="C8" s="53" t="s">
        <v>90</v>
      </c>
      <c r="D8" s="53" t="s">
        <v>91</v>
      </c>
      <c r="E8" s="143" t="s">
        <v>94</v>
      </c>
      <c r="F8" s="53" t="s">
        <v>92</v>
      </c>
      <c r="G8" s="53" t="s">
        <v>93</v>
      </c>
      <c r="H8" s="53" t="s">
        <v>1</v>
      </c>
      <c r="I8" s="53" t="s">
        <v>95</v>
      </c>
      <c r="J8" s="52" t="s">
        <v>88</v>
      </c>
    </row>
    <row r="9" spans="1:10">
      <c r="A9" s="21"/>
      <c r="B9">
        <v>112</v>
      </c>
      <c r="C9">
        <v>192</v>
      </c>
      <c r="D9">
        <v>240</v>
      </c>
      <c r="E9" s="173">
        <v>0.2</v>
      </c>
      <c r="F9" s="17">
        <v>0.6</v>
      </c>
      <c r="G9" s="17">
        <v>0.2</v>
      </c>
      <c r="H9">
        <v>192</v>
      </c>
      <c r="I9">
        <v>24</v>
      </c>
      <c r="J9" s="39">
        <f>stream_req/tot_req_hr</f>
        <v>0.54545454545454541</v>
      </c>
    </row>
    <row r="10" spans="1:10">
      <c r="A10" s="21"/>
    </row>
    <row r="11" spans="1:10" ht="34">
      <c r="A11" s="21" t="s">
        <v>100</v>
      </c>
      <c r="B11" s="9" t="s">
        <v>23</v>
      </c>
      <c r="C11" s="53" t="s">
        <v>95</v>
      </c>
      <c r="D11" s="52" t="s">
        <v>88</v>
      </c>
    </row>
    <row r="12" spans="1:10">
      <c r="A12" s="21"/>
      <c r="B12">
        <f>7.2/1024</f>
        <v>7.0312500000000002E-3</v>
      </c>
      <c r="C12">
        <v>4</v>
      </c>
      <c r="D12" s="39">
        <f>down_req/tot_req_hr</f>
        <v>9.0909090909090912E-2</v>
      </c>
    </row>
    <row r="13" spans="1:10">
      <c r="A13" s="21"/>
      <c r="D13" s="39"/>
    </row>
    <row r="14" spans="1:10" ht="34">
      <c r="A14" s="21" t="s">
        <v>53</v>
      </c>
      <c r="B14" s="53" t="s">
        <v>101</v>
      </c>
      <c r="C14" s="53" t="s">
        <v>95</v>
      </c>
      <c r="D14" s="52" t="s">
        <v>88</v>
      </c>
    </row>
    <row r="15" spans="1:10">
      <c r="A15" s="40" t="s">
        <v>58</v>
      </c>
      <c r="B15">
        <f>0.2/1024</f>
        <v>1.9531250000000001E-4</v>
      </c>
      <c r="C15">
        <v>16</v>
      </c>
      <c r="D15" s="39">
        <f>16/44</f>
        <v>0.36363636363636365</v>
      </c>
    </row>
    <row r="16" spans="1:10">
      <c r="A16" s="28"/>
    </row>
    <row r="17" spans="1:28" ht="17">
      <c r="A17" s="9" t="s">
        <v>57</v>
      </c>
      <c r="B17" s="52" t="s">
        <v>27</v>
      </c>
      <c r="C17" s="52" t="s">
        <v>28</v>
      </c>
      <c r="D17" s="52" t="s">
        <v>0</v>
      </c>
      <c r="E17" s="143" t="s">
        <v>29</v>
      </c>
    </row>
    <row r="18" spans="1:28">
      <c r="A18" s="11"/>
      <c r="B18" s="17">
        <v>0.8</v>
      </c>
      <c r="C18" s="17">
        <v>0.75</v>
      </c>
      <c r="D18" s="17">
        <v>0.8</v>
      </c>
      <c r="E18" s="173">
        <v>0.75</v>
      </c>
    </row>
    <row r="23" spans="1:28">
      <c r="A23" s="19" t="s">
        <v>32</v>
      </c>
    </row>
    <row r="24" spans="1:28" ht="34" customHeight="1">
      <c r="B24" s="382" t="s">
        <v>31</v>
      </c>
      <c r="C24" s="382" t="s">
        <v>40</v>
      </c>
      <c r="D24" s="381" t="s">
        <v>79</v>
      </c>
      <c r="E24" s="381" t="s">
        <v>80</v>
      </c>
      <c r="F24" s="381" t="s">
        <v>81</v>
      </c>
      <c r="G24" s="381" t="s">
        <v>76</v>
      </c>
      <c r="H24" s="381" t="s">
        <v>112</v>
      </c>
      <c r="I24" s="381"/>
      <c r="J24" s="381"/>
      <c r="K24" s="381"/>
      <c r="L24" s="382" t="s">
        <v>113</v>
      </c>
      <c r="M24" s="382"/>
      <c r="N24" s="382"/>
      <c r="O24" s="382"/>
      <c r="P24" s="382" t="s">
        <v>37</v>
      </c>
      <c r="Q24" s="382"/>
      <c r="R24" s="382"/>
      <c r="S24" s="382"/>
      <c r="T24" s="382" t="s">
        <v>48</v>
      </c>
      <c r="U24" s="382"/>
      <c r="V24" s="382"/>
      <c r="W24" s="382"/>
      <c r="X24" s="382" t="s">
        <v>38</v>
      </c>
      <c r="Y24" s="382"/>
      <c r="Z24" s="382"/>
      <c r="AA24" s="382"/>
      <c r="AB24" s="382"/>
    </row>
    <row r="25" spans="1:28">
      <c r="B25" s="382"/>
      <c r="C25" s="382"/>
      <c r="D25" s="381"/>
      <c r="E25" s="381"/>
      <c r="F25" s="381"/>
      <c r="G25" s="381"/>
      <c r="H25" s="25" t="s">
        <v>33</v>
      </c>
      <c r="I25" s="25" t="s">
        <v>34</v>
      </c>
      <c r="J25" s="25" t="s">
        <v>35</v>
      </c>
      <c r="K25" s="54" t="s">
        <v>36</v>
      </c>
      <c r="L25" s="25" t="s">
        <v>33</v>
      </c>
      <c r="M25" s="25" t="s">
        <v>34</v>
      </c>
      <c r="N25" s="25" t="s">
        <v>35</v>
      </c>
      <c r="O25" s="54" t="s">
        <v>36</v>
      </c>
      <c r="P25" s="25" t="s">
        <v>33</v>
      </c>
      <c r="Q25" s="25" t="s">
        <v>34</v>
      </c>
      <c r="R25" s="25" t="s">
        <v>35</v>
      </c>
      <c r="S25" s="54" t="s">
        <v>36</v>
      </c>
      <c r="T25" s="25" t="s">
        <v>33</v>
      </c>
      <c r="U25" s="25" t="s">
        <v>34</v>
      </c>
      <c r="V25" s="25" t="s">
        <v>35</v>
      </c>
      <c r="W25" s="54" t="s">
        <v>36</v>
      </c>
      <c r="X25" s="382"/>
      <c r="Y25" s="25"/>
      <c r="Z25" s="25"/>
      <c r="AA25" s="25"/>
      <c r="AB25" s="25"/>
    </row>
    <row r="26" spans="1:28">
      <c r="A26" s="21" t="s">
        <v>30</v>
      </c>
      <c r="B26" s="23">
        <v>3</v>
      </c>
      <c r="C26" s="23">
        <v>4</v>
      </c>
      <c r="D26" s="22">
        <f>8*mem_limit</f>
        <v>6.4</v>
      </c>
      <c r="E26" s="174">
        <f>850*disk_limit</f>
        <v>637.5</v>
      </c>
      <c r="F26" s="22">
        <f>(gen_l_ports-1)*bw_limit</f>
        <v>0.75</v>
      </c>
      <c r="G26" s="58">
        <v>2</v>
      </c>
      <c r="H26" s="1">
        <v>750</v>
      </c>
      <c r="I26" s="1">
        <v>1125</v>
      </c>
      <c r="J26" s="1">
        <v>1500</v>
      </c>
      <c r="K26" s="55">
        <v>1875</v>
      </c>
      <c r="L26" s="1">
        <f t="shared" ref="L26:O27" si="0">H26/tot_req_sec</f>
        <v>62500</v>
      </c>
      <c r="M26" s="1">
        <f t="shared" si="0"/>
        <v>93750</v>
      </c>
      <c r="N26" s="1">
        <f t="shared" si="0"/>
        <v>125000</v>
      </c>
      <c r="O26" s="55">
        <f t="shared" si="0"/>
        <v>156250</v>
      </c>
      <c r="P26" s="24">
        <f>0.4*S26</f>
        <v>0.13</v>
      </c>
      <c r="Q26" s="24">
        <f>0.6*S26</f>
        <v>0.19500000000000001</v>
      </c>
      <c r="R26" s="24">
        <f>0.8*S26</f>
        <v>0.26</v>
      </c>
      <c r="S26" s="56">
        <v>0.32500000000000001</v>
      </c>
      <c r="T26" s="5">
        <f>ROUNDDOWN(MIN(max_rpwr/gen_l_pow40,max_ru/gen_l_ru),0)</f>
        <v>14</v>
      </c>
      <c r="U26" s="5">
        <f>ROUNDDOWN(MIN(max_rpwr/gen_l_pow60,max_ru/gen_l_ru),0)</f>
        <v>14</v>
      </c>
      <c r="V26" s="5">
        <f>ROUNDDOWN(MIN(max_rpwr/gen_l_pow80,max_ru/gen_l_ru),0)</f>
        <v>11</v>
      </c>
      <c r="W26" s="57">
        <f>ROUNDDOWN(MIN(max_rpwr/gen_l_pow100,max_ru/gen_l_ru),0)</f>
        <v>9</v>
      </c>
      <c r="X26" s="20">
        <v>850</v>
      </c>
      <c r="Y26" s="20"/>
      <c r="Z26" s="20"/>
      <c r="AA26" s="20"/>
      <c r="AB26" s="20"/>
    </row>
    <row r="27" spans="1:28">
      <c r="A27" s="21" t="s">
        <v>39</v>
      </c>
      <c r="B27" s="23">
        <v>6</v>
      </c>
      <c r="C27" s="23">
        <v>8</v>
      </c>
      <c r="D27" s="22">
        <f>32*mem_limit</f>
        <v>25.6</v>
      </c>
      <c r="E27" s="174">
        <f>2000*disk_limit</f>
        <v>1500</v>
      </c>
      <c r="F27" s="22">
        <f>(gen_xl_ports-1)*bw_limit</f>
        <v>2.25</v>
      </c>
      <c r="G27" s="58">
        <v>4</v>
      </c>
      <c r="H27" s="1">
        <v>1800</v>
      </c>
      <c r="I27" s="1">
        <v>2700</v>
      </c>
      <c r="J27" s="1">
        <v>3600</v>
      </c>
      <c r="K27" s="55">
        <v>4500</v>
      </c>
      <c r="L27" s="1">
        <f t="shared" si="0"/>
        <v>150000</v>
      </c>
      <c r="M27" s="1">
        <f t="shared" si="0"/>
        <v>225000</v>
      </c>
      <c r="N27" s="1">
        <f t="shared" si="0"/>
        <v>300000</v>
      </c>
      <c r="O27" s="55">
        <f t="shared" si="0"/>
        <v>375000</v>
      </c>
      <c r="P27" s="24">
        <f>0.4*S27</f>
        <v>0.2</v>
      </c>
      <c r="Q27" s="24">
        <f>0.6*S27</f>
        <v>0.3</v>
      </c>
      <c r="R27" s="24">
        <f>0.8*S27</f>
        <v>0.4</v>
      </c>
      <c r="S27" s="56">
        <v>0.5</v>
      </c>
      <c r="T27" s="5">
        <f>ROUNDDOWN(MIN(max_rpwr/gen_xl_pow40,max_ru/gen_xl_ru),0)</f>
        <v>7</v>
      </c>
      <c r="U27" s="5">
        <f>ROUNDDOWN(MIN(max_rpwr/gen_xl_pow60,max_ru/gen_xl_ru),0)</f>
        <v>7</v>
      </c>
      <c r="V27" s="5">
        <f>ROUNDDOWN(MIN(max_rpwr/gen_xl_pow80,max_ru/gen_xl_ru),0)</f>
        <v>7</v>
      </c>
      <c r="W27" s="57">
        <f>ROUNDDOWN(MIN(max_rpwr/gen_xl_pow100,max_ru/gen_xl_ru),0)</f>
        <v>6</v>
      </c>
      <c r="X27" s="20">
        <v>2350</v>
      </c>
      <c r="Y27" s="20"/>
      <c r="Z27" s="20"/>
      <c r="AA27" s="20"/>
      <c r="AB27" s="20"/>
    </row>
    <row r="29" spans="1:28" ht="34">
      <c r="A29" s="9" t="s">
        <v>178</v>
      </c>
      <c r="B29" s="52" t="s">
        <v>31</v>
      </c>
      <c r="C29" s="53" t="s">
        <v>80</v>
      </c>
      <c r="D29" s="52" t="s">
        <v>179</v>
      </c>
      <c r="E29" s="143" t="s">
        <v>81</v>
      </c>
      <c r="F29" s="52" t="s">
        <v>71</v>
      </c>
      <c r="G29" s="53" t="s">
        <v>67</v>
      </c>
      <c r="H29" s="52" t="s">
        <v>84</v>
      </c>
    </row>
    <row r="30" spans="1:28">
      <c r="A30" s="11"/>
      <c r="B30" s="1">
        <v>4</v>
      </c>
      <c r="C30" s="1">
        <f>240000*bw_limit</f>
        <v>180000</v>
      </c>
      <c r="D30">
        <v>8</v>
      </c>
      <c r="E30" s="175">
        <f>(nas_ports-2)*10*bw_limit</f>
        <v>45</v>
      </c>
      <c r="F30" s="49">
        <v>1.1200000000000001</v>
      </c>
      <c r="G30" s="59">
        <v>180000</v>
      </c>
      <c r="H30" s="5">
        <f>ROUNDDOWN(MIN(max_rpwr/nas_pwr,max_ru/nas_ru),0)</f>
        <v>2</v>
      </c>
    </row>
    <row r="31" spans="1:28">
      <c r="A31" s="11"/>
      <c r="B31" s="1"/>
      <c r="C31" s="1"/>
      <c r="E31" s="175"/>
      <c r="F31" s="49"/>
      <c r="G31" s="59"/>
      <c r="H31" s="5"/>
    </row>
    <row r="32" spans="1:28">
      <c r="A32" s="9" t="s">
        <v>62</v>
      </c>
    </row>
    <row r="33" spans="1:16">
      <c r="A33" s="11" t="s">
        <v>123</v>
      </c>
      <c r="B33" s="382" t="s">
        <v>63</v>
      </c>
      <c r="C33" s="382" t="s">
        <v>64</v>
      </c>
      <c r="D33" s="381" t="s">
        <v>126</v>
      </c>
      <c r="E33" s="382" t="s">
        <v>65</v>
      </c>
      <c r="F33" s="382"/>
      <c r="G33" s="382"/>
      <c r="H33" s="382"/>
      <c r="I33" s="382"/>
      <c r="J33" s="382"/>
      <c r="K33" s="382"/>
      <c r="L33" s="382"/>
      <c r="M33" s="382"/>
      <c r="N33" s="382"/>
      <c r="O33" s="382"/>
      <c r="P33" s="382"/>
    </row>
    <row r="34" spans="1:16" ht="17">
      <c r="B34" s="382"/>
      <c r="C34" s="382"/>
      <c r="D34" s="381"/>
      <c r="E34" s="176" t="s">
        <v>66</v>
      </c>
      <c r="F34" s="70"/>
      <c r="G34" s="70"/>
      <c r="H34" s="70"/>
      <c r="I34" s="70" t="s">
        <v>68</v>
      </c>
      <c r="J34" s="70"/>
      <c r="K34" s="70"/>
      <c r="L34" s="70"/>
      <c r="M34" s="70" t="s">
        <v>69</v>
      </c>
      <c r="N34" s="70"/>
      <c r="O34" s="70"/>
      <c r="P34" s="70"/>
    </row>
    <row r="35" spans="1:16" ht="34">
      <c r="B35" s="382"/>
      <c r="C35" s="382"/>
      <c r="D35" s="381"/>
      <c r="E35" s="143" t="s">
        <v>122</v>
      </c>
      <c r="F35" s="53" t="s">
        <v>125</v>
      </c>
      <c r="G35" s="53" t="s">
        <v>71</v>
      </c>
      <c r="H35" s="37" t="s">
        <v>67</v>
      </c>
      <c r="I35" s="37" t="s">
        <v>70</v>
      </c>
      <c r="J35" s="67" t="s">
        <v>125</v>
      </c>
      <c r="K35" s="37" t="s">
        <v>71</v>
      </c>
      <c r="L35" s="37" t="s">
        <v>67</v>
      </c>
      <c r="M35" s="37" t="s">
        <v>70</v>
      </c>
      <c r="N35" s="67" t="s">
        <v>125</v>
      </c>
      <c r="O35" s="37" t="s">
        <v>71</v>
      </c>
      <c r="P35" s="37" t="s">
        <v>67</v>
      </c>
    </row>
    <row r="36" spans="1:16">
      <c r="B36" s="48">
        <v>10000</v>
      </c>
      <c r="C36">
        <v>21</v>
      </c>
      <c r="D36">
        <v>28</v>
      </c>
      <c r="E36" s="43">
        <v>8</v>
      </c>
      <c r="F36">
        <f>1*bw_limit</f>
        <v>0.75</v>
      </c>
      <c r="G36" s="43">
        <f>0.009*gig_bw*gig_ports</f>
        <v>5.3999999999999992E-2</v>
      </c>
      <c r="H36" s="48">
        <v>5000</v>
      </c>
      <c r="I36">
        <v>8</v>
      </c>
      <c r="J36">
        <f>2.5*bw_limit</f>
        <v>1.875</v>
      </c>
      <c r="K36" s="69">
        <f>0.009*oc48_bw*oc48_ports</f>
        <v>0.13499999999999998</v>
      </c>
      <c r="L36" s="48">
        <v>5000</v>
      </c>
      <c r="M36">
        <v>4</v>
      </c>
      <c r="N36">
        <f>10*bw_limit</f>
        <v>7.5</v>
      </c>
      <c r="O36" s="49">
        <f>0.009*oc192_bw*oc192_ports</f>
        <v>0.26999999999999996</v>
      </c>
      <c r="P36" s="48">
        <v>12000</v>
      </c>
    </row>
    <row r="37" spans="1:16">
      <c r="A37" s="11"/>
      <c r="B37" s="1"/>
      <c r="C37" s="1"/>
    </row>
    <row r="38" spans="1:16">
      <c r="A38" s="9" t="s">
        <v>86</v>
      </c>
      <c r="B38" s="52" t="s">
        <v>85</v>
      </c>
      <c r="C38" s="52" t="s">
        <v>71</v>
      </c>
      <c r="D38" s="52" t="s">
        <v>87</v>
      </c>
    </row>
    <row r="39" spans="1:16">
      <c r="A39" s="9"/>
      <c r="B39" s="1">
        <v>42</v>
      </c>
      <c r="C39" s="24">
        <v>3</v>
      </c>
      <c r="D39" s="26">
        <v>5000</v>
      </c>
    </row>
    <row r="40" spans="1:16">
      <c r="A40" s="9"/>
    </row>
    <row r="42" spans="1:16">
      <c r="A42" s="19" t="s">
        <v>74</v>
      </c>
    </row>
    <row r="43" spans="1:16">
      <c r="A43" s="11" t="s">
        <v>49</v>
      </c>
      <c r="B43" s="17">
        <v>0.2</v>
      </c>
      <c r="C43" t="s">
        <v>73</v>
      </c>
    </row>
    <row r="44" spans="1:16">
      <c r="A44" s="11" t="s">
        <v>75</v>
      </c>
      <c r="B44" s="1">
        <v>32</v>
      </c>
    </row>
    <row r="45" spans="1:16">
      <c r="A45" s="11" t="s">
        <v>47</v>
      </c>
      <c r="B45" s="38">
        <v>5.1400000000000001E-2</v>
      </c>
    </row>
    <row r="46" spans="1:16">
      <c r="A46" s="11" t="s">
        <v>128</v>
      </c>
      <c r="B46" s="20">
        <v>0.45</v>
      </c>
    </row>
    <row r="47" spans="1:16">
      <c r="A47" s="11" t="s">
        <v>130</v>
      </c>
      <c r="B47" s="1">
        <v>500</v>
      </c>
    </row>
    <row r="48" spans="1:16">
      <c r="A48" s="11" t="s">
        <v>133</v>
      </c>
      <c r="B48" s="20">
        <v>1.97</v>
      </c>
      <c r="F48" s="20"/>
      <c r="G48" s="77"/>
      <c r="H48" s="71"/>
    </row>
    <row r="49" spans="1:11">
      <c r="A49" s="11" t="s">
        <v>137</v>
      </c>
      <c r="B49" s="20">
        <v>100000</v>
      </c>
    </row>
    <row r="50" spans="1:11">
      <c r="A50" s="11" t="s">
        <v>148</v>
      </c>
      <c r="B50" s="20">
        <v>5</v>
      </c>
    </row>
    <row r="51" spans="1:11">
      <c r="A51" s="11" t="s">
        <v>149</v>
      </c>
      <c r="B51" s="20">
        <v>50</v>
      </c>
    </row>
    <row r="52" spans="1:11">
      <c r="A52" s="11" t="s">
        <v>177</v>
      </c>
      <c r="B52" s="39">
        <v>0.01</v>
      </c>
    </row>
    <row r="53" spans="1:11">
      <c r="A53" s="11" t="s">
        <v>227</v>
      </c>
      <c r="B53" s="20">
        <v>10</v>
      </c>
    </row>
    <row r="54" spans="1:11">
      <c r="A54" s="11" t="s">
        <v>237</v>
      </c>
      <c r="B54" s="1">
        <v>12000</v>
      </c>
      <c r="C54" t="s">
        <v>238</v>
      </c>
    </row>
    <row r="55" spans="1:11">
      <c r="D55" s="382" t="s">
        <v>213</v>
      </c>
      <c r="E55" s="382"/>
    </row>
    <row r="56" spans="1:11" ht="51">
      <c r="A56" s="9" t="s">
        <v>211</v>
      </c>
      <c r="B56" s="142" t="s">
        <v>208</v>
      </c>
      <c r="C56" s="142" t="s">
        <v>212</v>
      </c>
      <c r="D56" s="142" t="s">
        <v>214</v>
      </c>
      <c r="E56" s="143" t="s">
        <v>215</v>
      </c>
      <c r="F56" s="180" t="s">
        <v>225</v>
      </c>
      <c r="G56" s="180" t="s">
        <v>226</v>
      </c>
      <c r="H56" s="143" t="s">
        <v>216</v>
      </c>
      <c r="I56" s="145" t="s">
        <v>218</v>
      </c>
      <c r="J56" s="145" t="s">
        <v>221</v>
      </c>
      <c r="K56" s="193" t="s">
        <v>228</v>
      </c>
    </row>
    <row r="57" spans="1:11">
      <c r="B57" t="s">
        <v>204</v>
      </c>
      <c r="C57" s="39">
        <v>0.1792</v>
      </c>
      <c r="D57" s="39">
        <v>0.8</v>
      </c>
      <c r="E57" s="172">
        <v>0.2</v>
      </c>
      <c r="F57" s="195">
        <v>101980</v>
      </c>
      <c r="G57" s="194">
        <v>79930</v>
      </c>
      <c r="H57" s="196">
        <v>6.2399999999999997E-2</v>
      </c>
      <c r="I57" s="194">
        <v>0.45</v>
      </c>
      <c r="J57" s="194">
        <v>11.36</v>
      </c>
      <c r="K57" s="200">
        <v>4.9500000000000004E-3</v>
      </c>
    </row>
    <row r="58" spans="1:11">
      <c r="B58" t="s">
        <v>207</v>
      </c>
      <c r="C58" s="39">
        <v>0.21679999999999999</v>
      </c>
      <c r="D58" s="39">
        <v>0.5</v>
      </c>
      <c r="E58" s="172">
        <v>0.5</v>
      </c>
      <c r="F58" s="195">
        <v>82840</v>
      </c>
      <c r="G58" s="194">
        <v>75950</v>
      </c>
      <c r="H58" s="196">
        <v>7.8600000000000003E-2</v>
      </c>
      <c r="I58" s="194">
        <v>0.45</v>
      </c>
      <c r="J58" s="194">
        <v>4.6399999999999997</v>
      </c>
      <c r="K58" s="200">
        <v>1.5129999999999999E-2</v>
      </c>
    </row>
    <row r="59" spans="1:11">
      <c r="B59" t="s">
        <v>205</v>
      </c>
      <c r="C59" s="39">
        <v>0.371</v>
      </c>
      <c r="D59" s="39">
        <v>0.5</v>
      </c>
      <c r="E59" s="172">
        <v>0.5</v>
      </c>
      <c r="F59" s="195">
        <v>91690</v>
      </c>
      <c r="G59" s="194">
        <v>79370</v>
      </c>
      <c r="H59" s="196">
        <v>5.57E-2</v>
      </c>
      <c r="I59" s="194">
        <v>0.45</v>
      </c>
      <c r="J59" s="194">
        <v>5.0599999999999996</v>
      </c>
      <c r="K59" s="200">
        <v>2.5260000000000001E-2</v>
      </c>
    </row>
    <row r="60" spans="1:11">
      <c r="B60" t="s">
        <v>206</v>
      </c>
      <c r="C60" s="39">
        <v>0.23300000000000001</v>
      </c>
      <c r="D60" s="39">
        <v>0.2</v>
      </c>
      <c r="E60" s="172">
        <v>0.8</v>
      </c>
      <c r="F60" s="195">
        <v>88190</v>
      </c>
      <c r="G60" s="194">
        <v>61110</v>
      </c>
      <c r="H60" s="196">
        <v>7.8700000000000006E-2</v>
      </c>
      <c r="I60" s="194">
        <v>0.45</v>
      </c>
      <c r="J60" s="194">
        <v>6.7</v>
      </c>
      <c r="K60" s="200">
        <v>0.02</v>
      </c>
    </row>
  </sheetData>
  <mergeCells count="17">
    <mergeCell ref="L24:O24"/>
    <mergeCell ref="G24:G25"/>
    <mergeCell ref="D55:E55"/>
    <mergeCell ref="Y24:AB24"/>
    <mergeCell ref="H24:K24"/>
    <mergeCell ref="B33:B35"/>
    <mergeCell ref="C33:C35"/>
    <mergeCell ref="D33:D35"/>
    <mergeCell ref="E33:P33"/>
    <mergeCell ref="X24:X25"/>
    <mergeCell ref="T24:W24"/>
    <mergeCell ref="P24:S24"/>
    <mergeCell ref="B24:B25"/>
    <mergeCell ref="C24:C25"/>
    <mergeCell ref="D24:D25"/>
    <mergeCell ref="E24:E25"/>
    <mergeCell ref="F24:F2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142</vt:i4>
      </vt:variant>
    </vt:vector>
  </HeadingPairs>
  <TitlesOfParts>
    <vt:vector size="152" baseType="lpstr">
      <vt:lpstr>Summary</vt:lpstr>
      <vt:lpstr>User Profile</vt:lpstr>
      <vt:lpstr>CPU (Workload)</vt:lpstr>
      <vt:lpstr>Bandwidth</vt:lpstr>
      <vt:lpstr>Memory</vt:lpstr>
      <vt:lpstr>Storage</vt:lpstr>
      <vt:lpstr>AWS</vt:lpstr>
      <vt:lpstr>GCP</vt:lpstr>
      <vt:lpstr>Space and Labor</vt:lpstr>
      <vt:lpstr>Constants</vt:lpstr>
      <vt:lpstr>acre_cost</vt:lpstr>
      <vt:lpstr>acres</vt:lpstr>
      <vt:lpstr>api_size</vt:lpstr>
      <vt:lpstr>bw_limit</vt:lpstr>
      <vt:lpstr>cpu_limit</vt:lpstr>
      <vt:lpstr>disk_limit</vt:lpstr>
      <vt:lpstr>down_percent</vt:lpstr>
      <vt:lpstr>down_req</vt:lpstr>
      <vt:lpstr>down_song</vt:lpstr>
      <vt:lpstr>fiber_cost</vt:lpstr>
      <vt:lpstr>fiber_run</vt:lpstr>
      <vt:lpstr>fire_supp</vt:lpstr>
      <vt:lpstr>gen_l_bw</vt:lpstr>
      <vt:lpstr>gen_l_core</vt:lpstr>
      <vt:lpstr>gen_l_cost</vt:lpstr>
      <vt:lpstr>gen_l_disk</vt:lpstr>
      <vt:lpstr>gen_l_ports</vt:lpstr>
      <vt:lpstr>gen_l_pow100</vt:lpstr>
      <vt:lpstr>gen_l_pow40</vt:lpstr>
      <vt:lpstr>gen_l_pow60</vt:lpstr>
      <vt:lpstr>gen_l_pow80</vt:lpstr>
      <vt:lpstr>gen_l_ram</vt:lpstr>
      <vt:lpstr>gen_l_ru</vt:lpstr>
      <vt:lpstr>gen_l_spr100</vt:lpstr>
      <vt:lpstr>gen_l_spr40</vt:lpstr>
      <vt:lpstr>gen_l_spr60</vt:lpstr>
      <vt:lpstr>gen_l_spr80</vt:lpstr>
      <vt:lpstr>gen_l_tps100</vt:lpstr>
      <vt:lpstr>gen_l_tps40</vt:lpstr>
      <vt:lpstr>gen_l_tps60</vt:lpstr>
      <vt:lpstr>gen_l_tps80</vt:lpstr>
      <vt:lpstr>gen_l_user100</vt:lpstr>
      <vt:lpstr>gen_l_user40</vt:lpstr>
      <vt:lpstr>gen_l_user60</vt:lpstr>
      <vt:lpstr>gen_l_user80</vt:lpstr>
      <vt:lpstr>gen_xl_bw</vt:lpstr>
      <vt:lpstr>gen_xl_core</vt:lpstr>
      <vt:lpstr>gen_xl_cost</vt:lpstr>
      <vt:lpstr>gen_xl_disk</vt:lpstr>
      <vt:lpstr>gen_xl_ports</vt:lpstr>
      <vt:lpstr>gen_xl_pow100</vt:lpstr>
      <vt:lpstr>gen_xl_pow40</vt:lpstr>
      <vt:lpstr>gen_xl_pow60</vt:lpstr>
      <vt:lpstr>gen_xl_pow80</vt:lpstr>
      <vt:lpstr>gen_xl_ram</vt:lpstr>
      <vt:lpstr>gen_xl_ru</vt:lpstr>
      <vt:lpstr>gen_xl_spr100</vt:lpstr>
      <vt:lpstr>gen_xl_spr40</vt:lpstr>
      <vt:lpstr>gen_xl_spr60</vt:lpstr>
      <vt:lpstr>gen_xl_spr80</vt:lpstr>
      <vt:lpstr>gen_xl_tps100</vt:lpstr>
      <vt:lpstr>gen_xl_tps40</vt:lpstr>
      <vt:lpstr>gen_xl_tps60</vt:lpstr>
      <vt:lpstr>gen_xl_tps80</vt:lpstr>
      <vt:lpstr>gen_xl_user100</vt:lpstr>
      <vt:lpstr>gen_xl_user40</vt:lpstr>
      <vt:lpstr>gen_xl_user60</vt:lpstr>
      <vt:lpstr>gen_xl_user80</vt:lpstr>
      <vt:lpstr>gig_bw</vt:lpstr>
      <vt:lpstr>gig_cost</vt:lpstr>
      <vt:lpstr>gig_ports</vt:lpstr>
      <vt:lpstr>gig_pwr</vt:lpstr>
      <vt:lpstr>hbr_percent</vt:lpstr>
      <vt:lpstr>hw_supt</vt:lpstr>
      <vt:lpstr>ip_tx_cost</vt:lpstr>
      <vt:lpstr>kwh_cost</vt:lpstr>
      <vt:lpstr>lbr_percent</vt:lpstr>
      <vt:lpstr>max_rpwr</vt:lpstr>
      <vt:lpstr>max_ru</vt:lpstr>
      <vt:lpstr>mem_limit</vt:lpstr>
      <vt:lpstr>mod_watt</vt:lpstr>
      <vt:lpstr>mw_admin</vt:lpstr>
      <vt:lpstr>mw_it</vt:lpstr>
      <vt:lpstr>mw_pop</vt:lpstr>
      <vt:lpstr>mw_pwr</vt:lpstr>
      <vt:lpstr>mw_space</vt:lpstr>
      <vt:lpstr>mw_tax</vt:lpstr>
      <vt:lpstr>mw_tech</vt:lpstr>
      <vt:lpstr>mw2ne</vt:lpstr>
      <vt:lpstr>mw2w</vt:lpstr>
      <vt:lpstr>nas_bw</vt:lpstr>
      <vt:lpstr>nas_cost</vt:lpstr>
      <vt:lpstr>nas_disk</vt:lpstr>
      <vt:lpstr>nas_ports</vt:lpstr>
      <vt:lpstr>nas_pwr</vt:lpstr>
      <vt:lpstr>nas_ru</vt:lpstr>
      <vt:lpstr>nas_spr</vt:lpstr>
      <vt:lpstr>ne_admin</vt:lpstr>
      <vt:lpstr>ne_it</vt:lpstr>
      <vt:lpstr>ne_pop</vt:lpstr>
      <vt:lpstr>ne_pwr</vt:lpstr>
      <vt:lpstr>ne_space</vt:lpstr>
      <vt:lpstr>ne_tax</vt:lpstr>
      <vt:lpstr>ne_tech</vt:lpstr>
      <vt:lpstr>ne2ne</vt:lpstr>
      <vt:lpstr>ne2w</vt:lpstr>
      <vt:lpstr>oc192_bw</vt:lpstr>
      <vt:lpstr>oc192_cost</vt:lpstr>
      <vt:lpstr>oc192_ports</vt:lpstr>
      <vt:lpstr>oc192_pwr</vt:lpstr>
      <vt:lpstr>oc48_bw</vt:lpstr>
      <vt:lpstr>oc48_cost</vt:lpstr>
      <vt:lpstr>oc48_ports</vt:lpstr>
      <vt:lpstr>oc48_pwr</vt:lpstr>
      <vt:lpstr>peak_hrs</vt:lpstr>
      <vt:lpstr>perm_percent</vt:lpstr>
      <vt:lpstr>perm_req</vt:lpstr>
      <vt:lpstr>prop_tax</vt:lpstr>
      <vt:lpstr>rack_cost</vt:lpstr>
      <vt:lpstr>rack_sf</vt:lpstr>
      <vt:lpstr>req_size</vt:lpstr>
      <vt:lpstr>s_admin</vt:lpstr>
      <vt:lpstr>s_it</vt:lpstr>
      <vt:lpstr>s_pop</vt:lpstr>
      <vt:lpstr>s_pwr</vt:lpstr>
      <vt:lpstr>s_space</vt:lpstr>
      <vt:lpstr>s_tax</vt:lpstr>
      <vt:lpstr>s_tech</vt:lpstr>
      <vt:lpstr>s2ne</vt:lpstr>
      <vt:lpstr>s2w</vt:lpstr>
      <vt:lpstr>sbr_percent</vt:lpstr>
      <vt:lpstr>shelf_cards</vt:lpstr>
      <vt:lpstr>shelf_cost</vt:lpstr>
      <vt:lpstr>shelf_rus</vt:lpstr>
      <vt:lpstr>stream_dur</vt:lpstr>
      <vt:lpstr>stream_hbr</vt:lpstr>
      <vt:lpstr>stream_lbr</vt:lpstr>
      <vt:lpstr>stream_percent</vt:lpstr>
      <vt:lpstr>stream_req</vt:lpstr>
      <vt:lpstr>stream_sbr</vt:lpstr>
      <vt:lpstr>tot_req_hr</vt:lpstr>
      <vt:lpstr>tot_req_sec</vt:lpstr>
      <vt:lpstr>tot_songs</vt:lpstr>
      <vt:lpstr>w_admin</vt:lpstr>
      <vt:lpstr>w_it</vt:lpstr>
      <vt:lpstr>w_pop</vt:lpstr>
      <vt:lpstr>w_pwr</vt:lpstr>
      <vt:lpstr>w_space</vt:lpstr>
      <vt:lpstr>w_tax</vt:lpstr>
      <vt:lpstr>w_tech</vt:lpstr>
      <vt:lpstr>w2ne</vt:lpstr>
      <vt:lpstr>w2w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Crash Davis</dc:creator>
  <cp:lastModifiedBy>Crash Davis</cp:lastModifiedBy>
  <dcterms:created xsi:type="dcterms:W3CDTF">2019-02-18T00:56:54Z</dcterms:created>
  <dcterms:modified xsi:type="dcterms:W3CDTF">2019-04-29T11:47:04Z</dcterms:modified>
</cp:coreProperties>
</file>