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or\Desktop\Matt - Tall City\"/>
    </mc:Choice>
  </mc:AlternateContent>
  <xr:revisionPtr revIDLastSave="0" documentId="13_ncr:1_{5EABAB27-01F6-4857-B5E5-0604513D727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cenario 1" sheetId="2" r:id="rId1"/>
    <sheet name="Scenario 2" sheetId="1" r:id="rId2"/>
    <sheet name="Scenario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N4" i="2" s="1"/>
  <c r="O4" i="2" s="1"/>
  <c r="J5" i="2"/>
  <c r="N5" i="2" s="1"/>
  <c r="O5" i="2" s="1"/>
  <c r="J6" i="2"/>
  <c r="J7" i="2"/>
  <c r="J8" i="2"/>
  <c r="J9" i="2"/>
  <c r="J10" i="2"/>
  <c r="N10" i="2" s="1"/>
  <c r="O10" i="2" s="1"/>
  <c r="J11" i="2"/>
  <c r="N11" i="2" s="1"/>
  <c r="O11" i="2" s="1"/>
  <c r="J3" i="2"/>
  <c r="P2" i="2"/>
  <c r="O2" i="2"/>
  <c r="N3" i="2"/>
  <c r="O3" i="2" s="1"/>
  <c r="P3" i="2" s="1"/>
  <c r="N2" i="2"/>
  <c r="M3" i="2"/>
  <c r="M4" i="2"/>
  <c r="M5" i="2"/>
  <c r="M6" i="2"/>
  <c r="M7" i="2"/>
  <c r="M8" i="2"/>
  <c r="M9" i="2"/>
  <c r="M10" i="2"/>
  <c r="M11" i="2"/>
  <c r="M2" i="2"/>
  <c r="L3" i="2"/>
  <c r="L4" i="2"/>
  <c r="L5" i="2"/>
  <c r="L6" i="2"/>
  <c r="L7" i="2"/>
  <c r="L8" i="2"/>
  <c r="L9" i="2"/>
  <c r="L10" i="2"/>
  <c r="L11" i="2"/>
  <c r="L2" i="2"/>
  <c r="N6" i="2"/>
  <c r="O6" i="2" s="1"/>
  <c r="N7" i="2"/>
  <c r="O7" i="2" s="1"/>
  <c r="N8" i="2"/>
  <c r="O8" i="2" s="1"/>
  <c r="N9" i="2"/>
  <c r="O9" i="2" s="1"/>
  <c r="K2" i="2"/>
  <c r="J2" i="2"/>
  <c r="C20" i="2"/>
  <c r="C18" i="2"/>
  <c r="G3" i="2"/>
  <c r="G4" i="2"/>
  <c r="G5" i="2"/>
  <c r="G6" i="2"/>
  <c r="G7" i="2"/>
  <c r="G8" i="2"/>
  <c r="G9" i="2"/>
  <c r="G10" i="2"/>
  <c r="G11" i="2"/>
  <c r="G2" i="2"/>
  <c r="P4" i="2" l="1"/>
  <c r="P5" i="2" s="1"/>
  <c r="P6" i="2" s="1"/>
  <c r="P7" i="2" s="1"/>
  <c r="P8" i="2" s="1"/>
  <c r="P9" i="2" s="1"/>
  <c r="P10" i="2" s="1"/>
  <c r="P11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3" i="2"/>
  <c r="I3" i="2" s="1"/>
  <c r="K64" i="3" l="1"/>
  <c r="K64" i="1"/>
  <c r="H55" i="3" l="1"/>
  <c r="F55" i="3"/>
  <c r="H48" i="1" l="1"/>
  <c r="F48" i="1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S38" i="3"/>
  <c r="O38" i="3"/>
  <c r="I38" i="3"/>
  <c r="I37" i="3"/>
  <c r="I36" i="3"/>
  <c r="E36" i="3"/>
  <c r="I35" i="3"/>
  <c r="F35" i="3"/>
  <c r="F45" i="3" s="1"/>
  <c r="E35" i="3"/>
  <c r="I34" i="3"/>
  <c r="E34" i="3"/>
  <c r="I33" i="3"/>
  <c r="E33" i="3"/>
  <c r="R32" i="3"/>
  <c r="O32" i="3"/>
  <c r="I32" i="3"/>
  <c r="E32" i="3"/>
  <c r="I31" i="3"/>
  <c r="E31" i="3"/>
  <c r="I30" i="3"/>
  <c r="H30" i="3"/>
  <c r="H35" i="3" s="1"/>
  <c r="H45" i="3" s="1"/>
  <c r="G30" i="3"/>
  <c r="J30" i="3" s="1"/>
  <c r="K30" i="3" s="1"/>
  <c r="F30" i="3"/>
  <c r="B30" i="3"/>
  <c r="K24" i="3"/>
  <c r="K23" i="3"/>
  <c r="K19" i="3"/>
  <c r="L19" i="3" s="1"/>
  <c r="N19" i="3" s="1"/>
  <c r="L18" i="3"/>
  <c r="N18" i="3" s="1"/>
  <c r="K18" i="3"/>
  <c r="K16" i="3"/>
  <c r="K15" i="3"/>
  <c r="L13" i="3"/>
  <c r="N13" i="3" s="1"/>
  <c r="K13" i="3"/>
  <c r="K11" i="3"/>
  <c r="L11" i="3" s="1"/>
  <c r="N11" i="3" s="1"/>
  <c r="K10" i="3"/>
  <c r="L10" i="3" s="1"/>
  <c r="N10" i="3" s="1"/>
  <c r="K8" i="3"/>
  <c r="L8" i="3" s="1"/>
  <c r="N8" i="3" s="1"/>
  <c r="K7" i="3"/>
  <c r="L6" i="3"/>
  <c r="N6" i="3" s="1"/>
  <c r="K6" i="3"/>
  <c r="L5" i="3"/>
  <c r="N5" i="3" s="1"/>
  <c r="K5" i="3"/>
  <c r="K3" i="3"/>
  <c r="L3" i="3" s="1"/>
  <c r="N3" i="3" s="1"/>
  <c r="O3" i="3" s="1"/>
  <c r="P3" i="3" s="1"/>
  <c r="N2" i="3"/>
  <c r="L2" i="3"/>
  <c r="K2" i="3"/>
  <c r="K22" i="3" s="1"/>
  <c r="L22" i="3" s="1"/>
  <c r="N22" i="3" s="1"/>
  <c r="C19" i="2"/>
  <c r="L30" i="1"/>
  <c r="K30" i="1"/>
  <c r="R32" i="1"/>
  <c r="J30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30" i="1"/>
  <c r="G30" i="1"/>
  <c r="F30" i="1"/>
  <c r="S38" i="1"/>
  <c r="O38" i="1"/>
  <c r="E36" i="1"/>
  <c r="E35" i="1"/>
  <c r="E34" i="1"/>
  <c r="E33" i="1"/>
  <c r="E32" i="1"/>
  <c r="E31" i="1"/>
  <c r="O32" i="1"/>
  <c r="O31" i="1"/>
  <c r="O30" i="1"/>
  <c r="B30" i="1"/>
  <c r="L30" i="3" l="1"/>
  <c r="O8" i="3"/>
  <c r="O19" i="3"/>
  <c r="O6" i="3"/>
  <c r="O11" i="3"/>
  <c r="L16" i="3"/>
  <c r="N16" i="3" s="1"/>
  <c r="O16" i="3" s="1"/>
  <c r="K21" i="3"/>
  <c r="L21" i="3" s="1"/>
  <c r="N21" i="3" s="1"/>
  <c r="O22" i="3" s="1"/>
  <c r="L24" i="3"/>
  <c r="N24" i="3" s="1"/>
  <c r="K4" i="3"/>
  <c r="L7" i="3"/>
  <c r="N7" i="3" s="1"/>
  <c r="O7" i="3" s="1"/>
  <c r="K12" i="3"/>
  <c r="L12" i="3" s="1"/>
  <c r="N12" i="3" s="1"/>
  <c r="L15" i="3"/>
  <c r="N15" i="3" s="1"/>
  <c r="K20" i="3"/>
  <c r="L20" i="3" s="1"/>
  <c r="N20" i="3" s="1"/>
  <c r="O20" i="3" s="1"/>
  <c r="L23" i="3"/>
  <c r="N23" i="3" s="1"/>
  <c r="O23" i="3" s="1"/>
  <c r="L4" i="3"/>
  <c r="N4" i="3" s="1"/>
  <c r="O4" i="3" s="1"/>
  <c r="P4" i="3" s="1"/>
  <c r="K9" i="3"/>
  <c r="L9" i="3" s="1"/>
  <c r="N9" i="3" s="1"/>
  <c r="O9" i="3" s="1"/>
  <c r="K17" i="3"/>
  <c r="L17" i="3" s="1"/>
  <c r="N17" i="3" s="1"/>
  <c r="K14" i="3"/>
  <c r="L14" i="3" s="1"/>
  <c r="N14" i="3" s="1"/>
  <c r="O14" i="3" s="1"/>
  <c r="O8" i="1"/>
  <c r="O9" i="1"/>
  <c r="O14" i="1"/>
  <c r="O16" i="1"/>
  <c r="O17" i="1"/>
  <c r="O22" i="1"/>
  <c r="O24" i="1"/>
  <c r="O3" i="1"/>
  <c r="P3" i="1" s="1"/>
  <c r="N3" i="1"/>
  <c r="N4" i="1"/>
  <c r="O4" i="1" s="1"/>
  <c r="N5" i="1"/>
  <c r="O5" i="1" s="1"/>
  <c r="N6" i="1"/>
  <c r="O6" i="1" s="1"/>
  <c r="N7" i="1"/>
  <c r="O7" i="1" s="1"/>
  <c r="N8" i="1"/>
  <c r="N9" i="1"/>
  <c r="N10" i="1"/>
  <c r="O10" i="1" s="1"/>
  <c r="N11" i="1"/>
  <c r="O11" i="1" s="1"/>
  <c r="N12" i="1"/>
  <c r="O12" i="1" s="1"/>
  <c r="N13" i="1"/>
  <c r="O13" i="1" s="1"/>
  <c r="N14" i="1"/>
  <c r="N15" i="1"/>
  <c r="O15" i="1" s="1"/>
  <c r="N16" i="1"/>
  <c r="N17" i="1"/>
  <c r="N18" i="1"/>
  <c r="O18" i="1" s="1"/>
  <c r="N19" i="1"/>
  <c r="O19" i="1" s="1"/>
  <c r="N20" i="1"/>
  <c r="O20" i="1" s="1"/>
  <c r="N21" i="1"/>
  <c r="O21" i="1" s="1"/>
  <c r="N22" i="1"/>
  <c r="N23" i="1"/>
  <c r="O23" i="1" s="1"/>
  <c r="N24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L2" i="1"/>
  <c r="K2" i="1"/>
  <c r="O12" i="3" l="1"/>
  <c r="O13" i="3"/>
  <c r="O17" i="3"/>
  <c r="O18" i="3"/>
  <c r="O15" i="3"/>
  <c r="O24" i="3"/>
  <c r="O21" i="3"/>
  <c r="O10" i="3"/>
  <c r="O5" i="3"/>
  <c r="P5" i="3" s="1"/>
  <c r="D37" i="1"/>
  <c r="B33" i="1"/>
  <c r="E61" i="1"/>
  <c r="C35" i="1"/>
  <c r="D39" i="1"/>
  <c r="B39" i="1"/>
  <c r="B51" i="1"/>
  <c r="D40" i="1"/>
  <c r="B40" i="1"/>
  <c r="D42" i="1"/>
  <c r="B42" i="1"/>
  <c r="B59" i="1"/>
  <c r="D4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6" i="3" l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D57" i="3"/>
  <c r="D60" i="3"/>
  <c r="E42" i="3"/>
  <c r="D61" i="3"/>
  <c r="C45" i="3"/>
  <c r="B52" i="3"/>
  <c r="B54" i="3"/>
  <c r="D37" i="3"/>
  <c r="B55" i="3"/>
  <c r="E43" i="3"/>
  <c r="B56" i="3"/>
  <c r="E58" i="3"/>
  <c r="E51" i="3"/>
  <c r="B59" i="3"/>
  <c r="B31" i="3"/>
  <c r="D49" i="3"/>
  <c r="E57" i="3"/>
  <c r="E46" i="3"/>
  <c r="C57" i="3"/>
  <c r="D34" i="3"/>
  <c r="G34" i="3" s="1"/>
  <c r="J34" i="3" s="1"/>
  <c r="K34" i="3" s="1"/>
  <c r="C36" i="3"/>
  <c r="C31" i="3"/>
  <c r="D58" i="3"/>
  <c r="G58" i="3" s="1"/>
  <c r="J58" i="3" s="1"/>
  <c r="K58" i="3" s="1"/>
  <c r="D54" i="3"/>
  <c r="C52" i="3"/>
  <c r="D48" i="3"/>
  <c r="D43" i="3"/>
  <c r="G43" i="3" s="1"/>
  <c r="J43" i="3" s="1"/>
  <c r="K43" i="3" s="1"/>
  <c r="B40" i="3"/>
  <c r="D36" i="3"/>
  <c r="G36" i="3" s="1"/>
  <c r="J36" i="3" s="1"/>
  <c r="K36" i="3" s="1"/>
  <c r="B41" i="3"/>
  <c r="B38" i="3"/>
  <c r="C44" i="3"/>
  <c r="C35" i="3"/>
  <c r="D55" i="3"/>
  <c r="D39" i="3"/>
  <c r="G39" i="3" s="1"/>
  <c r="J39" i="3" s="1"/>
  <c r="K39" i="3" s="1"/>
  <c r="D47" i="3"/>
  <c r="C41" i="3"/>
  <c r="E38" i="3"/>
  <c r="E54" i="3"/>
  <c r="E62" i="3"/>
  <c r="C58" i="3"/>
  <c r="B32" i="3"/>
  <c r="B57" i="3"/>
  <c r="B50" i="3"/>
  <c r="D35" i="3"/>
  <c r="G35" i="3" s="1"/>
  <c r="J35" i="3" s="1"/>
  <c r="K35" i="3" s="1"/>
  <c r="C43" i="3"/>
  <c r="C56" i="3"/>
  <c r="D33" i="3"/>
  <c r="G33" i="3" s="1"/>
  <c r="J33" i="3" s="1"/>
  <c r="K33" i="3" s="1"/>
  <c r="E39" i="3"/>
  <c r="D56" i="3"/>
  <c r="C61" i="3"/>
  <c r="B44" i="3"/>
  <c r="C32" i="3"/>
  <c r="C55" i="3"/>
  <c r="C37" i="3"/>
  <c r="B51" i="3"/>
  <c r="D62" i="3"/>
  <c r="G62" i="3" s="1"/>
  <c r="J62" i="3" s="1"/>
  <c r="K62" i="3" s="1"/>
  <c r="C60" i="3"/>
  <c r="B37" i="3"/>
  <c r="C51" i="3"/>
  <c r="E45" i="3"/>
  <c r="B48" i="3"/>
  <c r="E50" i="3"/>
  <c r="E55" i="3"/>
  <c r="E59" i="3"/>
  <c r="C38" i="3"/>
  <c r="D46" i="3"/>
  <c r="G46" i="3" s="1"/>
  <c r="J46" i="3" s="1"/>
  <c r="K46" i="3" s="1"/>
  <c r="E44" i="3"/>
  <c r="B35" i="3"/>
  <c r="C53" i="3"/>
  <c r="B33" i="3"/>
  <c r="C54" i="3"/>
  <c r="D38" i="3"/>
  <c r="G38" i="3" s="1"/>
  <c r="J38" i="3" s="1"/>
  <c r="K38" i="3" s="1"/>
  <c r="E52" i="3"/>
  <c r="B34" i="3"/>
  <c r="B43" i="3"/>
  <c r="E37" i="3"/>
  <c r="C39" i="3"/>
  <c r="C59" i="3"/>
  <c r="B49" i="3"/>
  <c r="E56" i="3"/>
  <c r="E40" i="3"/>
  <c r="B45" i="3"/>
  <c r="C34" i="3"/>
  <c r="E53" i="3"/>
  <c r="D51" i="3"/>
  <c r="C62" i="3"/>
  <c r="E49" i="3"/>
  <c r="C49" i="3"/>
  <c r="B61" i="3"/>
  <c r="D41" i="3"/>
  <c r="G41" i="3" s="1"/>
  <c r="J41" i="3" s="1"/>
  <c r="K41" i="3" s="1"/>
  <c r="E60" i="3"/>
  <c r="D44" i="3"/>
  <c r="G44" i="3" s="1"/>
  <c r="J44" i="3" s="1"/>
  <c r="K44" i="3" s="1"/>
  <c r="E61" i="3"/>
  <c r="D59" i="3"/>
  <c r="G59" i="3" s="1"/>
  <c r="J59" i="3" s="1"/>
  <c r="K59" i="3" s="1"/>
  <c r="D53" i="3"/>
  <c r="C48" i="3"/>
  <c r="E48" i="3"/>
  <c r="B58" i="3"/>
  <c r="B46" i="3"/>
  <c r="C33" i="3"/>
  <c r="B60" i="3"/>
  <c r="E41" i="3"/>
  <c r="B62" i="3"/>
  <c r="B36" i="3"/>
  <c r="D50" i="3"/>
  <c r="G50" i="3" s="1"/>
  <c r="J50" i="3" s="1"/>
  <c r="K50" i="3" s="1"/>
  <c r="C46" i="3"/>
  <c r="E47" i="3"/>
  <c r="C47" i="3"/>
  <c r="D45" i="3"/>
  <c r="C42" i="3"/>
  <c r="C40" i="3"/>
  <c r="D32" i="3"/>
  <c r="G32" i="3" s="1"/>
  <c r="J32" i="3" s="1"/>
  <c r="K32" i="3" s="1"/>
  <c r="B42" i="3"/>
  <c r="B39" i="3"/>
  <c r="B53" i="3"/>
  <c r="D52" i="3"/>
  <c r="G52" i="3" s="1"/>
  <c r="J52" i="3" s="1"/>
  <c r="K52" i="3" s="1"/>
  <c r="D31" i="3"/>
  <c r="G31" i="3" s="1"/>
  <c r="J31" i="3" s="1"/>
  <c r="K31" i="3" s="1"/>
  <c r="C50" i="3"/>
  <c r="D40" i="3"/>
  <c r="G40" i="3" s="1"/>
  <c r="J40" i="3" s="1"/>
  <c r="K40" i="3" s="1"/>
  <c r="D34" i="1"/>
  <c r="G34" i="1" s="1"/>
  <c r="J34" i="1" s="1"/>
  <c r="K34" i="1" s="1"/>
  <c r="D32" i="1"/>
  <c r="G32" i="1" s="1"/>
  <c r="J32" i="1" s="1"/>
  <c r="K32" i="1" s="1"/>
  <c r="C43" i="1"/>
  <c r="C31" i="1"/>
  <c r="E62" i="1"/>
  <c r="B41" i="1"/>
  <c r="E53" i="1"/>
  <c r="C33" i="1"/>
  <c r="E60" i="1"/>
  <c r="B37" i="1"/>
  <c r="D59" i="1"/>
  <c r="D43" i="1"/>
  <c r="G43" i="1" s="1"/>
  <c r="J43" i="1" s="1"/>
  <c r="K43" i="1" s="1"/>
  <c r="E57" i="1"/>
  <c r="B49" i="1"/>
  <c r="E55" i="1"/>
  <c r="B57" i="1"/>
  <c r="E54" i="1"/>
  <c r="C41" i="1"/>
  <c r="C46" i="1"/>
  <c r="E45" i="1"/>
  <c r="D41" i="1"/>
  <c r="E52" i="1"/>
  <c r="G37" i="1"/>
  <c r="J37" i="1" s="1"/>
  <c r="K37" i="1" s="1"/>
  <c r="B32" i="1"/>
  <c r="E49" i="1"/>
  <c r="E47" i="1"/>
  <c r="C47" i="1"/>
  <c r="E46" i="1"/>
  <c r="D33" i="1"/>
  <c r="G33" i="1" s="1"/>
  <c r="J33" i="1" s="1"/>
  <c r="K33" i="1" s="1"/>
  <c r="C38" i="1"/>
  <c r="E37" i="1"/>
  <c r="E40" i="1"/>
  <c r="G40" i="1" s="1"/>
  <c r="J40" i="1" s="1"/>
  <c r="K40" i="1" s="1"/>
  <c r="C45" i="1"/>
  <c r="E44" i="1"/>
  <c r="C42" i="1"/>
  <c r="E41" i="1"/>
  <c r="D57" i="1"/>
  <c r="G57" i="1" s="1"/>
  <c r="J57" i="1" s="1"/>
  <c r="K57" i="1" s="1"/>
  <c r="C40" i="1"/>
  <c r="E39" i="1"/>
  <c r="D49" i="1"/>
  <c r="C39" i="1"/>
  <c r="E38" i="1"/>
  <c r="B62" i="1"/>
  <c r="D62" i="1"/>
  <c r="G62" i="1" s="1"/>
  <c r="J62" i="1" s="1"/>
  <c r="K62" i="1" s="1"/>
  <c r="B31" i="1"/>
  <c r="C37" i="1"/>
  <c r="D36" i="1"/>
  <c r="G36" i="1" s="1"/>
  <c r="J36" i="1" s="1"/>
  <c r="K36" i="1" s="1"/>
  <c r="G39" i="1"/>
  <c r="J39" i="1" s="1"/>
  <c r="K39" i="1" s="1"/>
  <c r="C34" i="1"/>
  <c r="B52" i="1"/>
  <c r="E56" i="1"/>
  <c r="C32" i="1"/>
  <c r="B60" i="1"/>
  <c r="E48" i="1"/>
  <c r="D31" i="1"/>
  <c r="G31" i="1" s="1"/>
  <c r="J31" i="1" s="1"/>
  <c r="K31" i="1" s="1"/>
  <c r="B36" i="1"/>
  <c r="B54" i="1"/>
  <c r="D54" i="1"/>
  <c r="D52" i="1"/>
  <c r="G52" i="1" s="1"/>
  <c r="J52" i="1" s="1"/>
  <c r="K52" i="1" s="1"/>
  <c r="B61" i="1"/>
  <c r="D61" i="1"/>
  <c r="G61" i="1" s="1"/>
  <c r="J61" i="1" s="1"/>
  <c r="K61" i="1" s="1"/>
  <c r="B44" i="1"/>
  <c r="B34" i="1"/>
  <c r="D35" i="1"/>
  <c r="G35" i="1" s="1"/>
  <c r="J35" i="1" s="1"/>
  <c r="K35" i="1" s="1"/>
  <c r="E50" i="1"/>
  <c r="E42" i="1"/>
  <c r="G42" i="1" s="1"/>
  <c r="J42" i="1" s="1"/>
  <c r="K42" i="1" s="1"/>
  <c r="B58" i="1"/>
  <c r="D58" i="1"/>
  <c r="C36" i="1"/>
  <c r="B56" i="1"/>
  <c r="D56" i="1"/>
  <c r="C44" i="1"/>
  <c r="B55" i="1"/>
  <c r="D55" i="1"/>
  <c r="G55" i="1" s="1"/>
  <c r="J55" i="1" s="1"/>
  <c r="K55" i="1" s="1"/>
  <c r="E51" i="1"/>
  <c r="B46" i="1"/>
  <c r="D46" i="1"/>
  <c r="B43" i="1"/>
  <c r="B53" i="1"/>
  <c r="D53" i="1"/>
  <c r="G53" i="1" s="1"/>
  <c r="J53" i="1" s="1"/>
  <c r="K53" i="1" s="1"/>
  <c r="D60" i="1"/>
  <c r="G60" i="1" s="1"/>
  <c r="J60" i="1" s="1"/>
  <c r="K60" i="1" s="1"/>
  <c r="G44" i="1"/>
  <c r="J44" i="1" s="1"/>
  <c r="K44" i="1" s="1"/>
  <c r="B50" i="1"/>
  <c r="D50" i="1"/>
  <c r="E43" i="1"/>
  <c r="B48" i="1"/>
  <c r="D48" i="1"/>
  <c r="G48" i="1" s="1"/>
  <c r="J48" i="1" s="1"/>
  <c r="K48" i="1" s="1"/>
  <c r="E59" i="1"/>
  <c r="B47" i="1"/>
  <c r="D47" i="1"/>
  <c r="G47" i="1" s="1"/>
  <c r="J47" i="1" s="1"/>
  <c r="K47" i="1" s="1"/>
  <c r="B35" i="1"/>
  <c r="B38" i="1"/>
  <c r="D38" i="1"/>
  <c r="D51" i="1"/>
  <c r="B45" i="1"/>
  <c r="D45" i="1"/>
  <c r="G45" i="1" s="1"/>
  <c r="J45" i="1" s="1"/>
  <c r="K45" i="1" s="1"/>
  <c r="E58" i="1"/>
  <c r="G47" i="3" l="1"/>
  <c r="J47" i="3" s="1"/>
  <c r="K47" i="3" s="1"/>
  <c r="G61" i="3"/>
  <c r="J61" i="3" s="1"/>
  <c r="K61" i="3" s="1"/>
  <c r="G56" i="3"/>
  <c r="J56" i="3" s="1"/>
  <c r="K56" i="3" s="1"/>
  <c r="G55" i="3"/>
  <c r="J55" i="3" s="1"/>
  <c r="K55" i="3" s="1"/>
  <c r="G48" i="3"/>
  <c r="J48" i="3" s="1"/>
  <c r="K48" i="3" s="1"/>
  <c r="G60" i="3"/>
  <c r="J60" i="3" s="1"/>
  <c r="K60" i="3" s="1"/>
  <c r="G57" i="3"/>
  <c r="J57" i="3" s="1"/>
  <c r="K57" i="3" s="1"/>
  <c r="G53" i="3"/>
  <c r="J53" i="3" s="1"/>
  <c r="K53" i="3" s="1"/>
  <c r="G54" i="3"/>
  <c r="J54" i="3" s="1"/>
  <c r="K54" i="3" s="1"/>
  <c r="G49" i="3"/>
  <c r="J49" i="3" s="1"/>
  <c r="K49" i="3" s="1"/>
  <c r="G37" i="3"/>
  <c r="J37" i="3" s="1"/>
  <c r="K37" i="3" s="1"/>
  <c r="B47" i="3"/>
  <c r="D42" i="3"/>
  <c r="G42" i="3" s="1"/>
  <c r="J42" i="3" s="1"/>
  <c r="K42" i="3" s="1"/>
  <c r="L31" i="3"/>
  <c r="L32" i="3" s="1"/>
  <c r="L33" i="3" s="1"/>
  <c r="L34" i="3" s="1"/>
  <c r="L35" i="3" s="1"/>
  <c r="L36" i="3" s="1"/>
  <c r="G45" i="3"/>
  <c r="J45" i="3" s="1"/>
  <c r="K45" i="3" s="1"/>
  <c r="G51" i="3"/>
  <c r="J51" i="3" s="1"/>
  <c r="K51" i="3" s="1"/>
  <c r="G54" i="1"/>
  <c r="J54" i="1" s="1"/>
  <c r="K54" i="1" s="1"/>
  <c r="G56" i="1"/>
  <c r="J56" i="1" s="1"/>
  <c r="K56" i="1" s="1"/>
  <c r="G59" i="1"/>
  <c r="J59" i="1" s="1"/>
  <c r="K59" i="1" s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G49" i="1"/>
  <c r="J49" i="1" s="1"/>
  <c r="K49" i="1" s="1"/>
  <c r="G51" i="1"/>
  <c r="J51" i="1" s="1"/>
  <c r="K51" i="1" s="1"/>
  <c r="G38" i="1"/>
  <c r="J38" i="1" s="1"/>
  <c r="K38" i="1" s="1"/>
  <c r="G46" i="1"/>
  <c r="J46" i="1" s="1"/>
  <c r="K46" i="1" s="1"/>
  <c r="G50" i="1"/>
  <c r="J50" i="1" s="1"/>
  <c r="K50" i="1" s="1"/>
  <c r="G58" i="1"/>
  <c r="J58" i="1" s="1"/>
  <c r="K58" i="1" s="1"/>
  <c r="G41" i="1"/>
  <c r="J41" i="1" s="1"/>
  <c r="K41" i="1" s="1"/>
  <c r="K63" i="1" s="1"/>
  <c r="K63" i="3" l="1"/>
  <c r="L37" i="3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</calcChain>
</file>

<file path=xl/sharedStrings.xml><?xml version="1.0" encoding="utf-8"?>
<sst xmlns="http://schemas.openxmlformats.org/spreadsheetml/2006/main" count="116" uniqueCount="64">
  <si>
    <t>Pressure</t>
  </si>
  <si>
    <t>bo</t>
  </si>
  <si>
    <t>OilViscosity</t>
  </si>
  <si>
    <t>kro</t>
  </si>
  <si>
    <t>Np</t>
  </si>
  <si>
    <t>delta_Np</t>
  </si>
  <si>
    <t>Gp</t>
  </si>
  <si>
    <t>delta_Gp</t>
  </si>
  <si>
    <t>GOR</t>
  </si>
  <si>
    <t>RF%</t>
  </si>
  <si>
    <t>J</t>
  </si>
  <si>
    <t>allowable_rate</t>
  </si>
  <si>
    <t>Rate</t>
  </si>
  <si>
    <t>Time,dt</t>
  </si>
  <si>
    <t>No of Wells</t>
  </si>
  <si>
    <t>q_net</t>
  </si>
  <si>
    <t>q_netAvg</t>
  </si>
  <si>
    <t>ECONOMIC ANALYSIS</t>
  </si>
  <si>
    <t>Q/Well</t>
  </si>
  <si>
    <t>No. Of wells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</si>
  <si>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Np</t>
    </r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</si>
  <si>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 Gp</t>
    </r>
  </si>
  <si>
    <t>Drilling costs</t>
  </si>
  <si>
    <t>Revenue</t>
  </si>
  <si>
    <t>Op. Costs</t>
  </si>
  <si>
    <t>Gross Profit</t>
  </si>
  <si>
    <t>PV</t>
  </si>
  <si>
    <t>Time (Months)</t>
  </si>
  <si>
    <t>Drilling</t>
  </si>
  <si>
    <t>Frac_Alpha</t>
  </si>
  <si>
    <t>Frac_Beta</t>
  </si>
  <si>
    <t>Oil Net Price</t>
  </si>
  <si>
    <t>Gas Net Price</t>
  </si>
  <si>
    <t>LOE/Month</t>
  </si>
  <si>
    <t>$/BBL</t>
  </si>
  <si>
    <t>$/SCF</t>
  </si>
  <si>
    <t>CAPEX</t>
  </si>
  <si>
    <t>Facility Cost</t>
  </si>
  <si>
    <t>Max Capex</t>
  </si>
  <si>
    <t>FracCost_Alpha</t>
  </si>
  <si>
    <t>Discount to month</t>
  </si>
  <si>
    <t>NPV</t>
  </si>
  <si>
    <t>Cumulative NPV</t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</si>
  <si>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>Np</t>
    </r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</si>
  <si>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 xml:space="preserve"> Gp</t>
    </r>
  </si>
  <si>
    <t>Time_Years</t>
  </si>
  <si>
    <t>OilRate_BBL_Year</t>
  </si>
  <si>
    <t>Cumulative_Oil_BBL</t>
  </si>
  <si>
    <t>GasProduction_MSCF</t>
  </si>
  <si>
    <t>ECONOMIC PARAMETERS</t>
  </si>
  <si>
    <t>Drilling &amp; Comp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</si>
  <si>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Np, BBL</t>
    </r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</si>
  <si>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 Gp, MSCF</t>
    </r>
  </si>
  <si>
    <t>per BBL</t>
  </si>
  <si>
    <t>per MSCF</t>
  </si>
  <si>
    <t>per well</t>
  </si>
  <si>
    <t>Yearly</t>
  </si>
  <si>
    <t>Discount Rate</t>
  </si>
  <si>
    <t>Annualy</t>
  </si>
  <si>
    <t>One Time</t>
  </si>
  <si>
    <t>Drilling &amp; Comp Costs</t>
  </si>
  <si>
    <t>OPEX</t>
  </si>
  <si>
    <t>Net Revenue</t>
  </si>
  <si>
    <t>Present Value (PV)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</si>
</sst>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44" fontId="2" fillId="0" borderId="0" xfId="1" applyFont="1"/>
    <xf numFmtId="0" fontId="0" fillId="0" borderId="0" xfId="0" applyFont="1"/>
    <xf numFmtId="0" fontId="0" fillId="0" borderId="0" xfId="0" applyFont="1" applyAlignment="1">
      <alignment wrapText="1"/>
    </xf>
    <xf numFmtId="44" fontId="1" fillId="0" borderId="0" xfId="1" applyFont="1" applyAlignment="1">
      <alignment horizontal="center" vertical="center"/>
    </xf>
    <xf numFmtId="44" fontId="0" fillId="0" borderId="0" xfId="0" applyNumberFormat="1"/>
    <xf numFmtId="44" fontId="1" fillId="0" borderId="0" xfId="0" applyNumberFormat="1" applyFont="1"/>
    <xf numFmtId="3" fontId="1" fillId="0" borderId="0" xfId="0" applyNumberFormat="1" applyFont="1"/>
    <xf numFmtId="0" fontId="0" fillId="0" borderId="1" xfId="0" applyBorder="1"/>
    <xf numFmtId="44" fontId="0" fillId="0" borderId="1" xfId="0" applyNumberFormat="1" applyBorder="1"/>
    <xf numFmtId="0" fontId="0" fillId="0" borderId="1" xfId="0" applyBorder="1" applyAlignment="1">
      <alignment horizontal="center" vertical="center"/>
    </xf>
    <xf numFmtId="8" fontId="0" fillId="0" borderId="1" xfId="0" applyNumberFormat="1" applyBorder="1"/>
    <xf numFmtId="1" fontId="0" fillId="0" borderId="1" xfId="0" applyNumberFormat="1" applyBorder="1"/>
    <xf numFmtId="44" fontId="0" fillId="0" borderId="1" xfId="1" applyFont="1" applyBorder="1"/>
    <xf numFmtId="0" fontId="1" fillId="0" borderId="1" xfId="0" applyFont="1" applyBorder="1"/>
    <xf numFmtId="8" fontId="1" fillId="0" borderId="1" xfId="0" applyNumberFormat="1" applyFont="1" applyBorder="1"/>
    <xf numFmtId="0" fontId="4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8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9" xfId="0" applyNumberFormat="1" applyFont="1" applyBorder="1"/>
    <xf numFmtId="0" fontId="0" fillId="0" borderId="10" xfId="0" applyBorder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66" fontId="0" fillId="0" borderId="0" xfId="0" applyNumberFormat="1"/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44" fontId="6" fillId="0" borderId="0" xfId="1" applyFont="1" applyFill="1" applyBorder="1"/>
    <xf numFmtId="0" fontId="6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44" fontId="6" fillId="0" borderId="0" xfId="0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8" fontId="6" fillId="0" borderId="0" xfId="0" applyNumberFormat="1" applyFont="1" applyFill="1" applyBorder="1"/>
    <xf numFmtId="3" fontId="4" fillId="0" borderId="0" xfId="0" applyNumberFormat="1" applyFont="1" applyFill="1" applyBorder="1"/>
    <xf numFmtId="44" fontId="4" fillId="0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44" fontId="4" fillId="0" borderId="0" xfId="1" applyFont="1" applyFill="1" applyBorder="1" applyAlignment="1">
      <alignment horizontal="center" vertical="center"/>
    </xf>
    <xf numFmtId="8" fontId="4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NPV vs Time,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NPV vs Time, Months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'Scenario 1'!$B$2:$B$11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'Scenario 1'!$P$2:$P$11</c:f>
              <c:numCache>
                <c:formatCode>_("$"* #,##0.00_);_("$"* \(#,##0.00\);_("$"* "-"??_);_(@_)</c:formatCode>
                <c:ptCount val="10"/>
                <c:pt idx="0">
                  <c:v>-3385000</c:v>
                </c:pt>
                <c:pt idx="1">
                  <c:v>168985293.68211842</c:v>
                </c:pt>
                <c:pt idx="2">
                  <c:v>238820497.32543147</c:v>
                </c:pt>
                <c:pt idx="3">
                  <c:v>266813204.99953038</c:v>
                </c:pt>
                <c:pt idx="4">
                  <c:v>277780622.04627919</c:v>
                </c:pt>
                <c:pt idx="5">
                  <c:v>280304948.04233915</c:v>
                </c:pt>
                <c:pt idx="6">
                  <c:v>281636475.85652041</c:v>
                </c:pt>
                <c:pt idx="7">
                  <c:v>282439793.49534357</c:v>
                </c:pt>
                <c:pt idx="8">
                  <c:v>282762610.29403025</c:v>
                </c:pt>
                <c:pt idx="9">
                  <c:v>282889782.14251637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7-406B-BB28-7A2F8112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67024"/>
        <c:axId val="537567344"/>
      </c:scatterChart>
      <c:valAx>
        <c:axId val="5375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344"/>
        <c:crosses val="autoZero"/>
        <c:crossBetween val="midCat"/>
      </c:valAx>
      <c:valAx>
        <c:axId val="5375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NPV vs Time, Months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'Scenario 2'!$A$30:$A$62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'Scenario 2'!$L$30:$L$62</c:f>
              <c:numCache>
                <c:formatCode>"$"#,##0.00_);[Red]\("$"#,##0.00\)</c:formatCode>
                <c:ptCount val="33"/>
                <c:pt idx="0">
                  <c:v>-11005000</c:v>
                </c:pt>
                <c:pt idx="1">
                  <c:v>-9956089.8291476257</c:v>
                </c:pt>
                <c:pt idx="2">
                  <c:v>-8935761.1213963609</c:v>
                </c:pt>
                <c:pt idx="3">
                  <c:v>-7940745.7904754486</c:v>
                </c:pt>
                <c:pt idx="4">
                  <c:v>-6977933.6476394441</c:v>
                </c:pt>
                <c:pt idx="5">
                  <c:v>-6039809.0131430943</c:v>
                </c:pt>
                <c:pt idx="6">
                  <c:v>-5079903.6810277486</c:v>
                </c:pt>
                <c:pt idx="7">
                  <c:v>-4203619.8516425071</c:v>
                </c:pt>
                <c:pt idx="8">
                  <c:v>-3333357.8750618529</c:v>
                </c:pt>
                <c:pt idx="9">
                  <c:v>-2469076.4234616728</c:v>
                </c:pt>
                <c:pt idx="10">
                  <c:v>-1610734.4523014852</c:v>
                </c:pt>
                <c:pt idx="11">
                  <c:v>-758291.198384883</c:v>
                </c:pt>
                <c:pt idx="12">
                  <c:v>88293.822066757595</c:v>
                </c:pt>
                <c:pt idx="13">
                  <c:v>929060.81532739394</c:v>
                </c:pt>
                <c:pt idx="14">
                  <c:v>1764049.7120663491</c:v>
                </c:pt>
                <c:pt idx="15">
                  <c:v>2593300.1692353482</c:v>
                </c:pt>
                <c:pt idx="16">
                  <c:v>3416851.5719426493</c:v>
                </c:pt>
                <c:pt idx="17">
                  <c:v>4234743.0353143541</c:v>
                </c:pt>
                <c:pt idx="18">
                  <c:v>-4712997.3632113477</c:v>
                </c:pt>
                <c:pt idx="19">
                  <c:v>-3906309.5038308846</c:v>
                </c:pt>
                <c:pt idx="20">
                  <c:v>-3105165.8398779607</c:v>
                </c:pt>
                <c:pt idx="21">
                  <c:v>-2309528.3177952874</c:v>
                </c:pt>
                <c:pt idx="22">
                  <c:v>-1519359.1448904008</c:v>
                </c:pt>
                <c:pt idx="23">
                  <c:v>-734620.7875494418</c:v>
                </c:pt>
                <c:pt idx="24">
                  <c:v>44724.03053684812</c:v>
                </c:pt>
                <c:pt idx="25">
                  <c:v>818712.33013499551</c:v>
                </c:pt>
                <c:pt idx="26">
                  <c:v>1587380.8782186122</c:v>
                </c:pt>
                <c:pt idx="27">
                  <c:v>2350766.1897062454</c:v>
                </c:pt>
                <c:pt idx="28">
                  <c:v>3108904.5291873394</c:v>
                </c:pt>
                <c:pt idx="29">
                  <c:v>3861831.9126363895</c:v>
                </c:pt>
                <c:pt idx="30">
                  <c:v>4609584.1091153752</c:v>
                </c:pt>
                <c:pt idx="31">
                  <c:v>5352196.6424645465</c:v>
                </c:pt>
                <c:pt idx="32">
                  <c:v>6089704.7929816395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2-45C0-BD71-9987ED8F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67024"/>
        <c:axId val="537567344"/>
      </c:scatterChart>
      <c:valAx>
        <c:axId val="5375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344"/>
        <c:crosses val="autoZero"/>
        <c:crossBetween val="midCat"/>
      </c:valAx>
      <c:valAx>
        <c:axId val="5375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NPV vs Time, Months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'Scenario 3'!$A$30:$A$62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'Scenario 3'!$L$30:$L$62</c:f>
              <c:numCache>
                <c:formatCode>"$"#,##0.00_);[Red]\("$"#,##0.00\)</c:formatCode>
                <c:ptCount val="33"/>
                <c:pt idx="0">
                  <c:v>-2930000</c:v>
                </c:pt>
                <c:pt idx="1">
                  <c:v>-1774929.5620064179</c:v>
                </c:pt>
                <c:pt idx="2">
                  <c:v>-676688.24332504417</c:v>
                </c:pt>
                <c:pt idx="3">
                  <c:v>368361.52750888735</c:v>
                </c:pt>
                <c:pt idx="4">
                  <c:v>1353695.7694691536</c:v>
                </c:pt>
                <c:pt idx="5">
                  <c:v>-542227.69654211798</c:v>
                </c:pt>
                <c:pt idx="6">
                  <c:v>386258.08470281633</c:v>
                </c:pt>
                <c:pt idx="7">
                  <c:v>1271325.8782763216</c:v>
                </c:pt>
                <c:pt idx="8">
                  <c:v>2148676.8612626558</c:v>
                </c:pt>
                <c:pt idx="9">
                  <c:v>3018374.4260131959</c:v>
                </c:pt>
                <c:pt idx="10">
                  <c:v>3880481.4636872867</c:v>
                </c:pt>
                <c:pt idx="11">
                  <c:v>4735060.3681103019</c:v>
                </c:pt>
                <c:pt idx="12">
                  <c:v>5582173.0396025851</c:v>
                </c:pt>
                <c:pt idx="13">
                  <c:v>6421880.8887794884</c:v>
                </c:pt>
                <c:pt idx="14">
                  <c:v>7254244.8403227255</c:v>
                </c:pt>
                <c:pt idx="15">
                  <c:v>5431797.4281922039</c:v>
                </c:pt>
                <c:pt idx="16">
                  <c:v>6249654.4334648177</c:v>
                </c:pt>
                <c:pt idx="17">
                  <c:v>7060347.4368347405</c:v>
                </c:pt>
                <c:pt idx="18">
                  <c:v>7863935.4563963264</c:v>
                </c:pt>
                <c:pt idx="19">
                  <c:v>8660477.0427441429</c:v>
                </c:pt>
                <c:pt idx="20">
                  <c:v>9450030.2825766243</c:v>
                </c:pt>
                <c:pt idx="21">
                  <c:v>10232652.802272495</c:v>
                </c:pt>
                <c:pt idx="22">
                  <c:v>11008401.771440167</c:v>
                </c:pt>
                <c:pt idx="23">
                  <c:v>11777333.906440319</c:v>
                </c:pt>
                <c:pt idx="24">
                  <c:v>12539505.473881846</c:v>
                </c:pt>
                <c:pt idx="25">
                  <c:v>10817643.420266978</c:v>
                </c:pt>
                <c:pt idx="26">
                  <c:v>11566460.870732214</c:v>
                </c:pt>
                <c:pt idx="27">
                  <c:v>12308683.889519133</c:v>
                </c:pt>
                <c:pt idx="28">
                  <c:v>13044366.978663452</c:v>
                </c:pt>
                <c:pt idx="29">
                  <c:v>13773564.207536396</c:v>
                </c:pt>
                <c:pt idx="30">
                  <c:v>14496329.216185015</c:v>
                </c:pt>
                <c:pt idx="31">
                  <c:v>15212715.21864724</c:v>
                </c:pt>
                <c:pt idx="32">
                  <c:v>15922775.006241856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3-4B51-B0DB-D9FE9720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67024"/>
        <c:axId val="537567344"/>
      </c:scatterChart>
      <c:valAx>
        <c:axId val="5375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344"/>
        <c:crosses val="autoZero"/>
        <c:crossBetween val="midCat"/>
      </c:valAx>
      <c:valAx>
        <c:axId val="5375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319764</xdr:colOff>
      <xdr:row>13</xdr:row>
      <xdr:rowOff>103749</xdr:rowOff>
    </xdr:from>
    <xdr:to>
      <xdr:col>12</xdr:col>
      <xdr:colOff>594461</xdr:colOff>
      <xdr:row>33</xdr:row>
      <xdr:rowOff>115658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7FEB1-7C1D-4418-AE49-9A969006A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585786</xdr:colOff>
      <xdr:row>40</xdr:row>
      <xdr:rowOff>138109</xdr:rowOff>
    </xdr:from>
    <xdr:to>
      <xdr:col>26</xdr:col>
      <xdr:colOff>247650</xdr:colOff>
      <xdr:row>63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C7127-F28E-441B-B802-58305E8D0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585786</xdr:colOff>
      <xdr:row>40</xdr:row>
      <xdr:rowOff>138109</xdr:rowOff>
    </xdr:from>
    <xdr:to>
      <xdr:col>26</xdr:col>
      <xdr:colOff>247650</xdr:colOff>
      <xdr:row>63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E73A3-1B23-435B-BD61-D8C42D382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E68-2E81-43DF-8CFA-694B0A0DDAC0}">
  <dimension ref="A1:AH63"/>
  <sheetViews>
    <sheetView tabSelected="1" zoomScale="60" zoomScaleNormal="60" workbookViewId="0">
      <selection activeCell="J7" sqref="J7"/>
    </sheetView>
  </sheetViews>
  <sheetFormatPr defaultRowHeight="14.25" x14ac:dyDescent="0.45"/>
  <cols>
    <col min="2" max="2" width="18.86328125" bestFit="1" customWidth="1"/>
    <col min="3" max="3" width="18.86328125" customWidth="1"/>
    <col min="4" max="6" width="12.33203125" bestFit="1" customWidth="1"/>
    <col min="7" max="7" width="12.33203125" customWidth="1"/>
    <col min="8" max="8" width="12.33203125" bestFit="1" customWidth="1"/>
    <col min="9" max="9" width="14" bestFit="1" customWidth="1"/>
    <col min="10" max="10" width="18.73046875" bestFit="1" customWidth="1"/>
    <col min="11" max="11" width="14" bestFit="1" customWidth="1"/>
    <col min="12" max="12" width="13.59765625" bestFit="1" customWidth="1"/>
    <col min="13" max="14" width="16.06640625" bestFit="1" customWidth="1"/>
    <col min="15" max="15" width="16.33203125" bestFit="1" customWidth="1"/>
    <col min="16" max="16" width="16.06640625" bestFit="1" customWidth="1"/>
    <col min="17" max="17" width="11" customWidth="1"/>
    <col min="18" max="19" width="15.59765625" bestFit="1" customWidth="1"/>
    <col min="22" max="22" width="15.33203125" bestFit="1" customWidth="1"/>
  </cols>
  <sheetData>
    <row r="1" spans="2:20" s="3" customFormat="1" ht="28.5" x14ac:dyDescent="0.45">
      <c r="B1" s="39" t="s">
        <v>45</v>
      </c>
      <c r="C1" s="39" t="s">
        <v>14</v>
      </c>
      <c r="D1" s="39" t="s">
        <v>46</v>
      </c>
      <c r="E1" s="39" t="s">
        <v>47</v>
      </c>
      <c r="F1" s="39" t="s">
        <v>48</v>
      </c>
      <c r="G1" s="39" t="s">
        <v>8</v>
      </c>
      <c r="H1" s="37" t="s">
        <v>51</v>
      </c>
      <c r="I1" s="37" t="s">
        <v>52</v>
      </c>
      <c r="J1" s="34" t="s">
        <v>60</v>
      </c>
      <c r="K1" s="34" t="s">
        <v>37</v>
      </c>
      <c r="L1" s="34" t="s">
        <v>61</v>
      </c>
      <c r="M1" s="34" t="s">
        <v>23</v>
      </c>
      <c r="N1" s="34" t="s">
        <v>62</v>
      </c>
      <c r="O1" s="34" t="s">
        <v>63</v>
      </c>
      <c r="P1" s="25" t="s">
        <v>42</v>
      </c>
      <c r="Q1" s="40"/>
      <c r="R1" s="40"/>
      <c r="S1" s="40"/>
      <c r="T1" s="41"/>
    </row>
    <row r="2" spans="2:20" x14ac:dyDescent="0.45">
      <c r="B2" s="42">
        <v>1</v>
      </c>
      <c r="C2" s="42">
        <v>1</v>
      </c>
      <c r="D2" s="42">
        <v>18647.092170348951</v>
      </c>
      <c r="E2" s="42">
        <v>8797201.1299017873</v>
      </c>
      <c r="F2" s="42">
        <v>55941.276511046854</v>
      </c>
      <c r="G2" s="42">
        <f>F2/D2</f>
        <v>3</v>
      </c>
      <c r="H2" s="42">
        <v>0</v>
      </c>
      <c r="I2" s="42">
        <v>0</v>
      </c>
      <c r="J2" s="55">
        <f>$C$17</f>
        <v>2325000</v>
      </c>
      <c r="K2" s="55">
        <f>$C$19</f>
        <v>1000000</v>
      </c>
      <c r="L2" s="55">
        <f>$C$18</f>
        <v>60000</v>
      </c>
      <c r="M2" s="14">
        <f>(H2*$C$15)+(I2*$C$16)</f>
        <v>0</v>
      </c>
      <c r="N2" s="14">
        <f>M2-(J2+K2+L2)</f>
        <v>-3385000</v>
      </c>
      <c r="O2" s="14">
        <f>N2/((1+$C$20)^0)</f>
        <v>-3385000</v>
      </c>
      <c r="P2" s="14">
        <f>O2</f>
        <v>-3385000</v>
      </c>
    </row>
    <row r="3" spans="2:20" x14ac:dyDescent="0.45">
      <c r="B3" s="42">
        <v>2</v>
      </c>
      <c r="C3" s="42">
        <v>2</v>
      </c>
      <c r="D3" s="42">
        <v>9156.9503569771314</v>
      </c>
      <c r="E3" s="42">
        <v>13667914.88893484</v>
      </c>
      <c r="F3" s="42">
        <v>27470.851070931389</v>
      </c>
      <c r="G3" s="42">
        <f t="shared" ref="G3:G11" si="0">F3/D3</f>
        <v>2.9999999999999996</v>
      </c>
      <c r="H3" s="42">
        <f>E3-E2</f>
        <v>4870713.7590330523</v>
      </c>
      <c r="I3">
        <f>(G3+G2/2)*H3</f>
        <v>21918211.915648736</v>
      </c>
      <c r="J3" s="14">
        <f>IF(C3-C2=0,0,(C3-C2)*$C$17)</f>
        <v>2325000</v>
      </c>
      <c r="K3" s="14">
        <v>0</v>
      </c>
      <c r="L3" s="55">
        <f t="shared" ref="L3:L11" si="1">$C$18</f>
        <v>60000</v>
      </c>
      <c r="M3" s="14">
        <f t="shared" ref="M3:M11" si="2">(H3*$C$15)+(I3*$C$16)</f>
        <v>250598222.90225053</v>
      </c>
      <c r="N3" s="14">
        <f t="shared" ref="N3:N11" si="3">M3-(J3+K3+L3)</f>
        <v>248213222.90225053</v>
      </c>
      <c r="O3" s="14">
        <f t="shared" ref="O3:O11" si="4">N3/((1+$C$20)^B3)</f>
        <v>172370293.68211842</v>
      </c>
      <c r="P3" s="14">
        <f>O3+P2</f>
        <v>168985293.68211842</v>
      </c>
    </row>
    <row r="4" spans="2:20" x14ac:dyDescent="0.45">
      <c r="B4" s="42">
        <v>3</v>
      </c>
      <c r="C4" s="42">
        <v>3</v>
      </c>
      <c r="D4" s="42">
        <v>4496.6657039146558</v>
      </c>
      <c r="E4" s="42">
        <v>16059756.1308327</v>
      </c>
      <c r="F4" s="42">
        <v>13489.997111743971</v>
      </c>
      <c r="G4" s="42">
        <f t="shared" si="0"/>
        <v>3.0000000000000009</v>
      </c>
      <c r="H4" s="42">
        <f t="shared" ref="H4:H11" si="5">E4-E3</f>
        <v>2391841.2418978605</v>
      </c>
      <c r="I4">
        <f t="shared" ref="I4:I11" si="6">(G4+G3/2)*H4</f>
        <v>10763285.588540375</v>
      </c>
      <c r="J4" s="14">
        <f t="shared" ref="J4:J11" si="7">IF(C4-C3=0,0,(C4-C3)*$C$17)</f>
        <v>2325000</v>
      </c>
      <c r="K4" s="14">
        <v>0</v>
      </c>
      <c r="L4" s="55">
        <f t="shared" si="1"/>
        <v>60000</v>
      </c>
      <c r="M4" s="14">
        <f t="shared" si="2"/>
        <v>123060231.89564493</v>
      </c>
      <c r="N4" s="14">
        <f t="shared" si="3"/>
        <v>120675231.89564493</v>
      </c>
      <c r="O4" s="14">
        <f t="shared" si="4"/>
        <v>69835203.643313035</v>
      </c>
      <c r="P4" s="14">
        <f t="shared" ref="P4:P11" si="8">O4+P3</f>
        <v>238820497.32543147</v>
      </c>
    </row>
    <row r="5" spans="2:20" x14ac:dyDescent="0.45">
      <c r="B5" s="42">
        <v>4</v>
      </c>
      <c r="C5" s="42">
        <v>4</v>
      </c>
      <c r="D5" s="42">
        <v>2208.15901195267</v>
      </c>
      <c r="E5" s="42">
        <v>17234307.707761981</v>
      </c>
      <c r="F5" s="42">
        <v>6624.4770358580117</v>
      </c>
      <c r="G5" s="42">
        <f t="shared" si="0"/>
        <v>3.0000000000000009</v>
      </c>
      <c r="H5" s="42">
        <f t="shared" si="5"/>
        <v>1174551.5769292805</v>
      </c>
      <c r="I5">
        <f t="shared" si="6"/>
        <v>5285482.0961817643</v>
      </c>
      <c r="J5" s="14">
        <f t="shared" si="7"/>
        <v>2325000</v>
      </c>
      <c r="K5" s="14">
        <v>0</v>
      </c>
      <c r="L5" s="55">
        <f t="shared" si="1"/>
        <v>60000</v>
      </c>
      <c r="M5" s="14">
        <f t="shared" si="2"/>
        <v>60430678.633011483</v>
      </c>
      <c r="N5" s="14">
        <f t="shared" si="3"/>
        <v>58045678.633011483</v>
      </c>
      <c r="O5" s="14">
        <f t="shared" si="4"/>
        <v>27992707.674098901</v>
      </c>
      <c r="P5" s="14">
        <f t="shared" si="8"/>
        <v>266813204.99953038</v>
      </c>
    </row>
    <row r="6" spans="2:20" x14ac:dyDescent="0.45">
      <c r="B6" s="42">
        <v>5</v>
      </c>
      <c r="C6" s="42">
        <v>5</v>
      </c>
      <c r="D6" s="42">
        <v>1084.3515046766611</v>
      </c>
      <c r="E6" s="42">
        <v>17811089.88824334</v>
      </c>
      <c r="F6" s="42">
        <v>3253.0545140299828</v>
      </c>
      <c r="G6" s="42">
        <f t="shared" si="0"/>
        <v>2.9999999999999996</v>
      </c>
      <c r="H6" s="42">
        <f t="shared" si="5"/>
        <v>576782.18048135936</v>
      </c>
      <c r="I6">
        <f t="shared" si="6"/>
        <v>2595519.8121661171</v>
      </c>
      <c r="J6" s="14">
        <f t="shared" si="7"/>
        <v>2325000</v>
      </c>
      <c r="K6" s="14">
        <v>0</v>
      </c>
      <c r="L6" s="55">
        <f t="shared" si="1"/>
        <v>60000</v>
      </c>
      <c r="M6" s="14">
        <f t="shared" si="2"/>
        <v>29675443.185765941</v>
      </c>
      <c r="N6" s="14">
        <f t="shared" si="3"/>
        <v>27290443.185765941</v>
      </c>
      <c r="O6" s="14">
        <f t="shared" si="4"/>
        <v>10967417.046748787</v>
      </c>
      <c r="P6" s="14">
        <f t="shared" si="8"/>
        <v>277780622.04627919</v>
      </c>
    </row>
    <row r="7" spans="2:20" x14ac:dyDescent="0.45">
      <c r="B7" s="42">
        <v>6</v>
      </c>
      <c r="C7" s="42">
        <v>8</v>
      </c>
      <c r="D7" s="42">
        <v>532.4880044099566</v>
      </c>
      <c r="E7" s="42">
        <v>18094327.92585304</v>
      </c>
      <c r="F7" s="42">
        <v>1597.46401322987</v>
      </c>
      <c r="G7" s="42">
        <f t="shared" si="0"/>
        <v>3.0000000000000004</v>
      </c>
      <c r="H7" s="42">
        <f t="shared" si="5"/>
        <v>283238.03760970011</v>
      </c>
      <c r="I7">
        <f t="shared" si="6"/>
        <v>1274571.1692436505</v>
      </c>
      <c r="J7" s="14">
        <f t="shared" si="7"/>
        <v>6975000</v>
      </c>
      <c r="K7" s="14">
        <v>0</v>
      </c>
      <c r="L7" s="55">
        <f t="shared" si="1"/>
        <v>60000</v>
      </c>
      <c r="M7" s="14">
        <f t="shared" si="2"/>
        <v>14572597.03501907</v>
      </c>
      <c r="N7" s="14">
        <f t="shared" si="3"/>
        <v>7537597.0350190699</v>
      </c>
      <c r="O7" s="14">
        <f t="shared" si="4"/>
        <v>2524325.996059949</v>
      </c>
      <c r="P7" s="14">
        <f t="shared" si="8"/>
        <v>280304948.04233915</v>
      </c>
    </row>
    <row r="8" spans="2:20" x14ac:dyDescent="0.45">
      <c r="B8" s="42">
        <v>7</v>
      </c>
      <c r="C8" s="42">
        <v>9</v>
      </c>
      <c r="D8" s="42">
        <v>261.4866799350703</v>
      </c>
      <c r="E8" s="42">
        <v>18233416.456434969</v>
      </c>
      <c r="F8" s="42">
        <v>784.46003980521095</v>
      </c>
      <c r="G8" s="42">
        <f t="shared" si="0"/>
        <v>3</v>
      </c>
      <c r="H8" s="42">
        <f t="shared" si="5"/>
        <v>139088.53058192879</v>
      </c>
      <c r="I8">
        <f t="shared" si="6"/>
        <v>625898.38761867955</v>
      </c>
      <c r="J8" s="14">
        <f t="shared" si="7"/>
        <v>2325000</v>
      </c>
      <c r="K8" s="14">
        <v>0</v>
      </c>
      <c r="L8" s="55">
        <f t="shared" si="1"/>
        <v>60000</v>
      </c>
      <c r="M8" s="14">
        <f t="shared" si="2"/>
        <v>7156104.8984402362</v>
      </c>
      <c r="N8" s="14">
        <f t="shared" si="3"/>
        <v>4771104.8984402362</v>
      </c>
      <c r="O8" s="14">
        <f t="shared" si="4"/>
        <v>1331527.814181254</v>
      </c>
      <c r="P8" s="14">
        <f t="shared" si="8"/>
        <v>281636475.85652041</v>
      </c>
    </row>
    <row r="9" spans="2:20" x14ac:dyDescent="0.45">
      <c r="B9" s="42">
        <v>8</v>
      </c>
      <c r="C9" s="42">
        <v>9</v>
      </c>
      <c r="D9" s="42">
        <v>128.4071814147847</v>
      </c>
      <c r="E9" s="42">
        <v>18301718.085350011</v>
      </c>
      <c r="F9" s="42">
        <v>385.22154424435399</v>
      </c>
      <c r="G9" s="42">
        <f t="shared" si="0"/>
        <v>2.9999999999999991</v>
      </c>
      <c r="H9" s="42">
        <f t="shared" si="5"/>
        <v>68301.628915041685</v>
      </c>
      <c r="I9">
        <f t="shared" si="6"/>
        <v>307357.33011768752</v>
      </c>
      <c r="J9" s="14">
        <f t="shared" si="7"/>
        <v>0</v>
      </c>
      <c r="K9" s="14">
        <v>0</v>
      </c>
      <c r="L9" s="55">
        <f t="shared" si="1"/>
        <v>60000</v>
      </c>
      <c r="M9" s="14">
        <f t="shared" si="2"/>
        <v>3514118.8076788946</v>
      </c>
      <c r="N9" s="14">
        <f t="shared" si="3"/>
        <v>3454118.8076788946</v>
      </c>
      <c r="O9" s="14">
        <f t="shared" si="4"/>
        <v>803317.63882314076</v>
      </c>
      <c r="P9" s="14">
        <f t="shared" si="8"/>
        <v>282439793.49534357</v>
      </c>
    </row>
    <row r="10" spans="2:20" x14ac:dyDescent="0.45">
      <c r="B10" s="42">
        <v>9</v>
      </c>
      <c r="C10" s="42">
        <v>9</v>
      </c>
      <c r="D10" s="42">
        <v>63.056382998107743</v>
      </c>
      <c r="E10" s="42">
        <v>18335258.683506649</v>
      </c>
      <c r="F10" s="42">
        <v>189.16914899432319</v>
      </c>
      <c r="G10" s="42">
        <f t="shared" si="0"/>
        <v>2.9999999999999996</v>
      </c>
      <c r="H10" s="42">
        <f t="shared" si="5"/>
        <v>33540.598156638443</v>
      </c>
      <c r="I10">
        <f t="shared" si="6"/>
        <v>150932.69170487297</v>
      </c>
      <c r="J10" s="14">
        <f t="shared" si="7"/>
        <v>0</v>
      </c>
      <c r="K10" s="14">
        <v>0</v>
      </c>
      <c r="L10" s="55">
        <f t="shared" si="1"/>
        <v>60000</v>
      </c>
      <c r="M10" s="14">
        <f t="shared" si="2"/>
        <v>1725663.7751590479</v>
      </c>
      <c r="N10" s="14">
        <f t="shared" si="3"/>
        <v>1665663.7751590479</v>
      </c>
      <c r="O10" s="14">
        <f t="shared" si="4"/>
        <v>322816.79868667561</v>
      </c>
      <c r="P10" s="14">
        <f t="shared" si="8"/>
        <v>282762610.29403025</v>
      </c>
    </row>
    <row r="11" spans="2:20" x14ac:dyDescent="0.45">
      <c r="B11" s="42">
        <v>10</v>
      </c>
      <c r="C11" s="42">
        <v>9</v>
      </c>
      <c r="D11" s="42">
        <v>30.964836958458822</v>
      </c>
      <c r="E11" s="42">
        <v>18351729.326192278</v>
      </c>
      <c r="F11" s="42">
        <v>92.894510875376469</v>
      </c>
      <c r="G11" s="42">
        <f t="shared" si="0"/>
        <v>3</v>
      </c>
      <c r="H11" s="42">
        <f t="shared" si="5"/>
        <v>16470.642685629427</v>
      </c>
      <c r="I11">
        <f t="shared" si="6"/>
        <v>74117.892085332423</v>
      </c>
      <c r="J11" s="14">
        <f t="shared" si="7"/>
        <v>0</v>
      </c>
      <c r="K11" s="14">
        <v>0</v>
      </c>
      <c r="L11" s="55">
        <f t="shared" si="1"/>
        <v>60000</v>
      </c>
      <c r="M11" s="14">
        <f t="shared" si="2"/>
        <v>847414.56617563404</v>
      </c>
      <c r="N11" s="14">
        <f t="shared" si="3"/>
        <v>787414.56617563404</v>
      </c>
      <c r="O11" s="14">
        <f t="shared" si="4"/>
        <v>127171.84848615079</v>
      </c>
      <c r="P11" s="14">
        <f t="shared" si="8"/>
        <v>282889782.14251637</v>
      </c>
    </row>
    <row r="14" spans="2:20" ht="28.5" customHeight="1" x14ac:dyDescent="0.45">
      <c r="B14" s="44" t="s">
        <v>49</v>
      </c>
      <c r="C14" s="45"/>
      <c r="D14" s="46"/>
    </row>
    <row r="15" spans="2:20" x14ac:dyDescent="0.45">
      <c r="B15" s="1" t="s">
        <v>31</v>
      </c>
      <c r="C15" s="51">
        <v>42</v>
      </c>
      <c r="D15" s="47" t="s">
        <v>53</v>
      </c>
    </row>
    <row r="16" spans="2:20" x14ac:dyDescent="0.45">
      <c r="B16" s="1" t="s">
        <v>32</v>
      </c>
      <c r="C16" s="51">
        <v>2.1</v>
      </c>
      <c r="D16" s="47" t="s">
        <v>54</v>
      </c>
    </row>
    <row r="17" spans="1:34" x14ac:dyDescent="0.45">
      <c r="B17" s="43" t="s">
        <v>50</v>
      </c>
      <c r="C17" s="52">
        <v>2325000</v>
      </c>
      <c r="D17" s="48" t="s">
        <v>55</v>
      </c>
    </row>
    <row r="18" spans="1:34" x14ac:dyDescent="0.45">
      <c r="B18" s="1" t="s">
        <v>33</v>
      </c>
      <c r="C18" s="53">
        <f>5000*12</f>
        <v>60000</v>
      </c>
      <c r="D18" s="49" t="s">
        <v>56</v>
      </c>
    </row>
    <row r="19" spans="1:34" x14ac:dyDescent="0.45">
      <c r="B19" s="1" t="s">
        <v>37</v>
      </c>
      <c r="C19" s="53">
        <f>1*10^6</f>
        <v>1000000</v>
      </c>
      <c r="D19" s="50" t="s">
        <v>59</v>
      </c>
    </row>
    <row r="20" spans="1:34" x14ac:dyDescent="0.45">
      <c r="B20" s="1" t="s">
        <v>57</v>
      </c>
      <c r="C20" s="54">
        <f>20/100</f>
        <v>0.2</v>
      </c>
      <c r="D20" s="50" t="s">
        <v>58</v>
      </c>
    </row>
    <row r="21" spans="1:34" x14ac:dyDescent="0.45">
      <c r="B21" s="8"/>
      <c r="C21" s="10"/>
      <c r="D21" s="12"/>
    </row>
    <row r="22" spans="1:34" x14ac:dyDescent="0.45">
      <c r="A22" s="57"/>
      <c r="B22" s="56"/>
      <c r="C22" s="58"/>
      <c r="D22" s="59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</row>
    <row r="23" spans="1:34" x14ac:dyDescent="0.4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</row>
    <row r="24" spans="1:34" x14ac:dyDescent="0.45">
      <c r="A24" s="57"/>
      <c r="B24" s="60"/>
      <c r="C24" s="60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</row>
    <row r="25" spans="1:34" x14ac:dyDescent="0.4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</row>
    <row r="26" spans="1:34" s="3" customFormat="1" x14ac:dyDescent="0.45">
      <c r="A26" s="61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</row>
    <row r="27" spans="1:34" x14ac:dyDescent="0.45">
      <c r="A27" s="57"/>
      <c r="B27" s="57"/>
      <c r="C27" s="57"/>
      <c r="D27" s="57"/>
      <c r="E27" s="57"/>
      <c r="F27" s="57"/>
      <c r="G27" s="57"/>
      <c r="H27" s="57"/>
      <c r="I27" s="62"/>
      <c r="J27" s="63"/>
      <c r="K27" s="58"/>
      <c r="L27" s="62"/>
      <c r="M27" s="62"/>
      <c r="N27" s="64"/>
      <c r="O27" s="64"/>
      <c r="P27" s="57"/>
      <c r="Q27" s="56"/>
      <c r="R27" s="58"/>
      <c r="S27" s="65"/>
      <c r="T27" s="57"/>
      <c r="U27" s="57"/>
      <c r="V27" s="60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</row>
    <row r="28" spans="1:34" x14ac:dyDescent="0.45">
      <c r="A28" s="57"/>
      <c r="B28" s="57"/>
      <c r="C28" s="57"/>
      <c r="D28" s="57"/>
      <c r="E28" s="57"/>
      <c r="F28" s="57"/>
      <c r="G28" s="57"/>
      <c r="H28" s="57"/>
      <c r="I28" s="62"/>
      <c r="J28" s="57"/>
      <c r="K28" s="58"/>
      <c r="L28" s="62"/>
      <c r="M28" s="62"/>
      <c r="N28" s="64"/>
      <c r="O28" s="64"/>
      <c r="P28" s="57"/>
      <c r="Q28" s="56"/>
      <c r="R28" s="58"/>
      <c r="S28" s="66"/>
      <c r="T28" s="57"/>
      <c r="U28" s="57"/>
      <c r="V28" s="60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</row>
    <row r="29" spans="1:34" x14ac:dyDescent="0.45">
      <c r="A29" s="57"/>
      <c r="B29" s="57"/>
      <c r="C29" s="57"/>
      <c r="D29" s="57"/>
      <c r="E29" s="57"/>
      <c r="F29" s="57"/>
      <c r="G29" s="57"/>
      <c r="H29" s="57"/>
      <c r="I29" s="62"/>
      <c r="J29" s="57"/>
      <c r="K29" s="58"/>
      <c r="L29" s="62"/>
      <c r="M29" s="62"/>
      <c r="N29" s="64"/>
      <c r="O29" s="64"/>
      <c r="P29" s="57"/>
      <c r="Q29" s="56"/>
      <c r="R29" s="58"/>
      <c r="S29" s="60"/>
      <c r="T29" s="67"/>
      <c r="U29" s="60"/>
      <c r="V29" s="60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</row>
    <row r="30" spans="1:34" x14ac:dyDescent="0.45">
      <c r="A30" s="57"/>
      <c r="B30" s="57"/>
      <c r="C30" s="57"/>
      <c r="D30" s="57"/>
      <c r="E30" s="57"/>
      <c r="F30" s="57"/>
      <c r="G30" s="57"/>
      <c r="H30" s="57"/>
      <c r="I30" s="62"/>
      <c r="J30" s="57"/>
      <c r="K30" s="58"/>
      <c r="L30" s="62"/>
      <c r="M30" s="62"/>
      <c r="N30" s="64"/>
      <c r="O30" s="64"/>
      <c r="P30" s="57"/>
      <c r="Q30" s="60"/>
      <c r="R30" s="58"/>
      <c r="S30" s="60"/>
      <c r="T30" s="60"/>
      <c r="U30" s="60"/>
      <c r="V30" s="60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</row>
    <row r="31" spans="1:34" x14ac:dyDescent="0.45">
      <c r="A31" s="57"/>
      <c r="B31" s="57"/>
      <c r="C31" s="57"/>
      <c r="D31" s="57"/>
      <c r="E31" s="57"/>
      <c r="F31" s="57"/>
      <c r="G31" s="57"/>
      <c r="H31" s="57"/>
      <c r="I31" s="62"/>
      <c r="J31" s="57"/>
      <c r="K31" s="58"/>
      <c r="L31" s="62"/>
      <c r="M31" s="62"/>
      <c r="N31" s="64"/>
      <c r="O31" s="64"/>
      <c r="P31" s="57"/>
      <c r="Q31" s="56"/>
      <c r="R31" s="58"/>
      <c r="S31" s="60"/>
      <c r="T31" s="60"/>
      <c r="U31" s="60"/>
      <c r="V31" s="60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</row>
    <row r="32" spans="1:34" x14ac:dyDescent="0.45">
      <c r="A32" s="57"/>
      <c r="B32" s="57"/>
      <c r="C32" s="57"/>
      <c r="D32" s="57"/>
      <c r="E32" s="57"/>
      <c r="F32" s="57"/>
      <c r="G32" s="57"/>
      <c r="H32" s="57"/>
      <c r="I32" s="62"/>
      <c r="J32" s="57"/>
      <c r="K32" s="58"/>
      <c r="L32" s="62"/>
      <c r="M32" s="62"/>
      <c r="N32" s="64"/>
      <c r="O32" s="64"/>
      <c r="P32" s="57"/>
      <c r="Q32" s="56"/>
      <c r="R32" s="57"/>
      <c r="S32" s="57"/>
      <c r="T32" s="60"/>
      <c r="U32" s="60"/>
      <c r="V32" s="60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</row>
    <row r="33" spans="1:34" x14ac:dyDescent="0.45">
      <c r="A33" s="57"/>
      <c r="B33" s="57"/>
      <c r="C33" s="57"/>
      <c r="D33" s="57"/>
      <c r="E33" s="57"/>
      <c r="F33" s="57"/>
      <c r="G33" s="57"/>
      <c r="H33" s="57"/>
      <c r="I33" s="62"/>
      <c r="J33" s="57"/>
      <c r="K33" s="58"/>
      <c r="L33" s="62"/>
      <c r="M33" s="62"/>
      <c r="N33" s="64"/>
      <c r="O33" s="64"/>
      <c r="P33" s="57"/>
      <c r="Q33" s="56"/>
      <c r="R33" s="57"/>
      <c r="S33" s="57"/>
      <c r="T33" s="60"/>
      <c r="U33" s="60"/>
      <c r="V33" s="60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</row>
    <row r="34" spans="1:34" x14ac:dyDescent="0.45">
      <c r="A34" s="57"/>
      <c r="B34" s="57"/>
      <c r="C34" s="57"/>
      <c r="D34" s="57"/>
      <c r="E34" s="57"/>
      <c r="F34" s="57"/>
      <c r="G34" s="57"/>
      <c r="H34" s="57"/>
      <c r="I34" s="62"/>
      <c r="J34" s="57"/>
      <c r="K34" s="58"/>
      <c r="L34" s="62"/>
      <c r="M34" s="62"/>
      <c r="N34" s="64"/>
      <c r="O34" s="64"/>
      <c r="P34" s="57"/>
      <c r="Q34" s="60"/>
      <c r="R34" s="57"/>
      <c r="S34" s="57"/>
      <c r="T34" s="60"/>
      <c r="U34" s="60"/>
      <c r="V34" s="60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</row>
    <row r="35" spans="1:34" x14ac:dyDescent="0.45">
      <c r="A35" s="57"/>
      <c r="B35" s="57"/>
      <c r="C35" s="57"/>
      <c r="D35" s="57"/>
      <c r="E35" s="57"/>
      <c r="F35" s="57"/>
      <c r="G35" s="57"/>
      <c r="H35" s="57"/>
      <c r="I35" s="62"/>
      <c r="J35" s="57"/>
      <c r="K35" s="58"/>
      <c r="L35" s="62"/>
      <c r="M35" s="62"/>
      <c r="N35" s="64"/>
      <c r="O35" s="64"/>
      <c r="P35" s="57"/>
      <c r="Q35" s="57"/>
      <c r="R35" s="57"/>
      <c r="S35" s="57"/>
      <c r="T35" s="60"/>
      <c r="U35" s="60"/>
      <c r="V35" s="68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</row>
    <row r="36" spans="1:34" x14ac:dyDescent="0.45">
      <c r="A36" s="57"/>
      <c r="B36" s="57"/>
      <c r="C36" s="57"/>
      <c r="D36" s="57"/>
      <c r="E36" s="57"/>
      <c r="F36" s="57"/>
      <c r="G36" s="57"/>
      <c r="H36" s="57"/>
      <c r="I36" s="62"/>
      <c r="J36" s="57"/>
      <c r="K36" s="58"/>
      <c r="L36" s="62"/>
      <c r="M36" s="62"/>
      <c r="N36" s="64"/>
      <c r="O36" s="64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</row>
    <row r="37" spans="1:34" x14ac:dyDescent="0.45">
      <c r="A37" s="57"/>
      <c r="B37" s="57"/>
      <c r="C37" s="57"/>
      <c r="D37" s="57"/>
      <c r="E37" s="57"/>
      <c r="F37" s="57"/>
      <c r="G37" s="57"/>
      <c r="H37" s="57"/>
      <c r="I37" s="62"/>
      <c r="J37" s="57"/>
      <c r="K37" s="58"/>
      <c r="L37" s="62"/>
      <c r="M37" s="62"/>
      <c r="N37" s="64"/>
      <c r="O37" s="64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</row>
    <row r="38" spans="1:34" x14ac:dyDescent="0.45">
      <c r="A38" s="57"/>
      <c r="B38" s="57"/>
      <c r="C38" s="57"/>
      <c r="D38" s="57"/>
      <c r="E38" s="57"/>
      <c r="F38" s="57"/>
      <c r="G38" s="57"/>
      <c r="H38" s="57"/>
      <c r="I38" s="62"/>
      <c r="J38" s="57"/>
      <c r="K38" s="58"/>
      <c r="L38" s="62"/>
      <c r="M38" s="62"/>
      <c r="N38" s="64"/>
      <c r="O38" s="64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</row>
    <row r="39" spans="1:34" x14ac:dyDescent="0.45">
      <c r="A39" s="57"/>
      <c r="B39" s="57"/>
      <c r="C39" s="57"/>
      <c r="D39" s="57"/>
      <c r="E39" s="57"/>
      <c r="F39" s="57"/>
      <c r="G39" s="57"/>
      <c r="H39" s="57"/>
      <c r="I39" s="62"/>
      <c r="J39" s="57"/>
      <c r="K39" s="58"/>
      <c r="L39" s="62"/>
      <c r="M39" s="62"/>
      <c r="N39" s="64"/>
      <c r="O39" s="64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</row>
    <row r="40" spans="1:34" x14ac:dyDescent="0.45">
      <c r="A40" s="57"/>
      <c r="B40" s="57"/>
      <c r="C40" s="57"/>
      <c r="D40" s="57"/>
      <c r="E40" s="57"/>
      <c r="F40" s="57"/>
      <c r="G40" s="57"/>
      <c r="H40" s="57"/>
      <c r="I40" s="62"/>
      <c r="J40" s="57"/>
      <c r="K40" s="58"/>
      <c r="L40" s="62"/>
      <c r="M40" s="62"/>
      <c r="N40" s="64"/>
      <c r="O40" s="64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</row>
    <row r="41" spans="1:34" x14ac:dyDescent="0.45">
      <c r="A41" s="57"/>
      <c r="B41" s="57"/>
      <c r="C41" s="57"/>
      <c r="D41" s="57"/>
      <c r="E41" s="57"/>
      <c r="F41" s="57"/>
      <c r="G41" s="57"/>
      <c r="H41" s="57"/>
      <c r="I41" s="58"/>
      <c r="J41" s="57"/>
      <c r="K41" s="58"/>
      <c r="L41" s="62"/>
      <c r="M41" s="62"/>
      <c r="N41" s="64"/>
      <c r="O41" s="64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</row>
    <row r="42" spans="1:34" x14ac:dyDescent="0.45">
      <c r="A42" s="57"/>
      <c r="B42" s="57"/>
      <c r="C42" s="57"/>
      <c r="D42" s="57"/>
      <c r="E42" s="57"/>
      <c r="F42" s="57"/>
      <c r="G42" s="57"/>
      <c r="H42" s="57"/>
      <c r="I42" s="58"/>
      <c r="J42" s="57"/>
      <c r="K42" s="58"/>
      <c r="L42" s="62"/>
      <c r="M42" s="62"/>
      <c r="N42" s="64"/>
      <c r="O42" s="64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</row>
    <row r="43" spans="1:34" x14ac:dyDescent="0.45">
      <c r="A43" s="57"/>
      <c r="B43" s="57"/>
      <c r="C43" s="57"/>
      <c r="D43" s="57"/>
      <c r="E43" s="57"/>
      <c r="F43" s="57"/>
      <c r="G43" s="57"/>
      <c r="H43" s="57"/>
      <c r="I43" s="58"/>
      <c r="J43" s="57"/>
      <c r="K43" s="58"/>
      <c r="L43" s="62"/>
      <c r="M43" s="62"/>
      <c r="N43" s="64"/>
      <c r="O43" s="64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</row>
    <row r="44" spans="1:34" x14ac:dyDescent="0.45">
      <c r="A44" s="57"/>
      <c r="B44" s="57"/>
      <c r="C44" s="57"/>
      <c r="D44" s="57"/>
      <c r="E44" s="57"/>
      <c r="F44" s="57"/>
      <c r="G44" s="57"/>
      <c r="H44" s="57"/>
      <c r="I44" s="58"/>
      <c r="J44" s="57"/>
      <c r="K44" s="58"/>
      <c r="L44" s="62"/>
      <c r="M44" s="62"/>
      <c r="N44" s="64"/>
      <c r="O44" s="64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</row>
    <row r="45" spans="1:34" x14ac:dyDescent="0.45">
      <c r="A45" s="57"/>
      <c r="B45" s="57"/>
      <c r="C45" s="57"/>
      <c r="D45" s="57"/>
      <c r="E45" s="57"/>
      <c r="F45" s="57"/>
      <c r="G45" s="57"/>
      <c r="H45" s="57"/>
      <c r="I45" s="58"/>
      <c r="J45" s="57"/>
      <c r="K45" s="58"/>
      <c r="L45" s="62"/>
      <c r="M45" s="62"/>
      <c r="N45" s="64"/>
      <c r="O45" s="64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</row>
    <row r="46" spans="1:34" x14ac:dyDescent="0.45">
      <c r="A46" s="57"/>
      <c r="B46" s="57"/>
      <c r="C46" s="57"/>
      <c r="D46" s="57"/>
      <c r="E46" s="57"/>
      <c r="F46" s="57"/>
      <c r="G46" s="57"/>
      <c r="H46" s="57"/>
      <c r="I46" s="58"/>
      <c r="J46" s="57"/>
      <c r="K46" s="58"/>
      <c r="L46" s="62"/>
      <c r="M46" s="62"/>
      <c r="N46" s="64"/>
      <c r="O46" s="64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</row>
    <row r="47" spans="1:34" x14ac:dyDescent="0.45">
      <c r="A47" s="57"/>
      <c r="B47" s="57"/>
      <c r="C47" s="57"/>
      <c r="D47" s="57"/>
      <c r="E47" s="57"/>
      <c r="F47" s="57"/>
      <c r="G47" s="57"/>
      <c r="H47" s="57"/>
      <c r="I47" s="58"/>
      <c r="J47" s="57"/>
      <c r="K47" s="58"/>
      <c r="L47" s="62"/>
      <c r="M47" s="62"/>
      <c r="N47" s="64"/>
      <c r="O47" s="64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</row>
    <row r="48" spans="1:34" x14ac:dyDescent="0.45">
      <c r="A48" s="57"/>
      <c r="B48" s="57"/>
      <c r="C48" s="57"/>
      <c r="D48" s="57"/>
      <c r="E48" s="57"/>
      <c r="F48" s="57"/>
      <c r="G48" s="57"/>
      <c r="H48" s="57"/>
      <c r="I48" s="58"/>
      <c r="J48" s="57"/>
      <c r="K48" s="58"/>
      <c r="L48" s="62"/>
      <c r="M48" s="62"/>
      <c r="N48" s="64"/>
      <c r="O48" s="64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</row>
    <row r="49" spans="1:34" x14ac:dyDescent="0.45">
      <c r="A49" s="57"/>
      <c r="B49" s="57"/>
      <c r="C49" s="57"/>
      <c r="D49" s="57"/>
      <c r="E49" s="57"/>
      <c r="F49" s="57"/>
      <c r="G49" s="57"/>
      <c r="H49" s="57"/>
      <c r="I49" s="58"/>
      <c r="J49" s="57"/>
      <c r="K49" s="58"/>
      <c r="L49" s="62"/>
      <c r="M49" s="62"/>
      <c r="N49" s="64"/>
      <c r="O49" s="64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</row>
    <row r="50" spans="1:34" x14ac:dyDescent="0.45">
      <c r="A50" s="57"/>
      <c r="B50" s="57"/>
      <c r="C50" s="57"/>
      <c r="D50" s="57"/>
      <c r="E50" s="57"/>
      <c r="F50" s="57"/>
      <c r="G50" s="57"/>
      <c r="H50" s="57"/>
      <c r="I50" s="58"/>
      <c r="J50" s="57"/>
      <c r="K50" s="58"/>
      <c r="L50" s="62"/>
      <c r="M50" s="62"/>
      <c r="N50" s="64"/>
      <c r="O50" s="64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</row>
    <row r="51" spans="1:34" x14ac:dyDescent="0.45">
      <c r="A51" s="57"/>
      <c r="B51" s="57"/>
      <c r="C51" s="57"/>
      <c r="D51" s="57"/>
      <c r="E51" s="57"/>
      <c r="F51" s="57"/>
      <c r="G51" s="57"/>
      <c r="H51" s="57"/>
      <c r="I51" s="58"/>
      <c r="J51" s="57"/>
      <c r="K51" s="58"/>
      <c r="L51" s="62"/>
      <c r="M51" s="62"/>
      <c r="N51" s="64"/>
      <c r="O51" s="64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</row>
    <row r="52" spans="1:34" x14ac:dyDescent="0.45">
      <c r="A52" s="57"/>
      <c r="B52" s="57"/>
      <c r="C52" s="57"/>
      <c r="D52" s="57"/>
      <c r="E52" s="57"/>
      <c r="F52" s="57"/>
      <c r="G52" s="57"/>
      <c r="H52" s="57"/>
      <c r="I52" s="58"/>
      <c r="J52" s="57"/>
      <c r="K52" s="58"/>
      <c r="L52" s="62"/>
      <c r="M52" s="62"/>
      <c r="N52" s="64"/>
      <c r="O52" s="64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</row>
    <row r="53" spans="1:34" x14ac:dyDescent="0.45">
      <c r="A53" s="57"/>
      <c r="B53" s="57"/>
      <c r="C53" s="57"/>
      <c r="D53" s="57"/>
      <c r="E53" s="57"/>
      <c r="F53" s="57"/>
      <c r="G53" s="57"/>
      <c r="H53" s="57"/>
      <c r="I53" s="58"/>
      <c r="J53" s="57"/>
      <c r="K53" s="58"/>
      <c r="L53" s="62"/>
      <c r="M53" s="62"/>
      <c r="N53" s="64"/>
      <c r="O53" s="64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</row>
    <row r="54" spans="1:34" x14ac:dyDescent="0.45">
      <c r="A54" s="57"/>
      <c r="B54" s="57"/>
      <c r="C54" s="57"/>
      <c r="D54" s="57"/>
      <c r="E54" s="57"/>
      <c r="F54" s="57"/>
      <c r="G54" s="57"/>
      <c r="H54" s="57"/>
      <c r="I54" s="58"/>
      <c r="J54" s="57"/>
      <c r="K54" s="58"/>
      <c r="L54" s="62"/>
      <c r="M54" s="62"/>
      <c r="N54" s="64"/>
      <c r="O54" s="64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</row>
    <row r="55" spans="1:34" x14ac:dyDescent="0.45">
      <c r="A55" s="57"/>
      <c r="B55" s="57"/>
      <c r="C55" s="57"/>
      <c r="D55" s="57"/>
      <c r="E55" s="57"/>
      <c r="F55" s="57"/>
      <c r="G55" s="57"/>
      <c r="H55" s="57"/>
      <c r="I55" s="58"/>
      <c r="J55" s="57"/>
      <c r="K55" s="58"/>
      <c r="L55" s="62"/>
      <c r="M55" s="62"/>
      <c r="N55" s="64"/>
      <c r="O55" s="64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</row>
    <row r="56" spans="1:34" x14ac:dyDescent="0.45">
      <c r="A56" s="57"/>
      <c r="B56" s="57"/>
      <c r="C56" s="57"/>
      <c r="D56" s="57"/>
      <c r="E56" s="57"/>
      <c r="F56" s="57"/>
      <c r="G56" s="57"/>
      <c r="H56" s="57"/>
      <c r="I56" s="58"/>
      <c r="J56" s="57"/>
      <c r="K56" s="58"/>
      <c r="L56" s="62"/>
      <c r="M56" s="62"/>
      <c r="N56" s="64"/>
      <c r="O56" s="64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</row>
    <row r="57" spans="1:34" x14ac:dyDescent="0.45">
      <c r="A57" s="57"/>
      <c r="B57" s="57"/>
      <c r="C57" s="57"/>
      <c r="D57" s="57"/>
      <c r="E57" s="57"/>
      <c r="F57" s="57"/>
      <c r="G57" s="57"/>
      <c r="H57" s="57"/>
      <c r="I57" s="58"/>
      <c r="J57" s="57"/>
      <c r="K57" s="58"/>
      <c r="L57" s="62"/>
      <c r="M57" s="62"/>
      <c r="N57" s="64"/>
      <c r="O57" s="64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</row>
    <row r="58" spans="1:34" x14ac:dyDescent="0.45">
      <c r="A58" s="57"/>
      <c r="B58" s="57"/>
      <c r="C58" s="57"/>
      <c r="D58" s="57"/>
      <c r="E58" s="57"/>
      <c r="F58" s="57"/>
      <c r="G58" s="57"/>
      <c r="H58" s="57"/>
      <c r="I58" s="58"/>
      <c r="J58" s="57"/>
      <c r="K58" s="58"/>
      <c r="L58" s="62"/>
      <c r="M58" s="62"/>
      <c r="N58" s="64"/>
      <c r="O58" s="64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</row>
    <row r="59" spans="1:34" x14ac:dyDescent="0.45">
      <c r="A59" s="57"/>
      <c r="B59" s="57"/>
      <c r="C59" s="57"/>
      <c r="D59" s="57"/>
      <c r="E59" s="57"/>
      <c r="F59" s="57"/>
      <c r="G59" s="57"/>
      <c r="H59" s="57"/>
      <c r="I59" s="58"/>
      <c r="J59" s="57"/>
      <c r="K59" s="58"/>
      <c r="L59" s="62"/>
      <c r="M59" s="62"/>
      <c r="N59" s="64"/>
      <c r="O59" s="64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</row>
    <row r="60" spans="1:34" x14ac:dyDescent="0.45">
      <c r="A60" s="57"/>
      <c r="B60" s="57"/>
      <c r="C60" s="57"/>
      <c r="D60" s="57"/>
      <c r="E60" s="57"/>
      <c r="F60" s="57"/>
      <c r="G60" s="57"/>
      <c r="H60" s="57"/>
      <c r="I60" s="62"/>
      <c r="J60" s="57"/>
      <c r="K60" s="62"/>
      <c r="L60" s="57"/>
      <c r="M60" s="60"/>
      <c r="N60" s="69"/>
      <c r="O60" s="57"/>
      <c r="P60" s="57"/>
      <c r="Q60" s="57"/>
      <c r="R60" s="57"/>
      <c r="S60" s="62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</row>
    <row r="61" spans="1:34" x14ac:dyDescent="0.4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66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</row>
    <row r="62" spans="1:34" x14ac:dyDescent="0.4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</row>
    <row r="63" spans="1:34" x14ac:dyDescent="0.45">
      <c r="N63" s="14"/>
    </row>
  </sheetData>
  <mergeCells count="1">
    <mergeCell ref="B14:D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zoomScale="50" zoomScaleNormal="50" workbookViewId="0">
      <selection activeCell="E5" sqref="E5"/>
    </sheetView>
  </sheetViews>
  <sheetFormatPr defaultRowHeight="14.25" x14ac:dyDescent="0.45"/>
  <cols>
    <col min="3" max="3" width="9.6640625" bestFit="1" customWidth="1"/>
    <col min="5" max="5" width="11.86328125" bestFit="1" customWidth="1"/>
    <col min="6" max="6" width="14" bestFit="1" customWidth="1"/>
    <col min="8" max="8" width="14" bestFit="1" customWidth="1"/>
    <col min="9" max="9" width="10.265625" bestFit="1" customWidth="1"/>
    <col min="10" max="10" width="15.59765625" bestFit="1" customWidth="1"/>
    <col min="11" max="12" width="15" bestFit="1" customWidth="1"/>
    <col min="14" max="14" width="11" customWidth="1"/>
    <col min="15" max="16" width="15.59765625" bestFit="1" customWidth="1"/>
    <col min="19" max="19" width="15.33203125" bestFit="1" customWidth="1"/>
  </cols>
  <sheetData>
    <row r="1" spans="1:19" s="3" customFormat="1" ht="28.5" x14ac:dyDescent="0.45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7" t="s">
        <v>10</v>
      </c>
      <c r="L1" s="37" t="s">
        <v>12</v>
      </c>
      <c r="M1" s="37" t="s">
        <v>14</v>
      </c>
      <c r="N1" s="37" t="s">
        <v>15</v>
      </c>
      <c r="O1" s="37" t="s">
        <v>16</v>
      </c>
      <c r="P1" s="38" t="s">
        <v>13</v>
      </c>
    </row>
    <row r="2" spans="1:19" x14ac:dyDescent="0.45">
      <c r="A2" s="26">
        <v>2500</v>
      </c>
      <c r="B2" s="17">
        <v>1.169</v>
      </c>
      <c r="C2" s="17">
        <v>3.5726</v>
      </c>
      <c r="D2" s="17">
        <v>0.93737967316927495</v>
      </c>
      <c r="E2" s="17">
        <v>0</v>
      </c>
      <c r="F2" s="17">
        <v>0</v>
      </c>
      <c r="G2" s="17">
        <v>0</v>
      </c>
      <c r="H2" s="17">
        <v>0</v>
      </c>
      <c r="I2" s="17">
        <v>302.57</v>
      </c>
      <c r="J2" s="17">
        <v>0</v>
      </c>
      <c r="K2" s="17">
        <f>D2*B2/C2</f>
        <v>0.30672250963860559</v>
      </c>
      <c r="L2" s="17">
        <f>S2</f>
        <v>500</v>
      </c>
      <c r="M2" s="17">
        <v>1</v>
      </c>
      <c r="N2" s="17">
        <f>L2*M2</f>
        <v>500</v>
      </c>
      <c r="O2" s="17">
        <v>0</v>
      </c>
      <c r="P2" s="28">
        <v>0</v>
      </c>
      <c r="R2" t="s">
        <v>11</v>
      </c>
      <c r="S2">
        <v>500</v>
      </c>
    </row>
    <row r="3" spans="1:19" x14ac:dyDescent="0.45">
      <c r="A3" s="26">
        <v>2400</v>
      </c>
      <c r="B3" s="17">
        <v>1.163</v>
      </c>
      <c r="C3" s="17">
        <v>3.6974999999999998</v>
      </c>
      <c r="D3" s="17">
        <v>0.87453109614639835</v>
      </c>
      <c r="E3" s="17">
        <v>23642.56197105068</v>
      </c>
      <c r="F3" s="17">
        <v>23642.56197105068</v>
      </c>
      <c r="G3" s="17">
        <v>6755141.8522682618</v>
      </c>
      <c r="H3" s="17">
        <v>6755141.8522682618</v>
      </c>
      <c r="I3" s="17">
        <v>268.86907335758701</v>
      </c>
      <c r="J3" s="17">
        <v>0.98276494744133724</v>
      </c>
      <c r="K3" s="17">
        <f>$K$2*(D3*B3/(C3))*($C$2/($D$2*$B$2))</f>
        <v>0.27507225552894154</v>
      </c>
      <c r="L3" s="17">
        <f>$L$2*K3/($K$2)</f>
        <v>448.40571996663067</v>
      </c>
      <c r="M3" s="17">
        <v>1</v>
      </c>
      <c r="N3" s="17">
        <f t="shared" ref="N3:N24" si="0">L3*M3</f>
        <v>448.40571996663067</v>
      </c>
      <c r="O3" s="17">
        <f>(N3+N2)/2</f>
        <v>474.20285998331531</v>
      </c>
      <c r="P3" s="28">
        <f>P2+((F3/O3)/30.417)</f>
        <v>1.6391322281662288</v>
      </c>
    </row>
    <row r="4" spans="1:19" x14ac:dyDescent="0.45">
      <c r="A4" s="26">
        <v>2300</v>
      </c>
      <c r="B4" s="17">
        <v>1.157</v>
      </c>
      <c r="C4" s="17">
        <v>3.8277999999999999</v>
      </c>
      <c r="D4" s="17">
        <v>0.81202538857940032</v>
      </c>
      <c r="E4" s="17">
        <v>49897.948423485432</v>
      </c>
      <c r="F4" s="17">
        <v>26255.386452434759</v>
      </c>
      <c r="G4" s="17">
        <v>13829287.97024481</v>
      </c>
      <c r="H4" s="17">
        <v>7074146.11797655</v>
      </c>
      <c r="I4" s="17">
        <v>270.0029124570068</v>
      </c>
      <c r="J4" s="17">
        <v>2.074138780724446</v>
      </c>
      <c r="K4" s="17">
        <f t="shared" ref="K4:K24" si="1">$K$2*(D4*B4/(C4))*($C$2/($D$2*$B$2))</f>
        <v>0.24544473969025712</v>
      </c>
      <c r="L4" s="17">
        <f t="shared" ref="L4:L24" si="2">$L$2*K4/($K$2)</f>
        <v>400.10878233138368</v>
      </c>
      <c r="M4" s="17">
        <v>1</v>
      </c>
      <c r="N4" s="17">
        <f t="shared" si="0"/>
        <v>400.10878233138368</v>
      </c>
      <c r="O4" s="17">
        <f t="shared" ref="O4:O24" si="3">(N4+N3)/2</f>
        <v>424.25725114900717</v>
      </c>
      <c r="P4" s="28">
        <f t="shared" ref="P4:P24" si="4">P3+((F4/O4)/30.417)</f>
        <v>3.6737028232902214</v>
      </c>
    </row>
    <row r="5" spans="1:19" x14ac:dyDescent="0.45">
      <c r="A5" s="26">
        <v>2200</v>
      </c>
      <c r="B5" s="17">
        <v>1.1519999999999999</v>
      </c>
      <c r="C5" s="17">
        <v>3.9638</v>
      </c>
      <c r="D5" s="17">
        <v>0.75340065839293424</v>
      </c>
      <c r="E5" s="17">
        <v>80369.123918749407</v>
      </c>
      <c r="F5" s="17">
        <v>30471.175495263971</v>
      </c>
      <c r="G5" s="17">
        <v>22602451.932963401</v>
      </c>
      <c r="H5" s="17">
        <v>8773163.9627185911</v>
      </c>
      <c r="I5" s="17">
        <v>305.83072836083261</v>
      </c>
      <c r="J5" s="17">
        <v>3.340752915890782</v>
      </c>
      <c r="K5" s="17">
        <f t="shared" si="1"/>
        <v>0.21896098654540094</v>
      </c>
      <c r="L5" s="17">
        <f t="shared" si="2"/>
        <v>356.93661153756</v>
      </c>
      <c r="M5" s="17">
        <v>1</v>
      </c>
      <c r="N5" s="17">
        <f t="shared" si="0"/>
        <v>356.93661153756</v>
      </c>
      <c r="O5" s="17">
        <f t="shared" si="3"/>
        <v>378.52269693447181</v>
      </c>
      <c r="P5" s="28">
        <f t="shared" si="4"/>
        <v>6.3202577082874143</v>
      </c>
    </row>
    <row r="6" spans="1:19" x14ac:dyDescent="0.45">
      <c r="A6" s="26">
        <v>2100</v>
      </c>
      <c r="B6" s="17">
        <v>1.1459999999999999</v>
      </c>
      <c r="C6" s="17">
        <v>4.1058000000000003</v>
      </c>
      <c r="D6" s="17">
        <v>0.69992053006037569</v>
      </c>
      <c r="E6" s="17">
        <v>108769.3998263548</v>
      </c>
      <c r="F6" s="17">
        <v>28400.275907605421</v>
      </c>
      <c r="G6" s="17">
        <v>32620498.7168222</v>
      </c>
      <c r="H6" s="17">
        <v>10018046.7838588</v>
      </c>
      <c r="I6" s="17">
        <v>399.65867015420258</v>
      </c>
      <c r="J6" s="17">
        <v>4.5212846913317399</v>
      </c>
      <c r="K6" s="17">
        <f t="shared" si="1"/>
        <v>0.19535996089658297</v>
      </c>
      <c r="L6" s="17">
        <f t="shared" si="2"/>
        <v>318.46368420557877</v>
      </c>
      <c r="M6" s="17">
        <v>1</v>
      </c>
      <c r="N6" s="17">
        <f t="shared" si="0"/>
        <v>318.46368420557877</v>
      </c>
      <c r="O6" s="17">
        <f t="shared" si="3"/>
        <v>337.70014787156936</v>
      </c>
      <c r="P6" s="28">
        <f t="shared" si="4"/>
        <v>9.085129073182479</v>
      </c>
    </row>
    <row r="7" spans="1:19" x14ac:dyDescent="0.45">
      <c r="A7" s="26">
        <v>2000</v>
      </c>
      <c r="B7" s="17">
        <v>1.141</v>
      </c>
      <c r="C7" s="17">
        <v>4.2539999999999996</v>
      </c>
      <c r="D7" s="17">
        <v>0.65488252798754687</v>
      </c>
      <c r="E7" s="17">
        <v>138010.1750817002</v>
      </c>
      <c r="F7" s="17">
        <v>29240.775255345379</v>
      </c>
      <c r="G7" s="17">
        <v>46821835.046498612</v>
      </c>
      <c r="H7" s="17">
        <v>14201336.32967641</v>
      </c>
      <c r="I7" s="17">
        <v>571.67921029958802</v>
      </c>
      <c r="J7" s="17">
        <v>5.7367540212694372</v>
      </c>
      <c r="K7" s="17">
        <f t="shared" si="1"/>
        <v>0.17565137856929738</v>
      </c>
      <c r="L7" s="17">
        <f t="shared" si="2"/>
        <v>286.33597641115063</v>
      </c>
      <c r="M7" s="17">
        <v>1</v>
      </c>
      <c r="N7" s="17">
        <f t="shared" si="0"/>
        <v>286.33597641115063</v>
      </c>
      <c r="O7" s="17">
        <f t="shared" si="3"/>
        <v>302.3998303083647</v>
      </c>
      <c r="P7" s="28">
        <f t="shared" si="4"/>
        <v>12.264132249990844</v>
      </c>
    </row>
    <row r="8" spans="1:19" x14ac:dyDescent="0.45">
      <c r="A8" s="26">
        <v>1900</v>
      </c>
      <c r="B8" s="17">
        <v>1.135</v>
      </c>
      <c r="C8" s="17">
        <v>4.4085999999999999</v>
      </c>
      <c r="D8" s="17">
        <v>0.61750110195437502</v>
      </c>
      <c r="E8" s="17">
        <v>161095.35459420661</v>
      </c>
      <c r="F8" s="17">
        <v>23085.17951250638</v>
      </c>
      <c r="G8" s="17">
        <v>62860412.048230492</v>
      </c>
      <c r="H8" s="17">
        <v>16038577.00173188</v>
      </c>
      <c r="I8" s="17">
        <v>817.83365816591288</v>
      </c>
      <c r="J8" s="17">
        <v>6.696349908469049</v>
      </c>
      <c r="K8" s="17">
        <f t="shared" si="1"/>
        <v>0.15897648929778518</v>
      </c>
      <c r="L8" s="17">
        <f t="shared" si="2"/>
        <v>259.15360676511568</v>
      </c>
      <c r="M8" s="17">
        <v>1</v>
      </c>
      <c r="N8" s="17">
        <f t="shared" si="0"/>
        <v>259.15360676511568</v>
      </c>
      <c r="O8" s="17">
        <f t="shared" si="3"/>
        <v>272.74479158813313</v>
      </c>
      <c r="P8" s="28">
        <f t="shared" si="4"/>
        <v>15.046793961475789</v>
      </c>
    </row>
    <row r="9" spans="1:19" x14ac:dyDescent="0.45">
      <c r="A9" s="26">
        <v>1800</v>
      </c>
      <c r="B9" s="17">
        <v>1.1299999999999999</v>
      </c>
      <c r="C9" s="17">
        <v>4.5697999999999999</v>
      </c>
      <c r="D9" s="17">
        <v>0.58569685559034101</v>
      </c>
      <c r="E9" s="17">
        <v>181810.04588973249</v>
      </c>
      <c r="F9" s="17">
        <v>20714.691295525899</v>
      </c>
      <c r="G9" s="17">
        <v>82891548.775034025</v>
      </c>
      <c r="H9" s="17">
        <v>20031136.726803541</v>
      </c>
      <c r="I9" s="17">
        <v>1116.1692618901529</v>
      </c>
      <c r="J9" s="17">
        <v>7.5574102507127598</v>
      </c>
      <c r="K9" s="17">
        <f t="shared" si="1"/>
        <v>0.1448285366574216</v>
      </c>
      <c r="L9" s="17">
        <f t="shared" si="2"/>
        <v>236.09049239337727</v>
      </c>
      <c r="M9" s="17">
        <v>1</v>
      </c>
      <c r="N9" s="17">
        <f t="shared" si="0"/>
        <v>236.09049239337727</v>
      </c>
      <c r="O9" s="17">
        <f t="shared" si="3"/>
        <v>247.62204957924649</v>
      </c>
      <c r="P9" s="28">
        <f t="shared" si="4"/>
        <v>17.797047763947536</v>
      </c>
    </row>
    <row r="10" spans="1:19" x14ac:dyDescent="0.45">
      <c r="A10" s="26">
        <v>1700</v>
      </c>
      <c r="B10" s="17">
        <v>1.125</v>
      </c>
      <c r="C10" s="17">
        <v>4.7378</v>
      </c>
      <c r="D10" s="17">
        <v>0.55848036169765314</v>
      </c>
      <c r="E10" s="17">
        <v>199236.39001490379</v>
      </c>
      <c r="F10" s="17">
        <v>17426.344125171308</v>
      </c>
      <c r="G10" s="17">
        <v>105335165.14046261</v>
      </c>
      <c r="H10" s="17">
        <v>22443616.365428559</v>
      </c>
      <c r="I10" s="17">
        <v>1459.6568786036639</v>
      </c>
      <c r="J10" s="17">
        <v>8.2817818390896338</v>
      </c>
      <c r="K10" s="17">
        <f t="shared" si="1"/>
        <v>0.13261226875551096</v>
      </c>
      <c r="L10" s="17">
        <f t="shared" si="2"/>
        <v>216.17629060182244</v>
      </c>
      <c r="M10" s="17">
        <v>1</v>
      </c>
      <c r="N10" s="17">
        <f t="shared" si="0"/>
        <v>216.17629060182244</v>
      </c>
      <c r="O10" s="17">
        <f t="shared" si="3"/>
        <v>226.13339149759986</v>
      </c>
      <c r="P10" s="28">
        <f t="shared" si="4"/>
        <v>20.33057286802315</v>
      </c>
    </row>
    <row r="11" spans="1:19" x14ac:dyDescent="0.45">
      <c r="A11" s="26">
        <v>1600</v>
      </c>
      <c r="B11" s="17">
        <v>1.1200000000000001</v>
      </c>
      <c r="C11" s="17">
        <v>4.9128999999999996</v>
      </c>
      <c r="D11" s="17">
        <v>0.53430202638825031</v>
      </c>
      <c r="E11" s="17">
        <v>213762.66925722791</v>
      </c>
      <c r="F11" s="17">
        <v>14526.279242324121</v>
      </c>
      <c r="G11" s="17">
        <v>129195301.53286719</v>
      </c>
      <c r="H11" s="17">
        <v>23860136.392404649</v>
      </c>
      <c r="I11" s="17">
        <v>1825.442628899287</v>
      </c>
      <c r="J11" s="17">
        <v>8.8856046427934405</v>
      </c>
      <c r="K11" s="17">
        <f t="shared" si="1"/>
        <v>0.1218055058223942</v>
      </c>
      <c r="L11" s="17">
        <f t="shared" si="2"/>
        <v>198.5597763364531</v>
      </c>
      <c r="M11" s="17">
        <v>1</v>
      </c>
      <c r="N11" s="17">
        <f t="shared" si="0"/>
        <v>198.5597763364531</v>
      </c>
      <c r="O11" s="17">
        <f t="shared" si="3"/>
        <v>207.36803346913777</v>
      </c>
      <c r="P11" s="28">
        <f t="shared" si="4"/>
        <v>22.633584871426962</v>
      </c>
    </row>
    <row r="12" spans="1:19" x14ac:dyDescent="0.45">
      <c r="A12" s="26">
        <v>1500</v>
      </c>
      <c r="B12" s="17">
        <v>1.115</v>
      </c>
      <c r="C12" s="17">
        <v>5.0952000000000002</v>
      </c>
      <c r="D12" s="17">
        <v>0.5139257450098299</v>
      </c>
      <c r="E12" s="17">
        <v>226448.07213845549</v>
      </c>
      <c r="F12" s="17">
        <v>12685.40288122755</v>
      </c>
      <c r="G12" s="17">
        <v>154933675.85878181</v>
      </c>
      <c r="H12" s="17">
        <v>25738374.32591461</v>
      </c>
      <c r="I12" s="17">
        <v>2232.5087924155951</v>
      </c>
      <c r="J12" s="17">
        <v>9.4129066040236484</v>
      </c>
      <c r="K12" s="17">
        <f t="shared" si="1"/>
        <v>0.11246412421219193</v>
      </c>
      <c r="L12" s="17">
        <f t="shared" si="2"/>
        <v>183.33203576206762</v>
      </c>
      <c r="M12" s="17">
        <v>1</v>
      </c>
      <c r="N12" s="17">
        <f t="shared" si="0"/>
        <v>183.33203576206762</v>
      </c>
      <c r="O12" s="17">
        <f t="shared" si="3"/>
        <v>190.94590604926037</v>
      </c>
      <c r="P12" s="28">
        <f t="shared" si="4"/>
        <v>24.81771010103305</v>
      </c>
    </row>
    <row r="13" spans="1:19" x14ac:dyDescent="0.45">
      <c r="A13" s="26">
        <v>1400</v>
      </c>
      <c r="B13" s="17">
        <v>1.1100000000000001</v>
      </c>
      <c r="C13" s="17">
        <v>5.2847999999999997</v>
      </c>
      <c r="D13" s="17">
        <v>0.49664562282044922</v>
      </c>
      <c r="E13" s="17">
        <v>236295.04010567549</v>
      </c>
      <c r="F13" s="17">
        <v>9846.9679672200582</v>
      </c>
      <c r="G13" s="17">
        <v>178790443.3200331</v>
      </c>
      <c r="H13" s="17">
        <v>23856767.461251229</v>
      </c>
      <c r="I13" s="17">
        <v>2612.996451567918</v>
      </c>
      <c r="J13" s="17">
        <v>9.8222215914861319</v>
      </c>
      <c r="K13" s="17">
        <f t="shared" si="1"/>
        <v>0.10431362422999899</v>
      </c>
      <c r="L13" s="17">
        <f t="shared" si="2"/>
        <v>170.04559651149509</v>
      </c>
      <c r="M13" s="17">
        <v>1</v>
      </c>
      <c r="N13" s="17">
        <f t="shared" si="0"/>
        <v>170.04559651149509</v>
      </c>
      <c r="O13" s="17">
        <f t="shared" si="3"/>
        <v>176.68881613678136</v>
      </c>
      <c r="P13" s="28">
        <f t="shared" si="4"/>
        <v>26.649927852529537</v>
      </c>
    </row>
    <row r="14" spans="1:19" x14ac:dyDescent="0.45">
      <c r="A14" s="26">
        <v>1300</v>
      </c>
      <c r="B14" s="17">
        <v>1.1060000000000001</v>
      </c>
      <c r="C14" s="17">
        <v>5.4820000000000002</v>
      </c>
      <c r="D14" s="17">
        <v>0.47879518465591181</v>
      </c>
      <c r="E14" s="17">
        <v>245650.02323187789</v>
      </c>
      <c r="F14" s="17">
        <v>9354.9831262023363</v>
      </c>
      <c r="G14" s="17">
        <v>204827493.44847059</v>
      </c>
      <c r="H14" s="17">
        <v>26037050.128437512</v>
      </c>
      <c r="I14" s="17">
        <v>2953.4593671519319</v>
      </c>
      <c r="J14" s="17">
        <v>10.21108594178768</v>
      </c>
      <c r="K14" s="17">
        <f t="shared" si="1"/>
        <v>9.6597496211134337E-2</v>
      </c>
      <c r="L14" s="17">
        <f t="shared" si="2"/>
        <v>157.46724347839665</v>
      </c>
      <c r="M14" s="17">
        <v>1</v>
      </c>
      <c r="N14" s="17">
        <f t="shared" si="0"/>
        <v>157.46724347839665</v>
      </c>
      <c r="O14" s="17">
        <f t="shared" si="3"/>
        <v>163.75641999494587</v>
      </c>
      <c r="P14" s="28">
        <f t="shared" si="4"/>
        <v>28.528069293302185</v>
      </c>
    </row>
    <row r="15" spans="1:19" x14ac:dyDescent="0.45">
      <c r="A15" s="26">
        <v>1200</v>
      </c>
      <c r="B15" s="17">
        <v>1.101</v>
      </c>
      <c r="C15" s="17">
        <v>5.6867000000000001</v>
      </c>
      <c r="D15" s="17">
        <v>0.46315102231487731</v>
      </c>
      <c r="E15" s="17">
        <v>254169.78059721689</v>
      </c>
      <c r="F15" s="17">
        <v>8519.7573653390864</v>
      </c>
      <c r="G15" s="17">
        <v>231673594.85807219</v>
      </c>
      <c r="H15" s="17">
        <v>26846101.40960164</v>
      </c>
      <c r="I15" s="17">
        <v>3348.621844413924</v>
      </c>
      <c r="J15" s="17">
        <v>10.565231948029</v>
      </c>
      <c r="K15" s="17">
        <f t="shared" si="1"/>
        <v>8.9670507599957788E-2</v>
      </c>
      <c r="L15" s="17">
        <f t="shared" si="2"/>
        <v>146.17529653368391</v>
      </c>
      <c r="M15" s="17">
        <v>1</v>
      </c>
      <c r="N15" s="17">
        <f t="shared" si="0"/>
        <v>146.17529653368391</v>
      </c>
      <c r="O15" s="17">
        <f t="shared" si="3"/>
        <v>151.82127000604027</v>
      </c>
      <c r="P15" s="28">
        <f t="shared" si="4"/>
        <v>30.372992224238914</v>
      </c>
    </row>
    <row r="16" spans="1:19" x14ac:dyDescent="0.45">
      <c r="A16" s="26">
        <v>1100</v>
      </c>
      <c r="B16" s="17">
        <v>1.0960000000000001</v>
      </c>
      <c r="C16" s="17">
        <v>5.899</v>
      </c>
      <c r="D16" s="17">
        <v>0.44987178710360298</v>
      </c>
      <c r="E16" s="17">
        <v>260919.51735306109</v>
      </c>
      <c r="F16" s="17">
        <v>6749.7367558441474</v>
      </c>
      <c r="G16" s="17">
        <v>255433564.27302641</v>
      </c>
      <c r="H16" s="17">
        <v>23759969.4149542</v>
      </c>
      <c r="I16" s="17">
        <v>3691.6436576094052</v>
      </c>
      <c r="J16" s="17">
        <v>10.84580241650117</v>
      </c>
      <c r="K16" s="17">
        <f t="shared" si="1"/>
        <v>8.3583569870410046E-2</v>
      </c>
      <c r="L16" s="17">
        <f t="shared" si="2"/>
        <v>136.25274840260667</v>
      </c>
      <c r="M16" s="17">
        <v>1</v>
      </c>
      <c r="N16" s="17">
        <f t="shared" si="0"/>
        <v>136.25274840260667</v>
      </c>
      <c r="O16" s="17">
        <f t="shared" si="3"/>
        <v>141.21402246814529</v>
      </c>
      <c r="P16" s="28">
        <f t="shared" si="4"/>
        <v>31.944413517137541</v>
      </c>
    </row>
    <row r="17" spans="1:19" x14ac:dyDescent="0.45">
      <c r="A17" s="26">
        <v>1000</v>
      </c>
      <c r="B17" s="17">
        <v>1.0920000000000001</v>
      </c>
      <c r="C17" s="17">
        <v>6.1188000000000002</v>
      </c>
      <c r="D17" s="17">
        <v>0.43711531849236418</v>
      </c>
      <c r="E17" s="17">
        <v>267509.25840617472</v>
      </c>
      <c r="F17" s="17">
        <v>6589.7410531136265</v>
      </c>
      <c r="G17" s="17">
        <v>280526388.45554513</v>
      </c>
      <c r="H17" s="17">
        <v>25092824.182518661</v>
      </c>
      <c r="I17" s="17">
        <v>3924.0802320758821</v>
      </c>
      <c r="J17" s="17">
        <v>11.119722244971751</v>
      </c>
      <c r="K17" s="17">
        <f t="shared" si="1"/>
        <v>7.8010382394205033E-2</v>
      </c>
      <c r="L17" s="17">
        <f t="shared" si="2"/>
        <v>127.16768405116471</v>
      </c>
      <c r="M17" s="17">
        <v>1</v>
      </c>
      <c r="N17" s="17">
        <f t="shared" si="0"/>
        <v>127.16768405116471</v>
      </c>
      <c r="O17" s="17">
        <f t="shared" si="3"/>
        <v>131.71021622688568</v>
      </c>
      <c r="P17" s="28">
        <f t="shared" si="4"/>
        <v>33.589287035082862</v>
      </c>
    </row>
    <row r="18" spans="1:19" x14ac:dyDescent="0.45">
      <c r="A18" s="26">
        <v>900</v>
      </c>
      <c r="B18" s="17">
        <v>1.0880000000000001</v>
      </c>
      <c r="C18" s="17">
        <v>6.3460000000000001</v>
      </c>
      <c r="D18" s="17">
        <v>0.42414137705879201</v>
      </c>
      <c r="E18" s="17">
        <v>273881.98816383898</v>
      </c>
      <c r="F18" s="17">
        <v>6372.7297576643177</v>
      </c>
      <c r="G18" s="17">
        <v>306238737.37373209</v>
      </c>
      <c r="H18" s="17">
        <v>25712348.91818697</v>
      </c>
      <c r="I18" s="17">
        <v>4145.4127155148699</v>
      </c>
      <c r="J18" s="17">
        <v>11.384621431152061</v>
      </c>
      <c r="K18" s="17">
        <f t="shared" si="1"/>
        <v>7.2717588755115942E-2</v>
      </c>
      <c r="L18" s="17">
        <f t="shared" si="2"/>
        <v>118.53970033173488</v>
      </c>
      <c r="M18" s="17">
        <v>1</v>
      </c>
      <c r="N18" s="17">
        <f t="shared" si="0"/>
        <v>118.53970033173488</v>
      </c>
      <c r="O18" s="17">
        <f t="shared" si="3"/>
        <v>122.8536921914498</v>
      </c>
      <c r="P18" s="28">
        <f t="shared" si="4"/>
        <v>35.294666036978214</v>
      </c>
    </row>
    <row r="19" spans="1:19" x14ac:dyDescent="0.45">
      <c r="A19" s="26">
        <v>800</v>
      </c>
      <c r="B19" s="17">
        <v>1.083</v>
      </c>
      <c r="C19" s="17">
        <v>6.5803000000000003</v>
      </c>
      <c r="D19" s="17">
        <v>0.41249699982122368</v>
      </c>
      <c r="E19" s="17">
        <v>278907.53352502477</v>
      </c>
      <c r="F19" s="17">
        <v>5025.5453611857956</v>
      </c>
      <c r="G19" s="17">
        <v>327427521.11644179</v>
      </c>
      <c r="H19" s="17">
        <v>21188783.742709689</v>
      </c>
      <c r="I19" s="17">
        <v>4287.0188794156029</v>
      </c>
      <c r="J19" s="17">
        <v>11.59352137307871</v>
      </c>
      <c r="K19" s="17">
        <f t="shared" si="1"/>
        <v>6.788964801093951E-2</v>
      </c>
      <c r="L19" s="17">
        <f t="shared" si="2"/>
        <v>110.66949095279995</v>
      </c>
      <c r="M19" s="17">
        <v>1</v>
      </c>
      <c r="N19" s="17">
        <f t="shared" si="0"/>
        <v>110.66949095279995</v>
      </c>
      <c r="O19" s="17">
        <f t="shared" si="3"/>
        <v>114.60459564226741</v>
      </c>
      <c r="P19" s="28">
        <f t="shared" si="4"/>
        <v>36.736332468950557</v>
      </c>
    </row>
    <row r="20" spans="1:19" x14ac:dyDescent="0.45">
      <c r="A20" s="26">
        <v>700</v>
      </c>
      <c r="B20" s="17">
        <v>1.079</v>
      </c>
      <c r="C20" s="17">
        <v>6.8213999999999997</v>
      </c>
      <c r="D20" s="17">
        <v>0.40146981569353801</v>
      </c>
      <c r="E20" s="17">
        <v>284711.01991164731</v>
      </c>
      <c r="F20" s="17">
        <v>5803.4863866224186</v>
      </c>
      <c r="G20" s="17">
        <v>352413358.06015623</v>
      </c>
      <c r="H20" s="17">
        <v>24985836.94371435</v>
      </c>
      <c r="I20" s="17">
        <v>4323.6111037300634</v>
      </c>
      <c r="J20" s="17">
        <v>11.83475846915608</v>
      </c>
      <c r="K20" s="17">
        <f t="shared" si="1"/>
        <v>6.3503962695828933E-2</v>
      </c>
      <c r="L20" s="17">
        <f t="shared" si="2"/>
        <v>103.52021892793618</v>
      </c>
      <c r="M20" s="17">
        <v>1</v>
      </c>
      <c r="N20" s="17">
        <f t="shared" si="0"/>
        <v>103.52021892793618</v>
      </c>
      <c r="O20" s="17">
        <f t="shared" si="3"/>
        <v>107.09485494036807</v>
      </c>
      <c r="P20" s="28">
        <f t="shared" si="4"/>
        <v>38.517906958332475</v>
      </c>
    </row>
    <row r="21" spans="1:19" x14ac:dyDescent="0.45">
      <c r="A21" s="26">
        <v>600</v>
      </c>
      <c r="B21" s="17">
        <v>1.075</v>
      </c>
      <c r="C21" s="17">
        <v>7.0686999999999998</v>
      </c>
      <c r="D21" s="17">
        <v>0.39196908612530212</v>
      </c>
      <c r="E21" s="17">
        <v>290100.13600315253</v>
      </c>
      <c r="F21" s="17">
        <v>5389.1160915052751</v>
      </c>
      <c r="G21" s="17">
        <v>375593659.56680298</v>
      </c>
      <c r="H21" s="17">
        <v>23180301.506646879</v>
      </c>
      <c r="I21" s="17">
        <v>4279.0246951852323</v>
      </c>
      <c r="J21" s="17">
        <v>12.05877117974593</v>
      </c>
      <c r="K21" s="17">
        <f t="shared" si="1"/>
        <v>5.9610220773932951E-2</v>
      </c>
      <c r="L21" s="17">
        <f t="shared" si="2"/>
        <v>97.172882492661572</v>
      </c>
      <c r="M21" s="17">
        <v>1</v>
      </c>
      <c r="N21" s="17">
        <f t="shared" si="0"/>
        <v>97.172882492661572</v>
      </c>
      <c r="O21" s="17">
        <f t="shared" si="3"/>
        <v>100.34655071029889</v>
      </c>
      <c r="P21" s="28">
        <f t="shared" si="4"/>
        <v>40.283532947013839</v>
      </c>
    </row>
    <row r="22" spans="1:19" x14ac:dyDescent="0.45">
      <c r="A22" s="26">
        <v>500</v>
      </c>
      <c r="B22" s="17">
        <v>1.0720000000000001</v>
      </c>
      <c r="C22" s="17">
        <v>7.3215000000000003</v>
      </c>
      <c r="D22" s="17">
        <v>0.37988896057552068</v>
      </c>
      <c r="E22" s="17">
        <v>295876.03620328999</v>
      </c>
      <c r="F22" s="17">
        <v>5775.9002001375193</v>
      </c>
      <c r="G22" s="17">
        <v>399568306.07261169</v>
      </c>
      <c r="H22" s="17">
        <v>23974646.50580864</v>
      </c>
      <c r="I22" s="17">
        <v>4022.589139914558</v>
      </c>
      <c r="J22" s="17">
        <v>12.298861583804721</v>
      </c>
      <c r="K22" s="17">
        <f t="shared" si="1"/>
        <v>5.5622613636134424E-2</v>
      </c>
      <c r="L22" s="17">
        <f t="shared" si="2"/>
        <v>90.672532807702183</v>
      </c>
      <c r="M22" s="17">
        <v>1</v>
      </c>
      <c r="N22" s="17">
        <f t="shared" si="0"/>
        <v>90.672532807702183</v>
      </c>
      <c r="O22" s="17">
        <f t="shared" si="3"/>
        <v>93.922707650181877</v>
      </c>
      <c r="P22" s="28">
        <f t="shared" si="4"/>
        <v>42.305307372797557</v>
      </c>
    </row>
    <row r="23" spans="1:19" x14ac:dyDescent="0.45">
      <c r="A23" s="26">
        <v>400</v>
      </c>
      <c r="B23" s="17">
        <v>1.0680000000000001</v>
      </c>
      <c r="C23" s="17">
        <v>7.5792000000000002</v>
      </c>
      <c r="D23" s="17">
        <v>0.36827643195659621</v>
      </c>
      <c r="E23" s="17">
        <v>303213.76917012437</v>
      </c>
      <c r="F23" s="17">
        <v>7337.73296683433</v>
      </c>
      <c r="G23" s="17">
        <v>427979155.08605921</v>
      </c>
      <c r="H23" s="17">
        <v>28410849.013447441</v>
      </c>
      <c r="I23" s="17">
        <v>3721.178353904324</v>
      </c>
      <c r="J23" s="17">
        <v>12.60387365323778</v>
      </c>
      <c r="K23" s="17">
        <f t="shared" si="1"/>
        <v>5.1894557384637524E-2</v>
      </c>
      <c r="L23" s="17">
        <f t="shared" si="2"/>
        <v>84.595286869851918</v>
      </c>
      <c r="M23" s="17">
        <v>1</v>
      </c>
      <c r="N23" s="17">
        <f t="shared" si="0"/>
        <v>84.595286869851918</v>
      </c>
      <c r="O23" s="17">
        <f t="shared" si="3"/>
        <v>87.633909838777043</v>
      </c>
      <c r="P23" s="28">
        <f t="shared" si="4"/>
        <v>45.058098987787787</v>
      </c>
    </row>
    <row r="24" spans="1:19" ht="14.65" thickBot="1" x14ac:dyDescent="0.5">
      <c r="A24" s="29">
        <v>300</v>
      </c>
      <c r="B24" s="30">
        <v>1.0649999999999999</v>
      </c>
      <c r="C24" s="30">
        <v>7.8417000000000003</v>
      </c>
      <c r="D24" s="30">
        <v>0</v>
      </c>
      <c r="E24" s="30">
        <v>312329.63945553749</v>
      </c>
      <c r="F24" s="30">
        <v>9115.8702854131698</v>
      </c>
      <c r="G24" s="30">
        <v>459592132.23767591</v>
      </c>
      <c r="H24" s="30">
        <v>31612977.15161673</v>
      </c>
      <c r="I24" s="30">
        <v>3214.632745163743</v>
      </c>
      <c r="J24" s="30">
        <v>12.98279865268986</v>
      </c>
      <c r="K24" s="30">
        <f t="shared" si="1"/>
        <v>0</v>
      </c>
      <c r="L24" s="30">
        <f t="shared" si="2"/>
        <v>0</v>
      </c>
      <c r="M24" s="30">
        <v>1</v>
      </c>
      <c r="N24" s="30">
        <f t="shared" si="0"/>
        <v>0</v>
      </c>
      <c r="O24" s="30">
        <f t="shared" si="3"/>
        <v>42.297643434925959</v>
      </c>
      <c r="P24" s="32">
        <f t="shared" si="4"/>
        <v>52.143518796460853</v>
      </c>
    </row>
    <row r="27" spans="1:19" x14ac:dyDescent="0.45">
      <c r="A27" s="4" t="s">
        <v>17</v>
      </c>
    </row>
    <row r="28" spans="1:19" ht="14.65" thickBot="1" x14ac:dyDescent="0.5"/>
    <row r="29" spans="1:19" s="3" customFormat="1" ht="28.5" x14ac:dyDescent="0.45">
      <c r="A29" s="5" t="s">
        <v>27</v>
      </c>
      <c r="B29" s="6" t="s">
        <v>18</v>
      </c>
      <c r="C29" s="6" t="s">
        <v>19</v>
      </c>
      <c r="D29" s="6" t="s">
        <v>20</v>
      </c>
      <c r="E29" s="6" t="s">
        <v>21</v>
      </c>
      <c r="F29" s="6" t="s">
        <v>22</v>
      </c>
      <c r="G29" s="6" t="s">
        <v>23</v>
      </c>
      <c r="H29" s="6" t="s">
        <v>39</v>
      </c>
      <c r="I29" s="6" t="s">
        <v>24</v>
      </c>
      <c r="J29" s="6" t="s">
        <v>25</v>
      </c>
      <c r="K29" s="6" t="s">
        <v>26</v>
      </c>
      <c r="L29" s="7" t="s">
        <v>42</v>
      </c>
    </row>
    <row r="30" spans="1:19" ht="28.5" x14ac:dyDescent="0.45">
      <c r="A30" s="26">
        <v>0</v>
      </c>
      <c r="B30" s="17">
        <f>S2</f>
        <v>500</v>
      </c>
      <c r="C30" s="17">
        <v>1</v>
      </c>
      <c r="D30" s="17">
        <v>0</v>
      </c>
      <c r="E30" s="17">
        <v>0</v>
      </c>
      <c r="F30" s="18">
        <f>C30*$O$30</f>
        <v>4000000</v>
      </c>
      <c r="G30" s="19">
        <f>(D30*$R$30)+(E30*$R$31)</f>
        <v>0</v>
      </c>
      <c r="H30" s="22">
        <f>O31</f>
        <v>7000000</v>
      </c>
      <c r="I30" s="18">
        <f>$O$34</f>
        <v>5000</v>
      </c>
      <c r="J30" s="18">
        <f>G30-H30-I30-F30</f>
        <v>-11005000</v>
      </c>
      <c r="K30" s="20">
        <f>J30/(1+$R$32)^A30</f>
        <v>-11005000</v>
      </c>
      <c r="L30" s="27">
        <f>K30</f>
        <v>-11005000</v>
      </c>
      <c r="N30" s="8" t="s">
        <v>28</v>
      </c>
      <c r="O30" s="10">
        <f>4*10^6</f>
        <v>4000000</v>
      </c>
      <c r="P30" s="4"/>
      <c r="Q30" s="8" t="s">
        <v>31</v>
      </c>
      <c r="R30" s="11">
        <v>35.024999999999999</v>
      </c>
      <c r="S30" s="4" t="s">
        <v>34</v>
      </c>
    </row>
    <row r="31" spans="1:19" ht="28.5" x14ac:dyDescent="0.45">
      <c r="A31" s="26">
        <v>1</v>
      </c>
      <c r="B31" s="17">
        <f>TREND($N$3:$N$23,$P$3:$P$23,A31,TRUE)</f>
        <v>391.0275498077811</v>
      </c>
      <c r="C31" s="21">
        <f>TREND($M$3:$M$23,$P$3:$P$23,$A31,TRUE)</f>
        <v>1</v>
      </c>
      <c r="D31" s="17">
        <f>TREND($F$3:$F$23,$P$3:$P$23,$A31,TRUE)</f>
        <v>29871.356102935082</v>
      </c>
      <c r="E31" s="17">
        <f>H3</f>
        <v>6755141.8522682618</v>
      </c>
      <c r="F31" s="18">
        <v>0</v>
      </c>
      <c r="G31" s="17">
        <f t="shared" ref="G31:G62" si="5">(D31*$R$30)+(E31*$R$31)</f>
        <v>1060902.9053247233</v>
      </c>
      <c r="H31" s="22">
        <v>0</v>
      </c>
      <c r="I31" s="18">
        <f t="shared" ref="I31:I62" si="6">$O$34</f>
        <v>5000</v>
      </c>
      <c r="J31" s="18">
        <f t="shared" ref="J31:J62" si="7">G31-H31-I31-F31</f>
        <v>1055902.9053247233</v>
      </c>
      <c r="K31" s="20">
        <f t="shared" ref="K31:K62" si="8">J31/(1+$R$32)^A31</f>
        <v>1048910.1708523743</v>
      </c>
      <c r="L31" s="27">
        <f>K31+L30</f>
        <v>-9956089.8291476257</v>
      </c>
      <c r="N31" s="8" t="s">
        <v>29</v>
      </c>
      <c r="O31" s="10">
        <f>7*10^6</f>
        <v>7000000</v>
      </c>
      <c r="P31" s="4"/>
      <c r="Q31" s="8" t="s">
        <v>32</v>
      </c>
      <c r="R31" s="11">
        <v>2.1700000000000001E-3</v>
      </c>
      <c r="S31" s="4" t="s">
        <v>35</v>
      </c>
    </row>
    <row r="32" spans="1:19" ht="28.5" x14ac:dyDescent="0.45">
      <c r="A32" s="26">
        <v>2</v>
      </c>
      <c r="B32" s="17">
        <f t="shared" ref="B32:B62" si="9">TREND($N$3:$N$23,$P$3:$P$23,A32,TRUE)</f>
        <v>383.12592203343951</v>
      </c>
      <c r="C32" s="21">
        <f t="shared" ref="C32:C47" si="10">TREND($M$3:$M$23,$P$3:$P$23,$A32,TRUE)</f>
        <v>1</v>
      </c>
      <c r="D32" s="17">
        <f t="shared" ref="D32:D62" si="11">TREND($F$3:$F$23,$P$3:$P$23,$A32,TRUE)</f>
        <v>29225.625735555743</v>
      </c>
      <c r="E32" s="17">
        <f>H4</f>
        <v>7074146.11797655</v>
      </c>
      <c r="F32" s="18">
        <v>0</v>
      </c>
      <c r="G32" s="17">
        <f t="shared" si="5"/>
        <v>1038978.4384638489</v>
      </c>
      <c r="H32" s="22">
        <v>0</v>
      </c>
      <c r="I32" s="18">
        <f t="shared" si="6"/>
        <v>5000</v>
      </c>
      <c r="J32" s="18">
        <f t="shared" si="7"/>
        <v>1033978.4384638489</v>
      </c>
      <c r="K32" s="20">
        <f t="shared" si="8"/>
        <v>1020328.7077512654</v>
      </c>
      <c r="L32" s="27">
        <f t="shared" ref="L32:L62" si="12">K32+L31</f>
        <v>-8935761.1213963609</v>
      </c>
      <c r="N32" s="8" t="s">
        <v>30</v>
      </c>
      <c r="O32" s="10">
        <f>5*10^6</f>
        <v>5000000</v>
      </c>
      <c r="P32" s="4"/>
      <c r="Q32" s="9" t="s">
        <v>40</v>
      </c>
      <c r="R32" s="4">
        <f>20/(100*30)</f>
        <v>6.6666666666666671E-3</v>
      </c>
      <c r="S32" s="4"/>
    </row>
    <row r="33" spans="1:19" x14ac:dyDescent="0.45">
      <c r="A33" s="26">
        <v>3</v>
      </c>
      <c r="B33" s="17">
        <f t="shared" si="9"/>
        <v>375.22429425909786</v>
      </c>
      <c r="C33" s="21">
        <f t="shared" si="10"/>
        <v>1</v>
      </c>
      <c r="D33" s="17">
        <f t="shared" si="11"/>
        <v>28579.8953681764</v>
      </c>
      <c r="E33" s="17">
        <f>H5</f>
        <v>8773163.9627185911</v>
      </c>
      <c r="F33" s="18">
        <v>0</v>
      </c>
      <c r="G33" s="17">
        <f t="shared" si="5"/>
        <v>1020048.6010694777</v>
      </c>
      <c r="H33" s="22">
        <v>0</v>
      </c>
      <c r="I33" s="18">
        <f t="shared" si="6"/>
        <v>5000</v>
      </c>
      <c r="J33" s="18">
        <f t="shared" si="7"/>
        <v>1015048.6010694777</v>
      </c>
      <c r="K33" s="20">
        <f t="shared" si="8"/>
        <v>995015.33092091279</v>
      </c>
      <c r="L33" s="27">
        <f t="shared" si="12"/>
        <v>-7940745.7904754486</v>
      </c>
      <c r="N33" s="4"/>
      <c r="O33" s="10"/>
      <c r="P33" s="4"/>
      <c r="Q33" s="4"/>
      <c r="R33" s="4"/>
      <c r="S33" s="4"/>
    </row>
    <row r="34" spans="1:19" x14ac:dyDescent="0.45">
      <c r="A34" s="26">
        <v>4</v>
      </c>
      <c r="B34" s="17">
        <f t="shared" si="9"/>
        <v>367.32266648475627</v>
      </c>
      <c r="C34" s="21">
        <f t="shared" si="10"/>
        <v>1</v>
      </c>
      <c r="D34" s="17">
        <f t="shared" si="11"/>
        <v>27934.165000797057</v>
      </c>
      <c r="E34" s="17">
        <f>H4</f>
        <v>7074146.11797655</v>
      </c>
      <c r="F34" s="18">
        <v>0</v>
      </c>
      <c r="G34" s="17">
        <f t="shared" si="5"/>
        <v>993745.02622892591</v>
      </c>
      <c r="H34" s="22">
        <v>0</v>
      </c>
      <c r="I34" s="18">
        <f t="shared" si="6"/>
        <v>5000</v>
      </c>
      <c r="J34" s="18">
        <f t="shared" si="7"/>
        <v>988745.02622892591</v>
      </c>
      <c r="K34" s="20">
        <f t="shared" si="8"/>
        <v>962812.14283600415</v>
      </c>
      <c r="L34" s="27">
        <f t="shared" si="12"/>
        <v>-6977933.6476394441</v>
      </c>
      <c r="N34" s="8" t="s">
        <v>33</v>
      </c>
      <c r="O34" s="10">
        <v>5000</v>
      </c>
      <c r="P34" s="4"/>
      <c r="Q34" s="4"/>
      <c r="R34" s="4"/>
      <c r="S34" s="4"/>
    </row>
    <row r="35" spans="1:19" x14ac:dyDescent="0.45">
      <c r="A35" s="26">
        <v>5</v>
      </c>
      <c r="B35" s="17">
        <f t="shared" si="9"/>
        <v>359.42103871041468</v>
      </c>
      <c r="C35" s="21">
        <f t="shared" si="10"/>
        <v>1</v>
      </c>
      <c r="D35" s="17">
        <f t="shared" si="11"/>
        <v>27288.434633417717</v>
      </c>
      <c r="E35" s="17">
        <f>H5</f>
        <v>8773163.9627185911</v>
      </c>
      <c r="F35" s="18">
        <v>0</v>
      </c>
      <c r="G35" s="17">
        <f t="shared" si="5"/>
        <v>974815.18883455487</v>
      </c>
      <c r="H35" s="22">
        <v>0</v>
      </c>
      <c r="I35" s="18">
        <f t="shared" si="6"/>
        <v>5000</v>
      </c>
      <c r="J35" s="18">
        <f t="shared" si="7"/>
        <v>969815.18883455487</v>
      </c>
      <c r="K35" s="20">
        <f t="shared" si="8"/>
        <v>938124.63449634938</v>
      </c>
      <c r="L35" s="27">
        <f t="shared" si="12"/>
        <v>-6039809.0131430943</v>
      </c>
      <c r="N35" s="8"/>
      <c r="O35" s="11"/>
      <c r="P35" s="11"/>
      <c r="Q35" s="4"/>
      <c r="R35" s="4"/>
      <c r="S35" s="4"/>
    </row>
    <row r="36" spans="1:19" x14ac:dyDescent="0.45">
      <c r="A36" s="26">
        <v>6</v>
      </c>
      <c r="B36" s="17">
        <f t="shared" si="9"/>
        <v>351.51941093607309</v>
      </c>
      <c r="C36" s="21">
        <f t="shared" si="10"/>
        <v>1</v>
      </c>
      <c r="D36" s="17">
        <f t="shared" si="11"/>
        <v>26642.704266038374</v>
      </c>
      <c r="E36" s="17">
        <f>G6</f>
        <v>32620498.7168222</v>
      </c>
      <c r="F36" s="18">
        <v>0</v>
      </c>
      <c r="G36" s="17">
        <f t="shared" si="5"/>
        <v>1003947.1991334981</v>
      </c>
      <c r="H36" s="22">
        <v>0</v>
      </c>
      <c r="I36" s="18">
        <f t="shared" si="6"/>
        <v>5000</v>
      </c>
      <c r="J36" s="18">
        <f t="shared" si="7"/>
        <v>998947.19913349813</v>
      </c>
      <c r="K36" s="20">
        <f t="shared" si="8"/>
        <v>959905.33211534552</v>
      </c>
      <c r="L36" s="27">
        <f t="shared" si="12"/>
        <v>-5079903.6810277486</v>
      </c>
      <c r="N36" s="8"/>
      <c r="O36" s="11"/>
      <c r="P36" s="11"/>
      <c r="Q36" s="4"/>
      <c r="R36" s="4"/>
      <c r="S36" s="4"/>
    </row>
    <row r="37" spans="1:19" x14ac:dyDescent="0.45">
      <c r="A37" s="26">
        <v>7</v>
      </c>
      <c r="B37" s="17">
        <f t="shared" si="9"/>
        <v>343.6177831617315</v>
      </c>
      <c r="C37" s="21">
        <f t="shared" si="10"/>
        <v>1</v>
      </c>
      <c r="D37" s="17">
        <f t="shared" si="11"/>
        <v>25996.973898659031</v>
      </c>
      <c r="E37" s="17">
        <f t="shared" ref="E37:E62" si="13">TREND($G$3:$G$23,$P$3:$P$23,$A37,TRUE)</f>
        <v>5741971.003115803</v>
      </c>
      <c r="F37" s="18">
        <v>0</v>
      </c>
      <c r="G37" s="17">
        <f t="shared" si="5"/>
        <v>923004.08787729382</v>
      </c>
      <c r="H37" s="22">
        <v>0</v>
      </c>
      <c r="I37" s="18">
        <f t="shared" si="6"/>
        <v>5000</v>
      </c>
      <c r="J37" s="18">
        <f t="shared" si="7"/>
        <v>918004.08787729382</v>
      </c>
      <c r="K37" s="20">
        <f t="shared" si="8"/>
        <v>876283.82938524126</v>
      </c>
      <c r="L37" s="27">
        <f t="shared" si="12"/>
        <v>-4203619.8516425071</v>
      </c>
      <c r="N37" s="4"/>
      <c r="O37" s="11"/>
      <c r="P37" s="11"/>
      <c r="Q37" s="4"/>
      <c r="R37" s="4"/>
      <c r="S37" s="4"/>
    </row>
    <row r="38" spans="1:19" x14ac:dyDescent="0.45">
      <c r="A38" s="26">
        <v>8</v>
      </c>
      <c r="B38" s="17">
        <f t="shared" si="9"/>
        <v>335.7161553873899</v>
      </c>
      <c r="C38" s="21">
        <f t="shared" si="10"/>
        <v>1</v>
      </c>
      <c r="D38" s="17">
        <f t="shared" si="11"/>
        <v>25351.243531279692</v>
      </c>
      <c r="E38" s="17">
        <f t="shared" si="13"/>
        <v>16058155.549638003</v>
      </c>
      <c r="F38" s="18">
        <v>0</v>
      </c>
      <c r="G38" s="17">
        <f t="shared" si="5"/>
        <v>922773.50222578563</v>
      </c>
      <c r="H38" s="22">
        <v>0</v>
      </c>
      <c r="I38" s="18">
        <f t="shared" si="6"/>
        <v>5000</v>
      </c>
      <c r="J38" s="18">
        <f t="shared" si="7"/>
        <v>917773.50222578563</v>
      </c>
      <c r="K38" s="20">
        <f t="shared" si="8"/>
        <v>870261.97658065427</v>
      </c>
      <c r="L38" s="27">
        <f t="shared" si="12"/>
        <v>-3333357.8750618529</v>
      </c>
      <c r="N38" s="8" t="s">
        <v>36</v>
      </c>
      <c r="O38" s="10">
        <f>1*10^6</f>
        <v>1000000</v>
      </c>
      <c r="P38" s="12" t="s">
        <v>37</v>
      </c>
      <c r="Q38" s="4"/>
      <c r="R38" s="4" t="s">
        <v>38</v>
      </c>
      <c r="S38" s="13">
        <f>65*10^6</f>
        <v>65000000</v>
      </c>
    </row>
    <row r="39" spans="1:19" x14ac:dyDescent="0.45">
      <c r="A39" s="26">
        <v>9</v>
      </c>
      <c r="B39" s="17">
        <f t="shared" si="9"/>
        <v>327.81452761304831</v>
      </c>
      <c r="C39" s="21">
        <f t="shared" si="10"/>
        <v>1</v>
      </c>
      <c r="D39" s="17">
        <f t="shared" si="11"/>
        <v>24705.513163900348</v>
      </c>
      <c r="E39" s="17">
        <f t="shared" si="13"/>
        <v>26374340.096160203</v>
      </c>
      <c r="F39" s="18">
        <v>0</v>
      </c>
      <c r="G39" s="17">
        <f t="shared" si="5"/>
        <v>922542.91657427733</v>
      </c>
      <c r="H39" s="22">
        <v>0</v>
      </c>
      <c r="I39" s="18">
        <f t="shared" si="6"/>
        <v>5000</v>
      </c>
      <c r="J39" s="18">
        <f t="shared" si="7"/>
        <v>917542.91657427733</v>
      </c>
      <c r="K39" s="20">
        <f t="shared" si="8"/>
        <v>864281.45160018012</v>
      </c>
      <c r="L39" s="27">
        <f t="shared" si="12"/>
        <v>-2469076.4234616728</v>
      </c>
    </row>
    <row r="40" spans="1:19" x14ac:dyDescent="0.45">
      <c r="A40" s="26">
        <v>10</v>
      </c>
      <c r="B40" s="17">
        <f t="shared" si="9"/>
        <v>319.91289983870666</v>
      </c>
      <c r="C40" s="21">
        <f t="shared" si="10"/>
        <v>1</v>
      </c>
      <c r="D40" s="17">
        <f t="shared" si="11"/>
        <v>24059.782796521009</v>
      </c>
      <c r="E40" s="17">
        <f t="shared" si="13"/>
        <v>36690524.642682418</v>
      </c>
      <c r="F40" s="18">
        <v>0</v>
      </c>
      <c r="G40" s="17">
        <f t="shared" si="5"/>
        <v>922312.33092276915</v>
      </c>
      <c r="H40" s="22">
        <v>0</v>
      </c>
      <c r="I40" s="18">
        <f t="shared" si="6"/>
        <v>5000</v>
      </c>
      <c r="J40" s="18">
        <f t="shared" si="7"/>
        <v>917312.33092276915</v>
      </c>
      <c r="K40" s="20">
        <f t="shared" si="8"/>
        <v>858341.97116018762</v>
      </c>
      <c r="L40" s="27">
        <f t="shared" si="12"/>
        <v>-1610734.4523014852</v>
      </c>
    </row>
    <row r="41" spans="1:19" x14ac:dyDescent="0.45">
      <c r="A41" s="26">
        <v>11</v>
      </c>
      <c r="B41" s="17">
        <f t="shared" si="9"/>
        <v>312.01127206436507</v>
      </c>
      <c r="C41" s="21">
        <f t="shared" si="10"/>
        <v>1</v>
      </c>
      <c r="D41" s="17">
        <f t="shared" si="11"/>
        <v>23414.052429141666</v>
      </c>
      <c r="E41" s="17">
        <f t="shared" si="13"/>
        <v>47006709.189204633</v>
      </c>
      <c r="F41" s="18">
        <v>0</v>
      </c>
      <c r="G41" s="17">
        <f t="shared" si="5"/>
        <v>922081.74527126085</v>
      </c>
      <c r="H41" s="22">
        <v>0</v>
      </c>
      <c r="I41" s="18">
        <f t="shared" si="6"/>
        <v>5000</v>
      </c>
      <c r="J41" s="18">
        <f t="shared" si="7"/>
        <v>917081.74527126085</v>
      </c>
      <c r="K41" s="20">
        <f t="shared" si="8"/>
        <v>852443.25391660223</v>
      </c>
      <c r="L41" s="27">
        <f t="shared" si="12"/>
        <v>-758291.198384883</v>
      </c>
    </row>
    <row r="42" spans="1:19" x14ac:dyDescent="0.45">
      <c r="A42" s="26">
        <v>12</v>
      </c>
      <c r="B42" s="17">
        <f t="shared" si="9"/>
        <v>304.10964429002348</v>
      </c>
      <c r="C42" s="21">
        <f t="shared" si="10"/>
        <v>1</v>
      </c>
      <c r="D42" s="17">
        <f t="shared" si="11"/>
        <v>22768.322061762323</v>
      </c>
      <c r="E42" s="17">
        <f t="shared" si="13"/>
        <v>57322893.735726833</v>
      </c>
      <c r="F42" s="18">
        <v>0</v>
      </c>
      <c r="G42" s="17">
        <f t="shared" si="5"/>
        <v>921851.15961975255</v>
      </c>
      <c r="H42" s="22">
        <v>0</v>
      </c>
      <c r="I42" s="18">
        <f t="shared" si="6"/>
        <v>5000</v>
      </c>
      <c r="J42" s="18">
        <f t="shared" si="7"/>
        <v>916851.15961975255</v>
      </c>
      <c r="K42" s="20">
        <f t="shared" si="8"/>
        <v>846585.02045164059</v>
      </c>
      <c r="L42" s="27">
        <f t="shared" si="12"/>
        <v>88293.822066757595</v>
      </c>
    </row>
    <row r="43" spans="1:19" x14ac:dyDescent="0.45">
      <c r="A43" s="26">
        <v>13</v>
      </c>
      <c r="B43" s="17">
        <f t="shared" si="9"/>
        <v>296.20801651568189</v>
      </c>
      <c r="C43" s="21">
        <f t="shared" si="10"/>
        <v>1</v>
      </c>
      <c r="D43" s="17">
        <f t="shared" si="11"/>
        <v>22122.59169438298</v>
      </c>
      <c r="E43" s="17">
        <f t="shared" si="13"/>
        <v>67639078.282249033</v>
      </c>
      <c r="F43" s="18">
        <v>0</v>
      </c>
      <c r="G43" s="17">
        <f t="shared" si="5"/>
        <v>921620.57396824425</v>
      </c>
      <c r="H43" s="22">
        <v>0</v>
      </c>
      <c r="I43" s="18">
        <f t="shared" si="6"/>
        <v>5000</v>
      </c>
      <c r="J43" s="18">
        <f t="shared" si="7"/>
        <v>916620.57396824425</v>
      </c>
      <c r="K43" s="20">
        <f t="shared" si="8"/>
        <v>840766.99326063634</v>
      </c>
      <c r="L43" s="27">
        <f t="shared" si="12"/>
        <v>929060.81532739394</v>
      </c>
    </row>
    <row r="44" spans="1:19" x14ac:dyDescent="0.45">
      <c r="A44" s="26">
        <v>14</v>
      </c>
      <c r="B44" s="17">
        <f t="shared" si="9"/>
        <v>288.30638874134024</v>
      </c>
      <c r="C44" s="21">
        <f t="shared" si="10"/>
        <v>1</v>
      </c>
      <c r="D44" s="17">
        <f t="shared" si="11"/>
        <v>21476.86132700364</v>
      </c>
      <c r="E44" s="17">
        <f t="shared" si="13"/>
        <v>77955262.828771263</v>
      </c>
      <c r="F44" s="22">
        <v>0</v>
      </c>
      <c r="G44" s="17">
        <f t="shared" si="5"/>
        <v>921389.98831673618</v>
      </c>
      <c r="H44" s="22">
        <v>0</v>
      </c>
      <c r="I44" s="18">
        <f t="shared" si="6"/>
        <v>5000</v>
      </c>
      <c r="J44" s="18">
        <f t="shared" si="7"/>
        <v>916389.98831673618</v>
      </c>
      <c r="K44" s="20">
        <f t="shared" si="8"/>
        <v>834988.89673895529</v>
      </c>
      <c r="L44" s="27">
        <f t="shared" si="12"/>
        <v>1764049.7120663491</v>
      </c>
    </row>
    <row r="45" spans="1:19" x14ac:dyDescent="0.45">
      <c r="A45" s="26">
        <v>15</v>
      </c>
      <c r="B45" s="17">
        <f t="shared" si="9"/>
        <v>280.40476096699865</v>
      </c>
      <c r="C45" s="21">
        <f t="shared" si="10"/>
        <v>1</v>
      </c>
      <c r="D45" s="17">
        <f t="shared" si="11"/>
        <v>20831.130959624297</v>
      </c>
      <c r="E45" s="17">
        <f t="shared" si="13"/>
        <v>88271447.375293463</v>
      </c>
      <c r="F45" s="22">
        <v>0</v>
      </c>
      <c r="G45" s="17">
        <f t="shared" si="5"/>
        <v>921159.40266522777</v>
      </c>
      <c r="H45" s="22">
        <v>0</v>
      </c>
      <c r="I45" s="18">
        <f t="shared" si="6"/>
        <v>5000</v>
      </c>
      <c r="J45" s="18">
        <f t="shared" si="7"/>
        <v>916159.40266522777</v>
      </c>
      <c r="K45" s="20">
        <f t="shared" si="8"/>
        <v>829250.45716899913</v>
      </c>
      <c r="L45" s="27">
        <f t="shared" si="12"/>
        <v>2593300.1692353482</v>
      </c>
    </row>
    <row r="46" spans="1:19" x14ac:dyDescent="0.45">
      <c r="A46" s="26">
        <v>16</v>
      </c>
      <c r="B46" s="17">
        <f t="shared" si="9"/>
        <v>272.50313319265706</v>
      </c>
      <c r="C46" s="21">
        <f t="shared" si="10"/>
        <v>1</v>
      </c>
      <c r="D46" s="17">
        <f t="shared" si="11"/>
        <v>20185.400592244958</v>
      </c>
      <c r="E46" s="17">
        <f t="shared" si="13"/>
        <v>98587631.921815664</v>
      </c>
      <c r="F46" s="22">
        <v>0</v>
      </c>
      <c r="G46" s="17">
        <f t="shared" si="5"/>
        <v>920928.81701371958</v>
      </c>
      <c r="H46" s="22">
        <v>0</v>
      </c>
      <c r="I46" s="18">
        <f t="shared" si="6"/>
        <v>5000</v>
      </c>
      <c r="J46" s="18">
        <f t="shared" si="7"/>
        <v>915928.81701371958</v>
      </c>
      <c r="K46" s="20">
        <f t="shared" si="8"/>
        <v>823551.40270730096</v>
      </c>
      <c r="L46" s="27">
        <f t="shared" si="12"/>
        <v>3416851.5719426493</v>
      </c>
    </row>
    <row r="47" spans="1:19" x14ac:dyDescent="0.45">
      <c r="A47" s="26">
        <v>17</v>
      </c>
      <c r="B47" s="17">
        <f t="shared" si="9"/>
        <v>264.60150541831547</v>
      </c>
      <c r="C47" s="21">
        <f t="shared" si="10"/>
        <v>1</v>
      </c>
      <c r="D47" s="17">
        <f t="shared" si="11"/>
        <v>19539.670224865615</v>
      </c>
      <c r="E47" s="17">
        <f t="shared" si="13"/>
        <v>108903816.46833786</v>
      </c>
      <c r="F47" s="22">
        <v>0</v>
      </c>
      <c r="G47" s="17">
        <f t="shared" si="5"/>
        <v>920698.23136221129</v>
      </c>
      <c r="H47" s="22">
        <v>0</v>
      </c>
      <c r="I47" s="18">
        <f t="shared" si="6"/>
        <v>5000</v>
      </c>
      <c r="J47" s="18">
        <f t="shared" si="7"/>
        <v>915698.23136221129</v>
      </c>
      <c r="K47" s="20">
        <f t="shared" si="8"/>
        <v>817891.46337170515</v>
      </c>
      <c r="L47" s="27">
        <f t="shared" si="12"/>
        <v>4234743.0353143541</v>
      </c>
    </row>
    <row r="48" spans="1:19" x14ac:dyDescent="0.45">
      <c r="A48" s="26">
        <v>18</v>
      </c>
      <c r="B48" s="17">
        <f t="shared" si="9"/>
        <v>256.69987764397388</v>
      </c>
      <c r="C48" s="21">
        <v>2</v>
      </c>
      <c r="D48" s="17">
        <f t="shared" si="11"/>
        <v>18893.939857486272</v>
      </c>
      <c r="E48" s="17">
        <f t="shared" si="13"/>
        <v>119220001.01486006</v>
      </c>
      <c r="F48" s="22">
        <f>F30</f>
        <v>4000000</v>
      </c>
      <c r="G48" s="17">
        <f t="shared" si="5"/>
        <v>920467.64571070299</v>
      </c>
      <c r="H48" s="22">
        <f>H30</f>
        <v>7000000</v>
      </c>
      <c r="I48" s="18">
        <f t="shared" si="6"/>
        <v>5000</v>
      </c>
      <c r="J48" s="18">
        <f t="shared" si="7"/>
        <v>-10084532.354289297</v>
      </c>
      <c r="K48" s="20">
        <f t="shared" si="8"/>
        <v>-8947740.3985257018</v>
      </c>
      <c r="L48" s="27">
        <f t="shared" si="12"/>
        <v>-4712997.3632113477</v>
      </c>
    </row>
    <row r="49" spans="1:16" x14ac:dyDescent="0.45">
      <c r="A49" s="26">
        <v>19</v>
      </c>
      <c r="B49" s="17">
        <f t="shared" si="9"/>
        <v>248.79824986963226</v>
      </c>
      <c r="C49" s="21">
        <v>2</v>
      </c>
      <c r="D49" s="17">
        <f t="shared" si="11"/>
        <v>18248.209490106929</v>
      </c>
      <c r="E49" s="17">
        <f t="shared" si="13"/>
        <v>129536185.56138229</v>
      </c>
      <c r="F49" s="22">
        <v>0</v>
      </c>
      <c r="G49" s="17">
        <f t="shared" si="5"/>
        <v>920237.06005919469</v>
      </c>
      <c r="H49" s="22">
        <v>0</v>
      </c>
      <c r="I49" s="18">
        <f t="shared" si="6"/>
        <v>5000</v>
      </c>
      <c r="J49" s="18">
        <f t="shared" si="7"/>
        <v>915237.06005919469</v>
      </c>
      <c r="K49" s="20">
        <f t="shared" si="8"/>
        <v>806687.85938046291</v>
      </c>
      <c r="L49" s="27">
        <f t="shared" si="12"/>
        <v>-3906309.5038308846</v>
      </c>
    </row>
    <row r="50" spans="1:16" x14ac:dyDescent="0.45">
      <c r="A50" s="26">
        <v>20</v>
      </c>
      <c r="B50" s="17">
        <f t="shared" si="9"/>
        <v>240.89662209529067</v>
      </c>
      <c r="C50" s="21">
        <v>2</v>
      </c>
      <c r="D50" s="17">
        <f t="shared" si="11"/>
        <v>17602.479122727589</v>
      </c>
      <c r="E50" s="17">
        <f t="shared" si="13"/>
        <v>139852370.10790449</v>
      </c>
      <c r="F50" s="22">
        <v>0</v>
      </c>
      <c r="G50" s="17">
        <f t="shared" si="5"/>
        <v>920006.4744076865</v>
      </c>
      <c r="H50" s="22">
        <v>0</v>
      </c>
      <c r="I50" s="18">
        <f t="shared" si="6"/>
        <v>5000</v>
      </c>
      <c r="J50" s="18">
        <f t="shared" si="7"/>
        <v>915006.4744076865</v>
      </c>
      <c r="K50" s="20">
        <f t="shared" si="8"/>
        <v>801143.66395292396</v>
      </c>
      <c r="L50" s="27">
        <f t="shared" si="12"/>
        <v>-3105165.8398779607</v>
      </c>
    </row>
    <row r="51" spans="1:16" x14ac:dyDescent="0.45">
      <c r="A51" s="26">
        <v>21</v>
      </c>
      <c r="B51" s="17">
        <f t="shared" si="9"/>
        <v>232.99499432094908</v>
      </c>
      <c r="C51" s="21">
        <v>2</v>
      </c>
      <c r="D51" s="17">
        <f t="shared" si="11"/>
        <v>16956.748755348246</v>
      </c>
      <c r="E51" s="17">
        <f t="shared" si="13"/>
        <v>150168554.65442669</v>
      </c>
      <c r="F51" s="22">
        <v>0</v>
      </c>
      <c r="G51" s="17">
        <f t="shared" si="5"/>
        <v>919775.88875617832</v>
      </c>
      <c r="H51" s="22">
        <v>0</v>
      </c>
      <c r="I51" s="18">
        <f t="shared" si="6"/>
        <v>5000</v>
      </c>
      <c r="J51" s="18">
        <f t="shared" si="7"/>
        <v>914775.88875617832</v>
      </c>
      <c r="K51" s="20">
        <f t="shared" si="8"/>
        <v>795637.5220826735</v>
      </c>
      <c r="L51" s="27">
        <f t="shared" si="12"/>
        <v>-2309528.3177952874</v>
      </c>
    </row>
    <row r="52" spans="1:16" x14ac:dyDescent="0.45">
      <c r="A52" s="26">
        <v>22</v>
      </c>
      <c r="B52" s="17">
        <f t="shared" si="9"/>
        <v>225.09336654660746</v>
      </c>
      <c r="C52" s="21">
        <v>2</v>
      </c>
      <c r="D52" s="17">
        <f t="shared" si="11"/>
        <v>16311.018387968905</v>
      </c>
      <c r="E52" s="17">
        <f t="shared" si="13"/>
        <v>160484739.20094892</v>
      </c>
      <c r="F52" s="22">
        <v>0</v>
      </c>
      <c r="G52" s="17">
        <f t="shared" si="5"/>
        <v>919545.30310467002</v>
      </c>
      <c r="H52" s="22">
        <v>0</v>
      </c>
      <c r="I52" s="18">
        <f t="shared" si="6"/>
        <v>5000</v>
      </c>
      <c r="J52" s="18">
        <f t="shared" si="7"/>
        <v>914545.30310467002</v>
      </c>
      <c r="K52" s="20">
        <f t="shared" si="8"/>
        <v>790169.17290488654</v>
      </c>
      <c r="L52" s="27">
        <f t="shared" si="12"/>
        <v>-1519359.1448904008</v>
      </c>
    </row>
    <row r="53" spans="1:16" x14ac:dyDescent="0.45">
      <c r="A53" s="26">
        <v>23</v>
      </c>
      <c r="B53" s="17">
        <f t="shared" si="9"/>
        <v>217.19173877226586</v>
      </c>
      <c r="C53" s="21">
        <v>2</v>
      </c>
      <c r="D53" s="17">
        <f t="shared" si="11"/>
        <v>15665.288020589564</v>
      </c>
      <c r="E53" s="17">
        <f t="shared" si="13"/>
        <v>170800923.74747112</v>
      </c>
      <c r="F53" s="22">
        <v>0</v>
      </c>
      <c r="G53" s="17">
        <f t="shared" si="5"/>
        <v>919314.71745316172</v>
      </c>
      <c r="H53" s="22">
        <v>0</v>
      </c>
      <c r="I53" s="18">
        <f t="shared" si="6"/>
        <v>5000</v>
      </c>
      <c r="J53" s="18">
        <f t="shared" si="7"/>
        <v>914314.71745316172</v>
      </c>
      <c r="K53" s="20">
        <f t="shared" si="8"/>
        <v>784738.35734095902</v>
      </c>
      <c r="L53" s="27">
        <f t="shared" si="12"/>
        <v>-734620.7875494418</v>
      </c>
    </row>
    <row r="54" spans="1:16" x14ac:dyDescent="0.45">
      <c r="A54" s="26">
        <v>24</v>
      </c>
      <c r="B54" s="17">
        <f t="shared" si="9"/>
        <v>209.29011099792427</v>
      </c>
      <c r="C54" s="21">
        <v>2</v>
      </c>
      <c r="D54" s="17">
        <f t="shared" si="11"/>
        <v>15019.55765321022</v>
      </c>
      <c r="E54" s="17">
        <f t="shared" si="13"/>
        <v>181117108.29399332</v>
      </c>
      <c r="F54" s="22">
        <v>0</v>
      </c>
      <c r="G54" s="17">
        <f t="shared" si="5"/>
        <v>919084.13180165342</v>
      </c>
      <c r="H54" s="22">
        <v>0</v>
      </c>
      <c r="I54" s="18">
        <f t="shared" si="6"/>
        <v>5000</v>
      </c>
      <c r="J54" s="18">
        <f t="shared" si="7"/>
        <v>914084.13180165342</v>
      </c>
      <c r="K54" s="20">
        <f t="shared" si="8"/>
        <v>779344.81808628992</v>
      </c>
      <c r="L54" s="27">
        <f t="shared" si="12"/>
        <v>44724.03053684812</v>
      </c>
    </row>
    <row r="55" spans="1:16" x14ac:dyDescent="0.45">
      <c r="A55" s="26">
        <v>25</v>
      </c>
      <c r="B55" s="17">
        <f t="shared" si="9"/>
        <v>201.38848322358265</v>
      </c>
      <c r="C55" s="21">
        <v>2</v>
      </c>
      <c r="D55" s="17">
        <f t="shared" si="11"/>
        <v>14373.827285830879</v>
      </c>
      <c r="E55" s="17">
        <f t="shared" si="13"/>
        <v>191433292.84051552</v>
      </c>
      <c r="F55" s="22">
        <v>0</v>
      </c>
      <c r="G55" s="17">
        <f t="shared" si="5"/>
        <v>918853.54615014524</v>
      </c>
      <c r="H55" s="22">
        <v>0</v>
      </c>
      <c r="I55" s="18">
        <f t="shared" si="6"/>
        <v>5000</v>
      </c>
      <c r="J55" s="18">
        <f t="shared" si="7"/>
        <v>913853.54615014524</v>
      </c>
      <c r="K55" s="20">
        <f t="shared" si="8"/>
        <v>773988.29959814739</v>
      </c>
      <c r="L55" s="27">
        <f t="shared" si="12"/>
        <v>818712.33013499551</v>
      </c>
    </row>
    <row r="56" spans="1:16" x14ac:dyDescent="0.45">
      <c r="A56" s="26">
        <v>26</v>
      </c>
      <c r="B56" s="17">
        <f t="shared" si="9"/>
        <v>193.48685544924106</v>
      </c>
      <c r="C56" s="21">
        <v>2</v>
      </c>
      <c r="D56" s="17">
        <f t="shared" si="11"/>
        <v>13728.096918451538</v>
      </c>
      <c r="E56" s="17">
        <f t="shared" si="13"/>
        <v>201749477.38703772</v>
      </c>
      <c r="F56" s="22">
        <v>0</v>
      </c>
      <c r="G56" s="17">
        <f t="shared" si="5"/>
        <v>918622.96049863694</v>
      </c>
      <c r="H56" s="22">
        <v>0</v>
      </c>
      <c r="I56" s="18">
        <f t="shared" si="6"/>
        <v>5000</v>
      </c>
      <c r="J56" s="18">
        <f t="shared" si="7"/>
        <v>913622.96049863694</v>
      </c>
      <c r="K56" s="20">
        <f t="shared" si="8"/>
        <v>768668.54808361677</v>
      </c>
      <c r="L56" s="27">
        <f t="shared" si="12"/>
        <v>1587380.8782186122</v>
      </c>
    </row>
    <row r="57" spans="1:16" x14ac:dyDescent="0.45">
      <c r="A57" s="26">
        <v>27</v>
      </c>
      <c r="B57" s="17">
        <f t="shared" si="9"/>
        <v>185.58522767489947</v>
      </c>
      <c r="C57" s="21">
        <v>2</v>
      </c>
      <c r="D57" s="17">
        <f t="shared" si="11"/>
        <v>13082.366551072195</v>
      </c>
      <c r="E57" s="17">
        <f t="shared" si="13"/>
        <v>212065661.93355992</v>
      </c>
      <c r="F57" s="22">
        <v>0</v>
      </c>
      <c r="G57" s="17">
        <f t="shared" si="5"/>
        <v>918392.37484712864</v>
      </c>
      <c r="H57" s="22">
        <v>0</v>
      </c>
      <c r="I57" s="18">
        <f t="shared" si="6"/>
        <v>5000</v>
      </c>
      <c r="J57" s="18">
        <f t="shared" si="7"/>
        <v>913392.37484712864</v>
      </c>
      <c r="K57" s="20">
        <f t="shared" si="8"/>
        <v>763385.31148763339</v>
      </c>
      <c r="L57" s="27">
        <f t="shared" si="12"/>
        <v>2350766.1897062454</v>
      </c>
    </row>
    <row r="58" spans="1:16" x14ac:dyDescent="0.45">
      <c r="A58" s="26">
        <v>28</v>
      </c>
      <c r="B58" s="17">
        <f t="shared" si="9"/>
        <v>177.68359990055785</v>
      </c>
      <c r="C58" s="21">
        <v>2</v>
      </c>
      <c r="D58" s="17">
        <f t="shared" si="11"/>
        <v>12436.636183692855</v>
      </c>
      <c r="E58" s="17">
        <f t="shared" si="13"/>
        <v>222381846.48008218</v>
      </c>
      <c r="F58" s="22">
        <v>0</v>
      </c>
      <c r="G58" s="17">
        <f t="shared" si="5"/>
        <v>918161.78919562069</v>
      </c>
      <c r="H58" s="22">
        <v>0</v>
      </c>
      <c r="I58" s="18">
        <f t="shared" si="6"/>
        <v>5000</v>
      </c>
      <c r="J58" s="18">
        <f t="shared" si="7"/>
        <v>913161.78919562069</v>
      </c>
      <c r="K58" s="20">
        <f t="shared" si="8"/>
        <v>758138.33948109392</v>
      </c>
      <c r="L58" s="27">
        <f t="shared" si="12"/>
        <v>3108904.5291873394</v>
      </c>
    </row>
    <row r="59" spans="1:16" x14ac:dyDescent="0.45">
      <c r="A59" s="26">
        <v>29</v>
      </c>
      <c r="B59" s="17">
        <f t="shared" si="9"/>
        <v>169.78197212621626</v>
      </c>
      <c r="C59" s="21">
        <v>2</v>
      </c>
      <c r="D59" s="17">
        <f t="shared" si="11"/>
        <v>11790.905816313512</v>
      </c>
      <c r="E59" s="17">
        <f t="shared" si="13"/>
        <v>232698031.02660438</v>
      </c>
      <c r="F59" s="22">
        <v>0</v>
      </c>
      <c r="G59" s="17">
        <f t="shared" si="5"/>
        <v>917931.20354411239</v>
      </c>
      <c r="H59" s="22">
        <v>0</v>
      </c>
      <c r="I59" s="18">
        <f t="shared" si="6"/>
        <v>5000</v>
      </c>
      <c r="J59" s="18">
        <f t="shared" si="7"/>
        <v>912931.20354411239</v>
      </c>
      <c r="K59" s="20">
        <f t="shared" si="8"/>
        <v>752927.38344905013</v>
      </c>
      <c r="L59" s="27">
        <f t="shared" si="12"/>
        <v>3861831.9126363895</v>
      </c>
    </row>
    <row r="60" spans="1:16" x14ac:dyDescent="0.45">
      <c r="A60" s="26">
        <v>30</v>
      </c>
      <c r="B60" s="17">
        <f t="shared" si="9"/>
        <v>161.88034435187467</v>
      </c>
      <c r="C60" s="21">
        <v>2</v>
      </c>
      <c r="D60" s="17">
        <f t="shared" si="11"/>
        <v>11145.175448934169</v>
      </c>
      <c r="E60" s="17">
        <f t="shared" si="13"/>
        <v>243014215.57312658</v>
      </c>
      <c r="F60" s="22">
        <v>0</v>
      </c>
      <c r="G60" s="17">
        <f t="shared" si="5"/>
        <v>917700.61789260397</v>
      </c>
      <c r="H60" s="22">
        <v>0</v>
      </c>
      <c r="I60" s="18">
        <f t="shared" si="6"/>
        <v>5000</v>
      </c>
      <c r="J60" s="18">
        <f t="shared" si="7"/>
        <v>912700.61789260397</v>
      </c>
      <c r="K60" s="20">
        <f t="shared" si="8"/>
        <v>747752.19647898606</v>
      </c>
      <c r="L60" s="27">
        <f t="shared" si="12"/>
        <v>4609584.1091153752</v>
      </c>
    </row>
    <row r="61" spans="1:16" x14ac:dyDescent="0.45">
      <c r="A61" s="26">
        <v>31</v>
      </c>
      <c r="B61" s="17">
        <f t="shared" si="9"/>
        <v>153.97871657753305</v>
      </c>
      <c r="C61" s="21">
        <v>2</v>
      </c>
      <c r="D61" s="17">
        <f t="shared" si="11"/>
        <v>10499.44508155483</v>
      </c>
      <c r="E61" s="17">
        <f t="shared" si="13"/>
        <v>253330400.11964878</v>
      </c>
      <c r="F61" s="22">
        <v>0</v>
      </c>
      <c r="G61" s="17">
        <f t="shared" si="5"/>
        <v>917470.03224109579</v>
      </c>
      <c r="H61" s="22">
        <v>0</v>
      </c>
      <c r="I61" s="18">
        <f t="shared" si="6"/>
        <v>5000</v>
      </c>
      <c r="J61" s="18">
        <f t="shared" si="7"/>
        <v>912470.03224109579</v>
      </c>
      <c r="K61" s="20">
        <f t="shared" si="8"/>
        <v>742612.53334917082</v>
      </c>
      <c r="L61" s="27">
        <f t="shared" si="12"/>
        <v>5352196.6424645465</v>
      </c>
    </row>
    <row r="62" spans="1:16" x14ac:dyDescent="0.45">
      <c r="A62" s="26">
        <v>32</v>
      </c>
      <c r="B62" s="17">
        <f t="shared" si="9"/>
        <v>146.07708880319146</v>
      </c>
      <c r="C62" s="21">
        <v>2</v>
      </c>
      <c r="D62" s="17">
        <f t="shared" si="11"/>
        <v>9853.7147141754867</v>
      </c>
      <c r="E62" s="17">
        <f t="shared" si="13"/>
        <v>263646584.66617098</v>
      </c>
      <c r="F62" s="22">
        <v>0</v>
      </c>
      <c r="G62" s="17">
        <f t="shared" si="5"/>
        <v>917239.44658958749</v>
      </c>
      <c r="H62" s="22">
        <v>0</v>
      </c>
      <c r="I62" s="18">
        <f t="shared" si="6"/>
        <v>5000</v>
      </c>
      <c r="J62" s="18">
        <f t="shared" si="7"/>
        <v>912239.44658958749</v>
      </c>
      <c r="K62" s="20">
        <f t="shared" si="8"/>
        <v>737508.15051709337</v>
      </c>
      <c r="L62" s="27">
        <f t="shared" si="12"/>
        <v>6089704.7929816395</v>
      </c>
    </row>
    <row r="63" spans="1:16" x14ac:dyDescent="0.45">
      <c r="A63" s="26"/>
      <c r="B63" s="17"/>
      <c r="C63" s="17"/>
      <c r="D63" s="17"/>
      <c r="E63" s="17"/>
      <c r="F63" s="18"/>
      <c r="G63" s="17"/>
      <c r="H63" s="18"/>
      <c r="I63" s="17"/>
      <c r="J63" s="23" t="s">
        <v>41</v>
      </c>
      <c r="K63" s="24">
        <f>SUM(K30:K62)</f>
        <v>6089704.7929816395</v>
      </c>
      <c r="L63" s="28"/>
      <c r="P63" s="14"/>
    </row>
    <row r="64" spans="1:16" ht="14.65" thickBot="1" x14ac:dyDescent="0.5">
      <c r="A64" s="29"/>
      <c r="B64" s="30"/>
      <c r="C64" s="30"/>
      <c r="D64" s="30"/>
      <c r="E64" s="30"/>
      <c r="F64" s="30"/>
      <c r="G64" s="30"/>
      <c r="H64" s="30"/>
      <c r="I64" s="30"/>
      <c r="J64" s="30" t="s">
        <v>36</v>
      </c>
      <c r="K64" s="31">
        <f>SUM(F30:F62)+SUM(H30:H62)</f>
        <v>22000000</v>
      </c>
      <c r="L64" s="3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3DBE-C474-4A42-90C2-A18FC3E97CF4}">
  <dimension ref="A1:S64"/>
  <sheetViews>
    <sheetView topLeftCell="A46" zoomScale="70" zoomScaleNormal="70" workbookViewId="0">
      <selection activeCell="K65" sqref="K65"/>
    </sheetView>
  </sheetViews>
  <sheetFormatPr defaultRowHeight="14.25" x14ac:dyDescent="0.45"/>
  <cols>
    <col min="3" max="3" width="9.6640625" bestFit="1" customWidth="1"/>
    <col min="5" max="5" width="11.86328125" bestFit="1" customWidth="1"/>
    <col min="6" max="6" width="14" bestFit="1" customWidth="1"/>
    <col min="8" max="8" width="14" bestFit="1" customWidth="1"/>
    <col min="9" max="9" width="10.265625" bestFit="1" customWidth="1"/>
    <col min="10" max="10" width="15.59765625" bestFit="1" customWidth="1"/>
    <col min="11" max="12" width="15" bestFit="1" customWidth="1"/>
    <col min="14" max="14" width="11" customWidth="1"/>
    <col min="15" max="16" width="15.59765625" bestFit="1" customWidth="1"/>
    <col min="19" max="19" width="15.33203125" bestFit="1" customWidth="1"/>
  </cols>
  <sheetData>
    <row r="1" spans="1:19" s="3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12</v>
      </c>
      <c r="M1" s="2" t="s">
        <v>14</v>
      </c>
      <c r="N1" s="2" t="s">
        <v>15</v>
      </c>
      <c r="O1" s="2" t="s">
        <v>16</v>
      </c>
      <c r="P1" s="2" t="s">
        <v>13</v>
      </c>
    </row>
    <row r="2" spans="1:19" x14ac:dyDescent="0.45">
      <c r="A2">
        <v>2500</v>
      </c>
      <c r="B2">
        <v>1.169</v>
      </c>
      <c r="C2">
        <v>3.5726</v>
      </c>
      <c r="D2">
        <v>0.93737967316927495</v>
      </c>
      <c r="E2">
        <v>0</v>
      </c>
      <c r="F2">
        <v>0</v>
      </c>
      <c r="G2">
        <v>0</v>
      </c>
      <c r="H2">
        <v>0</v>
      </c>
      <c r="I2">
        <v>302.57</v>
      </c>
      <c r="J2">
        <v>0</v>
      </c>
      <c r="K2">
        <f>D2*B2/C2</f>
        <v>0.30672250963860559</v>
      </c>
      <c r="L2">
        <f>S2</f>
        <v>500</v>
      </c>
      <c r="M2">
        <v>1</v>
      </c>
      <c r="N2">
        <f>L2*M2</f>
        <v>500</v>
      </c>
      <c r="O2">
        <v>0</v>
      </c>
      <c r="P2">
        <v>0</v>
      </c>
      <c r="R2" t="s">
        <v>11</v>
      </c>
      <c r="S2">
        <v>500</v>
      </c>
    </row>
    <row r="3" spans="1:19" x14ac:dyDescent="0.45">
      <c r="A3">
        <v>2400</v>
      </c>
      <c r="B3">
        <v>1.163</v>
      </c>
      <c r="C3">
        <v>3.6974999999999998</v>
      </c>
      <c r="D3">
        <v>0.87453109614639835</v>
      </c>
      <c r="E3">
        <v>23642.56197105068</v>
      </c>
      <c r="F3">
        <v>23642.56197105068</v>
      </c>
      <c r="G3">
        <v>6755141.8522682618</v>
      </c>
      <c r="H3">
        <v>6755141.8522682618</v>
      </c>
      <c r="I3">
        <v>268.86907335758701</v>
      </c>
      <c r="J3">
        <v>0.98276494744133724</v>
      </c>
      <c r="K3">
        <f>$K$2*(D3*B3/(C3))*($C$2/($D$2*$B$2))</f>
        <v>0.27507225552894154</v>
      </c>
      <c r="L3">
        <f>$L$2*K3/($K$2)</f>
        <v>448.40571996663067</v>
      </c>
      <c r="M3">
        <v>1</v>
      </c>
      <c r="N3">
        <f t="shared" ref="N3:N24" si="0">L3*M3</f>
        <v>448.40571996663067</v>
      </c>
      <c r="O3">
        <f>(N3+N2)/2</f>
        <v>474.20285998331531</v>
      </c>
      <c r="P3">
        <f>P2+((F3/O3)/30.417)</f>
        <v>1.6391322281662288</v>
      </c>
    </row>
    <row r="4" spans="1:19" x14ac:dyDescent="0.45">
      <c r="A4">
        <v>2300</v>
      </c>
      <c r="B4">
        <v>1.157</v>
      </c>
      <c r="C4">
        <v>3.8277999999999999</v>
      </c>
      <c r="D4">
        <v>0.81202538857940032</v>
      </c>
      <c r="E4">
        <v>49897.948423485432</v>
      </c>
      <c r="F4">
        <v>26255.386452434759</v>
      </c>
      <c r="G4">
        <v>13829287.97024481</v>
      </c>
      <c r="H4">
        <v>7074146.11797655</v>
      </c>
      <c r="I4">
        <v>270.0029124570068</v>
      </c>
      <c r="J4">
        <v>2.074138780724446</v>
      </c>
      <c r="K4">
        <f t="shared" ref="K4:K24" si="1">$K$2*(D4*B4/(C4))*($C$2/($D$2*$B$2))</f>
        <v>0.24544473969025712</v>
      </c>
      <c r="L4">
        <f t="shared" ref="L4:L24" si="2">$L$2*K4/($K$2)</f>
        <v>400.10878233138368</v>
      </c>
      <c r="M4">
        <v>1</v>
      </c>
      <c r="N4">
        <f t="shared" si="0"/>
        <v>400.10878233138368</v>
      </c>
      <c r="O4">
        <f t="shared" ref="O4:O24" si="3">(N4+N3)/2</f>
        <v>424.25725114900717</v>
      </c>
      <c r="P4">
        <f t="shared" ref="P4:P24" si="4">P3+((F4/O4)/30.417)</f>
        <v>3.6737028232902214</v>
      </c>
    </row>
    <row r="5" spans="1:19" x14ac:dyDescent="0.45">
      <c r="A5">
        <v>2200</v>
      </c>
      <c r="B5">
        <v>1.1519999999999999</v>
      </c>
      <c r="C5">
        <v>3.9638</v>
      </c>
      <c r="D5">
        <v>0.75340065839293424</v>
      </c>
      <c r="E5">
        <v>80369.123918749407</v>
      </c>
      <c r="F5">
        <v>30471.175495263971</v>
      </c>
      <c r="G5">
        <v>22602451.932963401</v>
      </c>
      <c r="H5">
        <v>8773163.9627185911</v>
      </c>
      <c r="I5">
        <v>305.83072836083261</v>
      </c>
      <c r="J5">
        <v>3.340752915890782</v>
      </c>
      <c r="K5">
        <f t="shared" si="1"/>
        <v>0.21896098654540094</v>
      </c>
      <c r="L5">
        <f t="shared" si="2"/>
        <v>356.93661153756</v>
      </c>
      <c r="M5">
        <v>2</v>
      </c>
      <c r="N5">
        <f t="shared" si="0"/>
        <v>713.87322307511999</v>
      </c>
      <c r="O5">
        <f t="shared" si="3"/>
        <v>556.99100270325187</v>
      </c>
      <c r="P5">
        <f t="shared" si="4"/>
        <v>5.4722616649811657</v>
      </c>
    </row>
    <row r="6" spans="1:19" x14ac:dyDescent="0.45">
      <c r="A6">
        <v>2100</v>
      </c>
      <c r="B6">
        <v>1.1459999999999999</v>
      </c>
      <c r="C6">
        <v>4.1058000000000003</v>
      </c>
      <c r="D6">
        <v>0.69992053006037569</v>
      </c>
      <c r="E6">
        <v>108769.3998263548</v>
      </c>
      <c r="F6">
        <v>28400.275907605421</v>
      </c>
      <c r="G6">
        <v>32620498.7168222</v>
      </c>
      <c r="H6">
        <v>10018046.7838588</v>
      </c>
      <c r="I6">
        <v>399.65867015420258</v>
      </c>
      <c r="J6">
        <v>4.5212846913317399</v>
      </c>
      <c r="K6">
        <f t="shared" si="1"/>
        <v>0.19535996089658297</v>
      </c>
      <c r="L6">
        <f t="shared" si="2"/>
        <v>318.46368420557877</v>
      </c>
      <c r="M6">
        <v>2</v>
      </c>
      <c r="N6">
        <f t="shared" si="0"/>
        <v>636.92736841115754</v>
      </c>
      <c r="O6">
        <f t="shared" si="3"/>
        <v>675.40029574313871</v>
      </c>
      <c r="P6">
        <f t="shared" si="4"/>
        <v>6.8546973474286981</v>
      </c>
    </row>
    <row r="7" spans="1:19" x14ac:dyDescent="0.45">
      <c r="A7">
        <v>2000</v>
      </c>
      <c r="B7">
        <v>1.141</v>
      </c>
      <c r="C7">
        <v>4.2539999999999996</v>
      </c>
      <c r="D7">
        <v>0.65488252798754687</v>
      </c>
      <c r="E7">
        <v>138010.1750817002</v>
      </c>
      <c r="F7">
        <v>29240.775255345379</v>
      </c>
      <c r="G7">
        <v>46821835.046498612</v>
      </c>
      <c r="H7">
        <v>14201336.32967641</v>
      </c>
      <c r="I7">
        <v>571.67921029958802</v>
      </c>
      <c r="J7">
        <v>5.7367540212694372</v>
      </c>
      <c r="K7">
        <f t="shared" si="1"/>
        <v>0.17565137856929738</v>
      </c>
      <c r="L7">
        <f t="shared" si="2"/>
        <v>286.33597641115063</v>
      </c>
      <c r="M7">
        <v>2</v>
      </c>
      <c r="N7">
        <f t="shared" si="0"/>
        <v>572.67195282230125</v>
      </c>
      <c r="O7">
        <f t="shared" si="3"/>
        <v>604.7996606167294</v>
      </c>
      <c r="P7">
        <f t="shared" si="4"/>
        <v>8.4441989358328797</v>
      </c>
    </row>
    <row r="8" spans="1:19" x14ac:dyDescent="0.45">
      <c r="A8">
        <v>1900</v>
      </c>
      <c r="B8">
        <v>1.135</v>
      </c>
      <c r="C8">
        <v>4.4085999999999999</v>
      </c>
      <c r="D8">
        <v>0.61750110195437502</v>
      </c>
      <c r="E8">
        <v>161095.35459420661</v>
      </c>
      <c r="F8">
        <v>23085.17951250638</v>
      </c>
      <c r="G8">
        <v>62860412.048230492</v>
      </c>
      <c r="H8">
        <v>16038577.00173188</v>
      </c>
      <c r="I8">
        <v>817.83365816591288</v>
      </c>
      <c r="J8">
        <v>6.696349908469049</v>
      </c>
      <c r="K8">
        <f t="shared" si="1"/>
        <v>0.15897648929778518</v>
      </c>
      <c r="L8">
        <f t="shared" si="2"/>
        <v>259.15360676511568</v>
      </c>
      <c r="M8">
        <v>2</v>
      </c>
      <c r="N8">
        <f t="shared" si="0"/>
        <v>518.30721353023137</v>
      </c>
      <c r="O8">
        <f t="shared" si="3"/>
        <v>545.48958317626625</v>
      </c>
      <c r="P8">
        <f t="shared" si="4"/>
        <v>9.8355297915753521</v>
      </c>
    </row>
    <row r="9" spans="1:19" x14ac:dyDescent="0.45">
      <c r="A9">
        <v>1800</v>
      </c>
      <c r="B9">
        <v>1.1299999999999999</v>
      </c>
      <c r="C9">
        <v>4.5697999999999999</v>
      </c>
      <c r="D9">
        <v>0.58569685559034101</v>
      </c>
      <c r="E9">
        <v>181810.04588973249</v>
      </c>
      <c r="F9">
        <v>20714.691295525899</v>
      </c>
      <c r="G9">
        <v>82891548.775034025</v>
      </c>
      <c r="H9">
        <v>20031136.726803541</v>
      </c>
      <c r="I9">
        <v>1116.1692618901529</v>
      </c>
      <c r="J9">
        <v>7.5574102507127598</v>
      </c>
      <c r="K9">
        <f t="shared" si="1"/>
        <v>0.1448285366574216</v>
      </c>
      <c r="L9">
        <f t="shared" si="2"/>
        <v>236.09049239337727</v>
      </c>
      <c r="M9">
        <v>2</v>
      </c>
      <c r="N9">
        <f t="shared" si="0"/>
        <v>472.18098478675455</v>
      </c>
      <c r="O9">
        <f t="shared" si="3"/>
        <v>495.24409915849299</v>
      </c>
      <c r="P9">
        <f t="shared" si="4"/>
        <v>11.210656692811225</v>
      </c>
    </row>
    <row r="10" spans="1:19" x14ac:dyDescent="0.45">
      <c r="A10">
        <v>1700</v>
      </c>
      <c r="B10">
        <v>1.125</v>
      </c>
      <c r="C10">
        <v>4.7378</v>
      </c>
      <c r="D10">
        <v>0.55848036169765314</v>
      </c>
      <c r="E10">
        <v>199236.39001490379</v>
      </c>
      <c r="F10">
        <v>17426.344125171308</v>
      </c>
      <c r="G10">
        <v>105335165.14046261</v>
      </c>
      <c r="H10">
        <v>22443616.365428559</v>
      </c>
      <c r="I10">
        <v>1459.6568786036639</v>
      </c>
      <c r="J10">
        <v>8.2817818390896338</v>
      </c>
      <c r="K10">
        <f t="shared" si="1"/>
        <v>0.13261226875551096</v>
      </c>
      <c r="L10">
        <f t="shared" si="2"/>
        <v>216.17629060182244</v>
      </c>
      <c r="M10">
        <v>2</v>
      </c>
      <c r="N10">
        <f t="shared" si="0"/>
        <v>432.35258120364489</v>
      </c>
      <c r="O10">
        <f t="shared" si="3"/>
        <v>452.26678299519972</v>
      </c>
      <c r="P10">
        <f t="shared" si="4"/>
        <v>12.477419244849033</v>
      </c>
    </row>
    <row r="11" spans="1:19" x14ac:dyDescent="0.45">
      <c r="A11">
        <v>1600</v>
      </c>
      <c r="B11">
        <v>1.1200000000000001</v>
      </c>
      <c r="C11">
        <v>4.9128999999999996</v>
      </c>
      <c r="D11">
        <v>0.53430202638825031</v>
      </c>
      <c r="E11">
        <v>213762.66925722791</v>
      </c>
      <c r="F11">
        <v>14526.279242324121</v>
      </c>
      <c r="G11">
        <v>129195301.53286719</v>
      </c>
      <c r="H11">
        <v>23860136.392404649</v>
      </c>
      <c r="I11">
        <v>1825.442628899287</v>
      </c>
      <c r="J11">
        <v>8.8856046427934405</v>
      </c>
      <c r="K11">
        <f t="shared" si="1"/>
        <v>0.1218055058223942</v>
      </c>
      <c r="L11">
        <f t="shared" si="2"/>
        <v>198.5597763364531</v>
      </c>
      <c r="M11">
        <v>2</v>
      </c>
      <c r="N11">
        <f t="shared" si="0"/>
        <v>397.1195526729062</v>
      </c>
      <c r="O11">
        <f t="shared" si="3"/>
        <v>414.73606693827554</v>
      </c>
      <c r="P11">
        <f t="shared" si="4"/>
        <v>13.628925246550939</v>
      </c>
    </row>
    <row r="12" spans="1:19" x14ac:dyDescent="0.45">
      <c r="A12">
        <v>1500</v>
      </c>
      <c r="B12">
        <v>1.115</v>
      </c>
      <c r="C12">
        <v>5.0952000000000002</v>
      </c>
      <c r="D12">
        <v>0.5139257450098299</v>
      </c>
      <c r="E12">
        <v>226448.07213845549</v>
      </c>
      <c r="F12">
        <v>12685.40288122755</v>
      </c>
      <c r="G12">
        <v>154933675.85878181</v>
      </c>
      <c r="H12">
        <v>25738374.32591461</v>
      </c>
      <c r="I12">
        <v>2232.5087924155951</v>
      </c>
      <c r="J12">
        <v>9.4129066040236484</v>
      </c>
      <c r="K12">
        <f t="shared" si="1"/>
        <v>0.11246412421219193</v>
      </c>
      <c r="L12">
        <f t="shared" si="2"/>
        <v>183.33203576206762</v>
      </c>
      <c r="M12">
        <v>2</v>
      </c>
      <c r="N12">
        <f t="shared" si="0"/>
        <v>366.66407152413524</v>
      </c>
      <c r="O12">
        <f t="shared" si="3"/>
        <v>381.89181209852075</v>
      </c>
      <c r="P12">
        <f t="shared" si="4"/>
        <v>14.720987861353983</v>
      </c>
    </row>
    <row r="13" spans="1:19" x14ac:dyDescent="0.45">
      <c r="A13">
        <v>1400</v>
      </c>
      <c r="B13">
        <v>1.1100000000000001</v>
      </c>
      <c r="C13">
        <v>5.2847999999999997</v>
      </c>
      <c r="D13">
        <v>0.49664562282044922</v>
      </c>
      <c r="E13">
        <v>236295.04010567549</v>
      </c>
      <c r="F13">
        <v>9846.9679672200582</v>
      </c>
      <c r="G13">
        <v>178790443.3200331</v>
      </c>
      <c r="H13">
        <v>23856767.461251229</v>
      </c>
      <c r="I13">
        <v>2612.996451567918</v>
      </c>
      <c r="J13">
        <v>9.8222215914861319</v>
      </c>
      <c r="K13">
        <f t="shared" si="1"/>
        <v>0.10431362422999899</v>
      </c>
      <c r="L13">
        <f t="shared" si="2"/>
        <v>170.04559651149509</v>
      </c>
      <c r="M13">
        <v>3</v>
      </c>
      <c r="N13">
        <f t="shared" si="0"/>
        <v>510.13678953448527</v>
      </c>
      <c r="O13">
        <f t="shared" si="3"/>
        <v>438.40043052931026</v>
      </c>
      <c r="P13">
        <f t="shared" si="4"/>
        <v>15.459427796337271</v>
      </c>
    </row>
    <row r="14" spans="1:19" x14ac:dyDescent="0.45">
      <c r="A14">
        <v>1300</v>
      </c>
      <c r="B14">
        <v>1.1060000000000001</v>
      </c>
      <c r="C14">
        <v>5.4820000000000002</v>
      </c>
      <c r="D14">
        <v>0.47879518465591181</v>
      </c>
      <c r="E14">
        <v>245650.02323187789</v>
      </c>
      <c r="F14">
        <v>9354.9831262023363</v>
      </c>
      <c r="G14">
        <v>204827493.44847059</v>
      </c>
      <c r="H14">
        <v>26037050.128437512</v>
      </c>
      <c r="I14">
        <v>2953.4593671519319</v>
      </c>
      <c r="J14">
        <v>10.21108594178768</v>
      </c>
      <c r="K14">
        <f t="shared" si="1"/>
        <v>9.6597496211134337E-2</v>
      </c>
      <c r="L14">
        <f t="shared" si="2"/>
        <v>157.46724347839665</v>
      </c>
      <c r="M14">
        <v>3</v>
      </c>
      <c r="N14">
        <f t="shared" si="0"/>
        <v>472.40173043518996</v>
      </c>
      <c r="O14">
        <f t="shared" si="3"/>
        <v>491.26925998483762</v>
      </c>
      <c r="P14">
        <f t="shared" si="4"/>
        <v>16.085474943261488</v>
      </c>
    </row>
    <row r="15" spans="1:19" x14ac:dyDescent="0.45">
      <c r="A15">
        <v>1200</v>
      </c>
      <c r="B15">
        <v>1.101</v>
      </c>
      <c r="C15">
        <v>5.6867000000000001</v>
      </c>
      <c r="D15">
        <v>0.46315102231487731</v>
      </c>
      <c r="E15">
        <v>254169.78059721689</v>
      </c>
      <c r="F15">
        <v>8519.7573653390864</v>
      </c>
      <c r="G15">
        <v>231673594.85807219</v>
      </c>
      <c r="H15">
        <v>26846101.40960164</v>
      </c>
      <c r="I15">
        <v>3348.621844413924</v>
      </c>
      <c r="J15">
        <v>10.565231948029</v>
      </c>
      <c r="K15">
        <f t="shared" si="1"/>
        <v>8.9670507599957788E-2</v>
      </c>
      <c r="L15">
        <f t="shared" si="2"/>
        <v>146.17529653368391</v>
      </c>
      <c r="M15">
        <v>3</v>
      </c>
      <c r="N15">
        <f t="shared" si="0"/>
        <v>438.52588960105174</v>
      </c>
      <c r="O15">
        <f t="shared" si="3"/>
        <v>455.46381001812085</v>
      </c>
      <c r="P15">
        <f t="shared" si="4"/>
        <v>16.70044925357373</v>
      </c>
    </row>
    <row r="16" spans="1:19" x14ac:dyDescent="0.45">
      <c r="A16">
        <v>1100</v>
      </c>
      <c r="B16">
        <v>1.0960000000000001</v>
      </c>
      <c r="C16">
        <v>5.899</v>
      </c>
      <c r="D16">
        <v>0.44987178710360298</v>
      </c>
      <c r="E16">
        <v>260919.51735306109</v>
      </c>
      <c r="F16">
        <v>6749.7367558441474</v>
      </c>
      <c r="G16">
        <v>255433564.27302641</v>
      </c>
      <c r="H16">
        <v>23759969.4149542</v>
      </c>
      <c r="I16">
        <v>3691.6436576094052</v>
      </c>
      <c r="J16">
        <v>10.84580241650117</v>
      </c>
      <c r="K16">
        <f t="shared" si="1"/>
        <v>8.3583569870410046E-2</v>
      </c>
      <c r="L16">
        <f t="shared" si="2"/>
        <v>136.25274840260667</v>
      </c>
      <c r="M16">
        <v>3</v>
      </c>
      <c r="N16">
        <f t="shared" si="0"/>
        <v>408.75824520781998</v>
      </c>
      <c r="O16">
        <f t="shared" si="3"/>
        <v>423.64206740443586</v>
      </c>
      <c r="P16">
        <f t="shared" si="4"/>
        <v>17.224256351206606</v>
      </c>
    </row>
    <row r="17" spans="1:19" x14ac:dyDescent="0.45">
      <c r="A17">
        <v>1000</v>
      </c>
      <c r="B17">
        <v>1.0920000000000001</v>
      </c>
      <c r="C17">
        <v>6.1188000000000002</v>
      </c>
      <c r="D17">
        <v>0.43711531849236418</v>
      </c>
      <c r="E17">
        <v>267509.25840617472</v>
      </c>
      <c r="F17">
        <v>6589.7410531136265</v>
      </c>
      <c r="G17">
        <v>280526388.45554513</v>
      </c>
      <c r="H17">
        <v>25092824.182518661</v>
      </c>
      <c r="I17">
        <v>3924.0802320758821</v>
      </c>
      <c r="J17">
        <v>11.119722244971751</v>
      </c>
      <c r="K17">
        <f t="shared" si="1"/>
        <v>7.8010382394205033E-2</v>
      </c>
      <c r="L17">
        <f t="shared" si="2"/>
        <v>127.16768405116471</v>
      </c>
      <c r="M17">
        <v>3</v>
      </c>
      <c r="N17">
        <f t="shared" si="0"/>
        <v>381.50305215349414</v>
      </c>
      <c r="O17">
        <f t="shared" si="3"/>
        <v>395.13064868065703</v>
      </c>
      <c r="P17">
        <f t="shared" si="4"/>
        <v>17.772547523855046</v>
      </c>
    </row>
    <row r="18" spans="1:19" x14ac:dyDescent="0.45">
      <c r="A18">
        <v>900</v>
      </c>
      <c r="B18">
        <v>1.0880000000000001</v>
      </c>
      <c r="C18">
        <v>6.3460000000000001</v>
      </c>
      <c r="D18">
        <v>0.42414137705879201</v>
      </c>
      <c r="E18">
        <v>273881.98816383898</v>
      </c>
      <c r="F18">
        <v>6372.7297576643177</v>
      </c>
      <c r="G18">
        <v>306238737.37373209</v>
      </c>
      <c r="H18">
        <v>25712348.91818697</v>
      </c>
      <c r="I18">
        <v>4145.4127155148699</v>
      </c>
      <c r="J18">
        <v>11.384621431152061</v>
      </c>
      <c r="K18">
        <f t="shared" si="1"/>
        <v>7.2717588755115942E-2</v>
      </c>
      <c r="L18">
        <f t="shared" si="2"/>
        <v>118.53970033173488</v>
      </c>
      <c r="M18">
        <v>3</v>
      </c>
      <c r="N18">
        <f t="shared" si="0"/>
        <v>355.61910099520463</v>
      </c>
      <c r="O18">
        <f t="shared" si="3"/>
        <v>368.56107657434939</v>
      </c>
      <c r="P18">
        <f t="shared" si="4"/>
        <v>18.341007191153498</v>
      </c>
    </row>
    <row r="19" spans="1:19" x14ac:dyDescent="0.45">
      <c r="A19">
        <v>800</v>
      </c>
      <c r="B19">
        <v>1.083</v>
      </c>
      <c r="C19">
        <v>6.5803000000000003</v>
      </c>
      <c r="D19">
        <v>0.41249699982122368</v>
      </c>
      <c r="E19">
        <v>278907.53352502477</v>
      </c>
      <c r="F19">
        <v>5025.5453611857956</v>
      </c>
      <c r="G19">
        <v>327427521.11644179</v>
      </c>
      <c r="H19">
        <v>21188783.742709689</v>
      </c>
      <c r="I19">
        <v>4287.0188794156029</v>
      </c>
      <c r="J19">
        <v>11.59352137307871</v>
      </c>
      <c r="K19">
        <f t="shared" si="1"/>
        <v>6.788964801093951E-2</v>
      </c>
      <c r="L19">
        <f t="shared" si="2"/>
        <v>110.66949095279995</v>
      </c>
      <c r="M19">
        <v>3</v>
      </c>
      <c r="N19">
        <f t="shared" si="0"/>
        <v>332.00847285839984</v>
      </c>
      <c r="O19">
        <f t="shared" si="3"/>
        <v>343.81378692680221</v>
      </c>
      <c r="P19">
        <f t="shared" si="4"/>
        <v>18.821562668477611</v>
      </c>
    </row>
    <row r="20" spans="1:19" x14ac:dyDescent="0.45">
      <c r="A20">
        <v>700</v>
      </c>
      <c r="B20">
        <v>1.079</v>
      </c>
      <c r="C20">
        <v>6.8213999999999997</v>
      </c>
      <c r="D20">
        <v>0.40146981569353801</v>
      </c>
      <c r="E20">
        <v>284711.01991164731</v>
      </c>
      <c r="F20">
        <v>5803.4863866224186</v>
      </c>
      <c r="G20">
        <v>352413358.06015623</v>
      </c>
      <c r="H20">
        <v>24985836.94371435</v>
      </c>
      <c r="I20">
        <v>4323.6111037300634</v>
      </c>
      <c r="J20">
        <v>11.83475846915608</v>
      </c>
      <c r="K20">
        <f t="shared" si="1"/>
        <v>6.3503962695828933E-2</v>
      </c>
      <c r="L20">
        <f t="shared" si="2"/>
        <v>103.52021892793618</v>
      </c>
      <c r="M20">
        <v>3</v>
      </c>
      <c r="N20">
        <f t="shared" si="0"/>
        <v>310.56065678380855</v>
      </c>
      <c r="O20">
        <f t="shared" si="3"/>
        <v>321.2845648211042</v>
      </c>
      <c r="P20">
        <f t="shared" si="4"/>
        <v>19.415420831604916</v>
      </c>
    </row>
    <row r="21" spans="1:19" x14ac:dyDescent="0.45">
      <c r="A21">
        <v>600</v>
      </c>
      <c r="B21">
        <v>1.075</v>
      </c>
      <c r="C21">
        <v>7.0686999999999998</v>
      </c>
      <c r="D21">
        <v>0.39196908612530212</v>
      </c>
      <c r="E21">
        <v>290100.13600315253</v>
      </c>
      <c r="F21">
        <v>5389.1160915052751</v>
      </c>
      <c r="G21">
        <v>375593659.56680298</v>
      </c>
      <c r="H21">
        <v>23180301.506646879</v>
      </c>
      <c r="I21">
        <v>4279.0246951852323</v>
      </c>
      <c r="J21">
        <v>12.05877117974593</v>
      </c>
      <c r="K21">
        <f t="shared" si="1"/>
        <v>5.9610220773932951E-2</v>
      </c>
      <c r="L21">
        <f t="shared" si="2"/>
        <v>97.172882492661572</v>
      </c>
      <c r="M21">
        <v>3</v>
      </c>
      <c r="N21">
        <f t="shared" si="0"/>
        <v>291.5186474779847</v>
      </c>
      <c r="O21">
        <f t="shared" si="3"/>
        <v>301.03965213089663</v>
      </c>
      <c r="P21">
        <f t="shared" si="4"/>
        <v>20.003962827832037</v>
      </c>
    </row>
    <row r="22" spans="1:19" x14ac:dyDescent="0.45">
      <c r="A22">
        <v>500</v>
      </c>
      <c r="B22">
        <v>1.0720000000000001</v>
      </c>
      <c r="C22">
        <v>7.3215000000000003</v>
      </c>
      <c r="D22">
        <v>0.37988896057552068</v>
      </c>
      <c r="E22">
        <v>295876.03620328999</v>
      </c>
      <c r="F22">
        <v>5775.9002001375193</v>
      </c>
      <c r="G22">
        <v>399568306.07261169</v>
      </c>
      <c r="H22">
        <v>23974646.50580864</v>
      </c>
      <c r="I22">
        <v>4022.589139914558</v>
      </c>
      <c r="J22">
        <v>12.298861583804721</v>
      </c>
      <c r="K22">
        <f t="shared" si="1"/>
        <v>5.5622613636134424E-2</v>
      </c>
      <c r="L22">
        <f t="shared" si="2"/>
        <v>90.672532807702183</v>
      </c>
      <c r="M22">
        <v>3</v>
      </c>
      <c r="N22">
        <f t="shared" si="0"/>
        <v>272.01759842310656</v>
      </c>
      <c r="O22">
        <f t="shared" si="3"/>
        <v>281.7681229505456</v>
      </c>
      <c r="P22">
        <f t="shared" si="4"/>
        <v>20.677887636426611</v>
      </c>
    </row>
    <row r="23" spans="1:19" x14ac:dyDescent="0.45">
      <c r="A23">
        <v>400</v>
      </c>
      <c r="B23">
        <v>1.0680000000000001</v>
      </c>
      <c r="C23">
        <v>7.5792000000000002</v>
      </c>
      <c r="D23">
        <v>0.36827643195659621</v>
      </c>
      <c r="E23">
        <v>303213.76917012437</v>
      </c>
      <c r="F23">
        <v>7337.73296683433</v>
      </c>
      <c r="G23">
        <v>427979155.08605921</v>
      </c>
      <c r="H23">
        <v>28410849.013447441</v>
      </c>
      <c r="I23">
        <v>3721.178353904324</v>
      </c>
      <c r="J23">
        <v>12.60387365323778</v>
      </c>
      <c r="K23">
        <f t="shared" si="1"/>
        <v>5.1894557384637524E-2</v>
      </c>
      <c r="L23">
        <f t="shared" si="2"/>
        <v>84.595286869851918</v>
      </c>
      <c r="M23">
        <v>3</v>
      </c>
      <c r="N23">
        <f t="shared" si="0"/>
        <v>253.78586060955575</v>
      </c>
      <c r="O23">
        <f t="shared" si="3"/>
        <v>262.90172951633116</v>
      </c>
      <c r="P23">
        <f t="shared" si="4"/>
        <v>21.595484841423353</v>
      </c>
    </row>
    <row r="24" spans="1:19" x14ac:dyDescent="0.45">
      <c r="A24">
        <v>300</v>
      </c>
      <c r="B24">
        <v>1.0649999999999999</v>
      </c>
      <c r="C24">
        <v>7.8417000000000003</v>
      </c>
      <c r="D24">
        <v>0</v>
      </c>
      <c r="E24">
        <v>312329.63945553749</v>
      </c>
      <c r="F24">
        <v>9115.8702854131698</v>
      </c>
      <c r="G24">
        <v>459592132.23767591</v>
      </c>
      <c r="H24">
        <v>31612977.15161673</v>
      </c>
      <c r="I24">
        <v>3214.632745163743</v>
      </c>
      <c r="J24">
        <v>12.98279865268986</v>
      </c>
      <c r="K24">
        <f t="shared" si="1"/>
        <v>0</v>
      </c>
      <c r="L24">
        <f t="shared" si="2"/>
        <v>0</v>
      </c>
      <c r="M24">
        <v>3</v>
      </c>
      <c r="N24">
        <f t="shared" si="0"/>
        <v>0</v>
      </c>
      <c r="O24">
        <f t="shared" si="3"/>
        <v>126.89293030477788</v>
      </c>
      <c r="P24">
        <f t="shared" si="4"/>
        <v>23.957291444314375</v>
      </c>
    </row>
    <row r="27" spans="1:19" x14ac:dyDescent="0.45">
      <c r="A27" s="4" t="s">
        <v>17</v>
      </c>
    </row>
    <row r="28" spans="1:19" ht="14.65" thickBot="1" x14ac:dyDescent="0.5"/>
    <row r="29" spans="1:19" s="3" customFormat="1" ht="28.5" x14ac:dyDescent="0.45">
      <c r="A29" s="33" t="s">
        <v>27</v>
      </c>
      <c r="B29" s="34" t="s">
        <v>18</v>
      </c>
      <c r="C29" s="34" t="s">
        <v>19</v>
      </c>
      <c r="D29" s="34" t="s">
        <v>43</v>
      </c>
      <c r="E29" s="34" t="s">
        <v>44</v>
      </c>
      <c r="F29" s="34" t="s">
        <v>22</v>
      </c>
      <c r="G29" s="34" t="s">
        <v>23</v>
      </c>
      <c r="H29" s="34" t="s">
        <v>39</v>
      </c>
      <c r="I29" s="34" t="s">
        <v>24</v>
      </c>
      <c r="J29" s="34" t="s">
        <v>25</v>
      </c>
      <c r="K29" s="34" t="s">
        <v>26</v>
      </c>
      <c r="L29" s="25" t="s">
        <v>42</v>
      </c>
    </row>
    <row r="30" spans="1:19" ht="28.5" x14ac:dyDescent="0.45">
      <c r="A30" s="26">
        <v>0</v>
      </c>
      <c r="B30" s="17">
        <f>S2</f>
        <v>500</v>
      </c>
      <c r="C30" s="17">
        <v>1</v>
      </c>
      <c r="D30" s="17">
        <v>0</v>
      </c>
      <c r="E30" s="17">
        <v>0</v>
      </c>
      <c r="F30" s="18">
        <f>C30*$O$30</f>
        <v>2325000</v>
      </c>
      <c r="G30" s="19">
        <f>(D30*$R$30)+(E30*$R$31)</f>
        <v>0</v>
      </c>
      <c r="H30" s="18">
        <f>O31</f>
        <v>600000</v>
      </c>
      <c r="I30" s="18">
        <f>$O$34</f>
        <v>5000</v>
      </c>
      <c r="J30" s="18">
        <f>G30-H30-I30-F30</f>
        <v>-2930000</v>
      </c>
      <c r="K30" s="20">
        <f>J30/(1+$R$32)^A30</f>
        <v>-2930000</v>
      </c>
      <c r="L30" s="27">
        <f>K30</f>
        <v>-2930000</v>
      </c>
      <c r="N30" s="8" t="s">
        <v>28</v>
      </c>
      <c r="O30" s="16">
        <v>2325000</v>
      </c>
      <c r="P30" s="16">
        <v>2325000</v>
      </c>
      <c r="Q30" s="8" t="s">
        <v>31</v>
      </c>
      <c r="R30" s="11">
        <v>35.024999999999999</v>
      </c>
      <c r="S30" s="4" t="s">
        <v>34</v>
      </c>
    </row>
    <row r="31" spans="1:19" ht="28.5" x14ac:dyDescent="0.45">
      <c r="A31" s="26">
        <v>1</v>
      </c>
      <c r="B31" s="17">
        <f>TREND($N$3:$N$23,$P$3:$P$23,A31,TRUE)</f>
        <v>610.54957199199657</v>
      </c>
      <c r="C31" s="21">
        <f>TREND($M$3:$M$23,$P$3:$P$23,$A31,TRUE)</f>
        <v>1.0820004283868474</v>
      </c>
      <c r="D31" s="17">
        <f>TREND($F$3:$F$23,$P$3:$P$23,$A31,TRUE)</f>
        <v>32922.54817304165</v>
      </c>
      <c r="E31" s="17">
        <f>H3</f>
        <v>6755141.8522682618</v>
      </c>
      <c r="F31" s="18">
        <v>0</v>
      </c>
      <c r="G31" s="17">
        <f t="shared" ref="G31:G62" si="5">(D31*$R$30)+(E31*$R$31)</f>
        <v>1167770.9075802059</v>
      </c>
      <c r="H31" s="17">
        <v>0</v>
      </c>
      <c r="I31" s="18">
        <f t="shared" ref="I31:I62" si="6">$O$34</f>
        <v>5000</v>
      </c>
      <c r="J31" s="18">
        <f t="shared" ref="J31:J62" si="7">G31-H31-I31-F31</f>
        <v>1162770.9075802059</v>
      </c>
      <c r="K31" s="20">
        <f t="shared" ref="K31:K62" si="8">J31/(1+$R$32)^A31</f>
        <v>1155070.4379935821</v>
      </c>
      <c r="L31" s="27">
        <f>K31+L30</f>
        <v>-1774929.5620064179</v>
      </c>
      <c r="N31" s="8" t="s">
        <v>29</v>
      </c>
      <c r="O31" s="15">
        <v>600000</v>
      </c>
      <c r="P31" s="15"/>
      <c r="Q31" s="8" t="s">
        <v>32</v>
      </c>
      <c r="R31" s="11">
        <v>2.1700000000000001E-3</v>
      </c>
      <c r="S31" s="4" t="s">
        <v>35</v>
      </c>
    </row>
    <row r="32" spans="1:19" ht="28.5" x14ac:dyDescent="0.45">
      <c r="A32" s="26">
        <v>2</v>
      </c>
      <c r="B32" s="17">
        <f t="shared" ref="B32:B62" si="9">TREND($N$3:$N$23,$P$3:$P$23,A32,TRUE)</f>
        <v>596.29191609553527</v>
      </c>
      <c r="C32" s="21">
        <f t="shared" ref="C32:C62" si="10">TREND($M$3:$M$23,$P$3:$P$23,$A32,TRUE)</f>
        <v>1.1871015849005866</v>
      </c>
      <c r="D32" s="17">
        <f t="shared" ref="D32:D62" si="11">TREND($F$3:$F$23,$P$3:$P$23,$A32,TRUE)</f>
        <v>31479.870090308574</v>
      </c>
      <c r="E32" s="17">
        <f>H4</f>
        <v>7074146.11797655</v>
      </c>
      <c r="F32" s="18">
        <v>0</v>
      </c>
      <c r="G32" s="17">
        <f t="shared" si="5"/>
        <v>1117933.3469890668</v>
      </c>
      <c r="H32" s="17">
        <v>0</v>
      </c>
      <c r="I32" s="18">
        <f t="shared" si="6"/>
        <v>5000</v>
      </c>
      <c r="J32" s="18">
        <f t="shared" si="7"/>
        <v>1112933.3469890668</v>
      </c>
      <c r="K32" s="20">
        <f t="shared" si="8"/>
        <v>1098241.3186813737</v>
      </c>
      <c r="L32" s="27">
        <f t="shared" ref="L32:L62" si="12">K32+L31</f>
        <v>-676688.24332504417</v>
      </c>
      <c r="N32" s="8" t="s">
        <v>30</v>
      </c>
      <c r="O32" s="10">
        <f>5*10^6</f>
        <v>5000000</v>
      </c>
      <c r="P32" s="4"/>
      <c r="Q32" s="9" t="s">
        <v>40</v>
      </c>
      <c r="R32" s="4">
        <f>20/(100*30)</f>
        <v>6.6666666666666671E-3</v>
      </c>
      <c r="S32" s="4"/>
    </row>
    <row r="33" spans="1:19" x14ac:dyDescent="0.45">
      <c r="A33" s="26">
        <v>3</v>
      </c>
      <c r="B33" s="17">
        <f t="shared" si="9"/>
        <v>582.03426019907397</v>
      </c>
      <c r="C33" s="21">
        <f t="shared" si="10"/>
        <v>1.292202741414326</v>
      </c>
      <c r="D33" s="17">
        <f t="shared" si="11"/>
        <v>30037.192007575493</v>
      </c>
      <c r="E33" s="17">
        <f>H5</f>
        <v>8773163.9627185911</v>
      </c>
      <c r="F33" s="18">
        <v>0</v>
      </c>
      <c r="G33" s="17">
        <f t="shared" si="5"/>
        <v>1071090.4158644311</v>
      </c>
      <c r="H33" s="17">
        <v>0</v>
      </c>
      <c r="I33" s="18">
        <f t="shared" si="6"/>
        <v>5000</v>
      </c>
      <c r="J33" s="18">
        <f t="shared" si="7"/>
        <v>1066090.4158644311</v>
      </c>
      <c r="K33" s="20">
        <f t="shared" si="8"/>
        <v>1045049.7708339315</v>
      </c>
      <c r="L33" s="27">
        <f t="shared" si="12"/>
        <v>368361.52750888735</v>
      </c>
      <c r="N33" s="4"/>
      <c r="O33" s="10"/>
      <c r="P33" s="4"/>
      <c r="Q33" s="4"/>
      <c r="R33" s="4"/>
      <c r="S33" s="4"/>
    </row>
    <row r="34" spans="1:19" x14ac:dyDescent="0.45">
      <c r="A34" s="26">
        <v>4</v>
      </c>
      <c r="B34" s="17">
        <f t="shared" si="9"/>
        <v>567.77660430261267</v>
      </c>
      <c r="C34" s="21">
        <f t="shared" si="10"/>
        <v>1.3973038979280654</v>
      </c>
      <c r="D34" s="17">
        <f t="shared" si="11"/>
        <v>28594.513924842413</v>
      </c>
      <c r="E34" s="17">
        <f>H4</f>
        <v>7074146.11797655</v>
      </c>
      <c r="F34" s="18">
        <v>0</v>
      </c>
      <c r="G34" s="17">
        <f t="shared" si="5"/>
        <v>1016873.7472936145</v>
      </c>
      <c r="H34" s="17">
        <v>0</v>
      </c>
      <c r="I34" s="18">
        <f t="shared" si="6"/>
        <v>5000</v>
      </c>
      <c r="J34" s="18">
        <f t="shared" si="7"/>
        <v>1011873.7472936145</v>
      </c>
      <c r="K34" s="20">
        <f t="shared" si="8"/>
        <v>985334.24196026637</v>
      </c>
      <c r="L34" s="27">
        <f t="shared" si="12"/>
        <v>1353695.7694691536</v>
      </c>
      <c r="N34" s="8" t="s">
        <v>33</v>
      </c>
      <c r="O34" s="10">
        <v>5000</v>
      </c>
      <c r="P34" s="4"/>
      <c r="Q34" s="4"/>
      <c r="R34" s="4"/>
      <c r="S34" s="4"/>
    </row>
    <row r="35" spans="1:19" x14ac:dyDescent="0.45">
      <c r="A35" s="26">
        <v>5</v>
      </c>
      <c r="B35" s="17">
        <f t="shared" si="9"/>
        <v>553.51894840615137</v>
      </c>
      <c r="C35" s="21">
        <f t="shared" si="10"/>
        <v>1.5024050544418048</v>
      </c>
      <c r="D35" s="17">
        <f t="shared" si="11"/>
        <v>27151.835842109336</v>
      </c>
      <c r="E35" s="17">
        <f>H5</f>
        <v>8773163.9627185911</v>
      </c>
      <c r="F35" s="18">
        <f>O30</f>
        <v>2325000</v>
      </c>
      <c r="G35" s="17">
        <f t="shared" si="5"/>
        <v>970030.81616897881</v>
      </c>
      <c r="H35" s="18">
        <f>H30</f>
        <v>600000</v>
      </c>
      <c r="I35" s="18">
        <f t="shared" si="6"/>
        <v>5000</v>
      </c>
      <c r="J35" s="18">
        <f t="shared" si="7"/>
        <v>-1959969.1838310212</v>
      </c>
      <c r="K35" s="20">
        <f t="shared" si="8"/>
        <v>-1895923.4660112716</v>
      </c>
      <c r="L35" s="27">
        <f t="shared" si="12"/>
        <v>-542227.69654211798</v>
      </c>
      <c r="N35" s="8"/>
      <c r="O35" s="11"/>
      <c r="P35" s="11"/>
      <c r="Q35" s="4"/>
      <c r="R35" s="4"/>
      <c r="S35" s="4"/>
    </row>
    <row r="36" spans="1:19" x14ac:dyDescent="0.45">
      <c r="A36" s="26">
        <v>6</v>
      </c>
      <c r="B36" s="17">
        <f t="shared" si="9"/>
        <v>539.26129250969007</v>
      </c>
      <c r="C36" s="21">
        <f t="shared" si="10"/>
        <v>1.607506210955544</v>
      </c>
      <c r="D36" s="17">
        <f t="shared" si="11"/>
        <v>25709.157759376256</v>
      </c>
      <c r="E36" s="17">
        <f>G6</f>
        <v>32620498.7168222</v>
      </c>
      <c r="F36" s="18">
        <v>0</v>
      </c>
      <c r="G36" s="17">
        <f t="shared" si="5"/>
        <v>971249.7327376575</v>
      </c>
      <c r="H36" s="17">
        <v>0</v>
      </c>
      <c r="I36" s="18">
        <f t="shared" si="6"/>
        <v>5000</v>
      </c>
      <c r="J36" s="18">
        <f t="shared" si="7"/>
        <v>966249.7327376575</v>
      </c>
      <c r="K36" s="20">
        <f t="shared" si="8"/>
        <v>928485.7812449343</v>
      </c>
      <c r="L36" s="27">
        <f t="shared" si="12"/>
        <v>386258.08470281633</v>
      </c>
      <c r="N36" s="8"/>
      <c r="O36" s="11"/>
      <c r="P36" s="11"/>
      <c r="Q36" s="4"/>
      <c r="R36" s="4"/>
      <c r="S36" s="4"/>
    </row>
    <row r="37" spans="1:19" x14ac:dyDescent="0.45">
      <c r="A37" s="26">
        <v>7</v>
      </c>
      <c r="B37" s="17">
        <f t="shared" si="9"/>
        <v>525.00363661322876</v>
      </c>
      <c r="C37" s="21">
        <f t="shared" si="10"/>
        <v>1.7126073674692834</v>
      </c>
      <c r="D37" s="17">
        <f t="shared" si="11"/>
        <v>24266.479676643175</v>
      </c>
      <c r="E37" s="17">
        <f t="shared" ref="E37:E62" si="13">TREND($G$3:$G$23,$P$3:$P$23,$A37,TRUE)</f>
        <v>37913737.230034471</v>
      </c>
      <c r="F37" s="18">
        <v>0</v>
      </c>
      <c r="G37" s="17">
        <f t="shared" si="5"/>
        <v>932206.26046360203</v>
      </c>
      <c r="H37" s="17">
        <v>0</v>
      </c>
      <c r="I37" s="18">
        <f t="shared" si="6"/>
        <v>5000</v>
      </c>
      <c r="J37" s="18">
        <f t="shared" si="7"/>
        <v>927206.26046360203</v>
      </c>
      <c r="K37" s="20">
        <f t="shared" si="8"/>
        <v>885067.79357350525</v>
      </c>
      <c r="L37" s="27">
        <f t="shared" si="12"/>
        <v>1271325.8782763216</v>
      </c>
      <c r="N37" s="4"/>
      <c r="O37" s="11"/>
      <c r="P37" s="11"/>
      <c r="Q37" s="4"/>
      <c r="R37" s="4"/>
      <c r="S37" s="4"/>
    </row>
    <row r="38" spans="1:19" x14ac:dyDescent="0.45">
      <c r="A38" s="26">
        <v>8</v>
      </c>
      <c r="B38" s="17">
        <f t="shared" si="9"/>
        <v>510.74598071676752</v>
      </c>
      <c r="C38" s="21">
        <f t="shared" si="10"/>
        <v>1.8177085239830229</v>
      </c>
      <c r="D38" s="17">
        <f t="shared" si="11"/>
        <v>22823.801593910095</v>
      </c>
      <c r="E38" s="17">
        <f t="shared" si="13"/>
        <v>60297639.922344446</v>
      </c>
      <c r="F38" s="18">
        <v>0</v>
      </c>
      <c r="G38" s="17">
        <f t="shared" si="5"/>
        <v>930249.52945818857</v>
      </c>
      <c r="H38" s="17">
        <v>0</v>
      </c>
      <c r="I38" s="18">
        <f t="shared" si="6"/>
        <v>5000</v>
      </c>
      <c r="J38" s="18">
        <f t="shared" si="7"/>
        <v>925249.52945818857</v>
      </c>
      <c r="K38" s="20">
        <f t="shared" si="8"/>
        <v>877350.98298633401</v>
      </c>
      <c r="L38" s="27">
        <f t="shared" si="12"/>
        <v>2148676.8612626558</v>
      </c>
      <c r="N38" s="8" t="s">
        <v>36</v>
      </c>
      <c r="O38" s="10">
        <f>1*10^6</f>
        <v>1000000</v>
      </c>
      <c r="P38" s="12" t="s">
        <v>37</v>
      </c>
      <c r="Q38" s="4"/>
      <c r="R38" s="4" t="s">
        <v>38</v>
      </c>
      <c r="S38" s="13">
        <f>65*10^6</f>
        <v>65000000</v>
      </c>
    </row>
    <row r="39" spans="1:19" x14ac:dyDescent="0.45">
      <c r="A39" s="26">
        <v>9</v>
      </c>
      <c r="B39" s="17">
        <f t="shared" si="9"/>
        <v>496.48832482030627</v>
      </c>
      <c r="C39" s="21">
        <f t="shared" si="10"/>
        <v>1.922809680496762</v>
      </c>
      <c r="D39" s="17">
        <f t="shared" si="11"/>
        <v>21381.123511177018</v>
      </c>
      <c r="E39" s="17">
        <f t="shared" si="13"/>
        <v>82681542.614654422</v>
      </c>
      <c r="F39" s="18">
        <v>0</v>
      </c>
      <c r="G39" s="17">
        <f t="shared" si="5"/>
        <v>928292.79845277523</v>
      </c>
      <c r="H39" s="17">
        <v>0</v>
      </c>
      <c r="I39" s="18">
        <f t="shared" si="6"/>
        <v>5000</v>
      </c>
      <c r="J39" s="18">
        <f t="shared" si="7"/>
        <v>923292.79845277523</v>
      </c>
      <c r="K39" s="20">
        <f t="shared" si="8"/>
        <v>869697.56475054019</v>
      </c>
      <c r="L39" s="27">
        <f t="shared" si="12"/>
        <v>3018374.4260131959</v>
      </c>
    </row>
    <row r="40" spans="1:19" x14ac:dyDescent="0.45">
      <c r="A40" s="26">
        <v>10</v>
      </c>
      <c r="B40" s="17">
        <f t="shared" si="9"/>
        <v>482.23066892384497</v>
      </c>
      <c r="C40" s="21">
        <f t="shared" si="10"/>
        <v>2.0279108370105012</v>
      </c>
      <c r="D40" s="17">
        <f t="shared" si="11"/>
        <v>19938.445428443938</v>
      </c>
      <c r="E40" s="17">
        <f t="shared" si="13"/>
        <v>105065445.3069644</v>
      </c>
      <c r="F40" s="18">
        <v>0</v>
      </c>
      <c r="G40" s="17">
        <f t="shared" si="5"/>
        <v>926336.06744736165</v>
      </c>
      <c r="H40" s="17">
        <v>0</v>
      </c>
      <c r="I40" s="18">
        <f t="shared" si="6"/>
        <v>5000</v>
      </c>
      <c r="J40" s="18">
        <f t="shared" si="7"/>
        <v>921336.06744736165</v>
      </c>
      <c r="K40" s="20">
        <f t="shared" si="8"/>
        <v>862107.03767409106</v>
      </c>
      <c r="L40" s="27">
        <f t="shared" si="12"/>
        <v>3880481.4636872867</v>
      </c>
    </row>
    <row r="41" spans="1:19" x14ac:dyDescent="0.45">
      <c r="A41" s="26">
        <v>11</v>
      </c>
      <c r="B41" s="17">
        <f t="shared" si="9"/>
        <v>467.97301302738367</v>
      </c>
      <c r="C41" s="21">
        <f t="shared" si="10"/>
        <v>2.1330119935242409</v>
      </c>
      <c r="D41" s="17">
        <f t="shared" si="11"/>
        <v>18495.767345710861</v>
      </c>
      <c r="E41" s="17">
        <f t="shared" si="13"/>
        <v>127449347.99927437</v>
      </c>
      <c r="F41" s="18">
        <v>0</v>
      </c>
      <c r="G41" s="17">
        <f t="shared" si="5"/>
        <v>924379.33644194831</v>
      </c>
      <c r="H41" s="17">
        <v>0</v>
      </c>
      <c r="I41" s="18">
        <f t="shared" si="6"/>
        <v>5000</v>
      </c>
      <c r="J41" s="18">
        <f t="shared" si="7"/>
        <v>919379.33644194831</v>
      </c>
      <c r="K41" s="20">
        <f t="shared" si="8"/>
        <v>854578.90442301542</v>
      </c>
      <c r="L41" s="27">
        <f t="shared" si="12"/>
        <v>4735060.3681103019</v>
      </c>
    </row>
    <row r="42" spans="1:19" x14ac:dyDescent="0.45">
      <c r="A42" s="26">
        <v>12</v>
      </c>
      <c r="B42" s="17">
        <f t="shared" si="9"/>
        <v>453.71535713092237</v>
      </c>
      <c r="C42" s="21">
        <f t="shared" si="10"/>
        <v>2.2381131500379801</v>
      </c>
      <c r="D42" s="17">
        <f t="shared" si="11"/>
        <v>17053.089262977781</v>
      </c>
      <c r="E42" s="17">
        <f t="shared" si="13"/>
        <v>149833250.69158432</v>
      </c>
      <c r="F42" s="18">
        <v>0</v>
      </c>
      <c r="G42" s="17">
        <f t="shared" si="5"/>
        <v>922422.60543653485</v>
      </c>
      <c r="H42" s="17">
        <v>0</v>
      </c>
      <c r="I42" s="18">
        <f t="shared" si="6"/>
        <v>5000</v>
      </c>
      <c r="J42" s="18">
        <f t="shared" si="7"/>
        <v>917422.60543653485</v>
      </c>
      <c r="K42" s="20">
        <f t="shared" si="8"/>
        <v>847112.67149228312</v>
      </c>
      <c r="L42" s="27">
        <f t="shared" si="12"/>
        <v>5582173.0396025851</v>
      </c>
    </row>
    <row r="43" spans="1:19" x14ac:dyDescent="0.45">
      <c r="A43" s="26">
        <v>13</v>
      </c>
      <c r="B43" s="17">
        <f t="shared" si="9"/>
        <v>439.45770123446107</v>
      </c>
      <c r="C43" s="21">
        <f t="shared" si="10"/>
        <v>2.3432143065517197</v>
      </c>
      <c r="D43" s="17">
        <f t="shared" si="11"/>
        <v>15610.411180244701</v>
      </c>
      <c r="E43" s="17">
        <f t="shared" si="13"/>
        <v>172217153.38389429</v>
      </c>
      <c r="F43" s="18">
        <v>0</v>
      </c>
      <c r="G43" s="17">
        <f t="shared" si="5"/>
        <v>920465.87443112116</v>
      </c>
      <c r="H43" s="18">
        <v>0</v>
      </c>
      <c r="I43" s="18">
        <f t="shared" si="6"/>
        <v>5000</v>
      </c>
      <c r="J43" s="18">
        <f t="shared" si="7"/>
        <v>915465.87443112116</v>
      </c>
      <c r="K43" s="20">
        <f t="shared" si="8"/>
        <v>839707.84917690326</v>
      </c>
      <c r="L43" s="27">
        <f t="shared" si="12"/>
        <v>6421880.8887794884</v>
      </c>
    </row>
    <row r="44" spans="1:19" x14ac:dyDescent="0.45">
      <c r="A44" s="26">
        <v>14</v>
      </c>
      <c r="B44" s="17">
        <f t="shared" si="9"/>
        <v>425.20004533799977</v>
      </c>
      <c r="C44" s="21">
        <f t="shared" si="10"/>
        <v>2.4483154630654589</v>
      </c>
      <c r="D44" s="17">
        <f t="shared" si="11"/>
        <v>14167.73309751162</v>
      </c>
      <c r="E44" s="17">
        <f t="shared" si="13"/>
        <v>194601056.07620427</v>
      </c>
      <c r="F44" s="22">
        <v>0</v>
      </c>
      <c r="G44" s="17">
        <f t="shared" si="5"/>
        <v>918509.14342570771</v>
      </c>
      <c r="H44" s="17">
        <v>0</v>
      </c>
      <c r="I44" s="18">
        <f t="shared" si="6"/>
        <v>5000</v>
      </c>
      <c r="J44" s="18">
        <f t="shared" si="7"/>
        <v>913509.14342570771</v>
      </c>
      <c r="K44" s="20">
        <f t="shared" si="8"/>
        <v>832363.95154323743</v>
      </c>
      <c r="L44" s="27">
        <f t="shared" si="12"/>
        <v>7254244.8403227255</v>
      </c>
    </row>
    <row r="45" spans="1:19" x14ac:dyDescent="0.45">
      <c r="A45" s="26">
        <v>15</v>
      </c>
      <c r="B45" s="17">
        <f t="shared" si="9"/>
        <v>410.94238944153847</v>
      </c>
      <c r="C45" s="21">
        <f t="shared" si="10"/>
        <v>2.5534166195791981</v>
      </c>
      <c r="D45" s="17">
        <f t="shared" si="11"/>
        <v>12725.055014778543</v>
      </c>
      <c r="E45" s="17">
        <f t="shared" si="13"/>
        <v>216984958.76851425</v>
      </c>
      <c r="F45" s="22">
        <f>F35</f>
        <v>2325000</v>
      </c>
      <c r="G45" s="17">
        <f t="shared" si="5"/>
        <v>916552.41242029448</v>
      </c>
      <c r="H45" s="18">
        <f>H35</f>
        <v>600000</v>
      </c>
      <c r="I45" s="18">
        <f t="shared" si="6"/>
        <v>5000</v>
      </c>
      <c r="J45" s="18">
        <f t="shared" si="7"/>
        <v>-2013447.5875797055</v>
      </c>
      <c r="K45" s="20">
        <f t="shared" si="8"/>
        <v>-1822447.4121305221</v>
      </c>
      <c r="L45" s="27">
        <f t="shared" si="12"/>
        <v>5431797.4281922039</v>
      </c>
    </row>
    <row r="46" spans="1:19" x14ac:dyDescent="0.45">
      <c r="A46" s="26">
        <v>16</v>
      </c>
      <c r="B46" s="17">
        <f t="shared" si="9"/>
        <v>396.68473354507717</v>
      </c>
      <c r="C46" s="21">
        <f t="shared" si="10"/>
        <v>2.6585177760929373</v>
      </c>
      <c r="D46" s="17">
        <f t="shared" si="11"/>
        <v>11282.376932045463</v>
      </c>
      <c r="E46" s="17">
        <f t="shared" si="13"/>
        <v>239368861.46082422</v>
      </c>
      <c r="F46" s="22">
        <v>0</v>
      </c>
      <c r="G46" s="17">
        <f t="shared" si="5"/>
        <v>914595.68141488091</v>
      </c>
      <c r="H46" s="17">
        <v>0</v>
      </c>
      <c r="I46" s="18">
        <f t="shared" si="6"/>
        <v>5000</v>
      </c>
      <c r="J46" s="18">
        <f t="shared" si="7"/>
        <v>909595.68141488091</v>
      </c>
      <c r="K46" s="20">
        <f t="shared" si="8"/>
        <v>817857.00527261361</v>
      </c>
      <c r="L46" s="27">
        <f t="shared" si="12"/>
        <v>6249654.4334648177</v>
      </c>
    </row>
    <row r="47" spans="1:19" x14ac:dyDescent="0.45">
      <c r="A47" s="26">
        <v>17</v>
      </c>
      <c r="B47" s="17">
        <f t="shared" si="9"/>
        <v>382.42707764861586</v>
      </c>
      <c r="C47" s="21">
        <f t="shared" si="10"/>
        <v>2.7636189326066769</v>
      </c>
      <c r="D47" s="17">
        <f t="shared" si="11"/>
        <v>9839.6988493123827</v>
      </c>
      <c r="E47" s="17">
        <f t="shared" si="13"/>
        <v>261752764.1531342</v>
      </c>
      <c r="F47" s="22">
        <v>0</v>
      </c>
      <c r="G47" s="17">
        <f t="shared" si="5"/>
        <v>912638.95040946733</v>
      </c>
      <c r="H47" s="17">
        <v>0</v>
      </c>
      <c r="I47" s="18">
        <f t="shared" si="6"/>
        <v>5000</v>
      </c>
      <c r="J47" s="18">
        <f t="shared" si="7"/>
        <v>907638.95040946733</v>
      </c>
      <c r="K47" s="20">
        <f t="shared" si="8"/>
        <v>810693.0033699231</v>
      </c>
      <c r="L47" s="27">
        <f t="shared" si="12"/>
        <v>7060347.4368347405</v>
      </c>
    </row>
    <row r="48" spans="1:19" x14ac:dyDescent="0.45">
      <c r="A48" s="26">
        <v>18</v>
      </c>
      <c r="B48" s="17">
        <f t="shared" si="9"/>
        <v>368.16942175215462</v>
      </c>
      <c r="C48" s="21">
        <f t="shared" si="10"/>
        <v>2.8687200891204161</v>
      </c>
      <c r="D48" s="17">
        <f t="shared" si="11"/>
        <v>8397.0207665793059</v>
      </c>
      <c r="E48" s="17">
        <f t="shared" si="13"/>
        <v>284136666.8454442</v>
      </c>
      <c r="F48" s="22">
        <v>0</v>
      </c>
      <c r="G48" s="17">
        <f t="shared" si="5"/>
        <v>910682.21940405411</v>
      </c>
      <c r="H48" s="17">
        <v>0</v>
      </c>
      <c r="I48" s="18">
        <f t="shared" si="6"/>
        <v>5000</v>
      </c>
      <c r="J48" s="18">
        <f t="shared" si="7"/>
        <v>905682.21940405411</v>
      </c>
      <c r="K48" s="20">
        <f t="shared" si="8"/>
        <v>803588.01956158585</v>
      </c>
      <c r="L48" s="27">
        <f t="shared" si="12"/>
        <v>7863935.4563963264</v>
      </c>
    </row>
    <row r="49" spans="1:16" x14ac:dyDescent="0.45">
      <c r="A49" s="26">
        <v>19</v>
      </c>
      <c r="B49" s="17">
        <f t="shared" si="9"/>
        <v>353.91176585569332</v>
      </c>
      <c r="C49" s="21">
        <f t="shared" si="10"/>
        <v>2.9738212456341557</v>
      </c>
      <c r="D49" s="17">
        <f t="shared" si="11"/>
        <v>6954.3426838462256</v>
      </c>
      <c r="E49" s="17">
        <f t="shared" si="13"/>
        <v>306520569.53775418</v>
      </c>
      <c r="F49" s="22">
        <v>0</v>
      </c>
      <c r="G49" s="17">
        <f t="shared" si="5"/>
        <v>908725.48839864065</v>
      </c>
      <c r="H49" s="17">
        <v>0</v>
      </c>
      <c r="I49" s="18">
        <f t="shared" si="6"/>
        <v>5000</v>
      </c>
      <c r="J49" s="18">
        <f t="shared" si="7"/>
        <v>903725.48839864065</v>
      </c>
      <c r="K49" s="20">
        <f t="shared" si="8"/>
        <v>796541.58634781663</v>
      </c>
      <c r="L49" s="27">
        <f t="shared" si="12"/>
        <v>8660477.0427441429</v>
      </c>
    </row>
    <row r="50" spans="1:16" x14ac:dyDescent="0.45">
      <c r="A50" s="26">
        <v>20</v>
      </c>
      <c r="B50" s="17">
        <f t="shared" si="9"/>
        <v>339.65410995923202</v>
      </c>
      <c r="C50" s="21">
        <f t="shared" si="10"/>
        <v>3.0789224021478949</v>
      </c>
      <c r="D50" s="17">
        <f t="shared" si="11"/>
        <v>5511.6646011131452</v>
      </c>
      <c r="E50" s="17">
        <f t="shared" si="13"/>
        <v>328904472.23006415</v>
      </c>
      <c r="F50" s="22">
        <v>0</v>
      </c>
      <c r="G50" s="17">
        <f t="shared" si="5"/>
        <v>906768.75739322708</v>
      </c>
      <c r="H50" s="17">
        <v>0</v>
      </c>
      <c r="I50" s="18">
        <f t="shared" si="6"/>
        <v>5000</v>
      </c>
      <c r="J50" s="18">
        <f t="shared" si="7"/>
        <v>901768.75739322708</v>
      </c>
      <c r="K50" s="20">
        <f t="shared" si="8"/>
        <v>789553.23983248137</v>
      </c>
      <c r="L50" s="27">
        <f t="shared" si="12"/>
        <v>9450030.2825766243</v>
      </c>
    </row>
    <row r="51" spans="1:16" x14ac:dyDescent="0.45">
      <c r="A51" s="26">
        <v>21</v>
      </c>
      <c r="B51" s="17">
        <f t="shared" si="9"/>
        <v>325.39645406277072</v>
      </c>
      <c r="C51" s="21">
        <f t="shared" si="10"/>
        <v>3.1840235586616341</v>
      </c>
      <c r="D51" s="17">
        <f t="shared" si="11"/>
        <v>4068.9865183800684</v>
      </c>
      <c r="E51" s="17">
        <f t="shared" si="13"/>
        <v>351288374.92237413</v>
      </c>
      <c r="F51" s="22">
        <v>0</v>
      </c>
      <c r="G51" s="17">
        <f t="shared" si="5"/>
        <v>904812.02638781373</v>
      </c>
      <c r="H51" s="17">
        <v>0</v>
      </c>
      <c r="I51" s="18">
        <f t="shared" si="6"/>
        <v>5000</v>
      </c>
      <c r="J51" s="18">
        <f t="shared" si="7"/>
        <v>899812.02638781373</v>
      </c>
      <c r="K51" s="20">
        <f t="shared" si="8"/>
        <v>782622.51969587023</v>
      </c>
      <c r="L51" s="27">
        <f t="shared" si="12"/>
        <v>10232652.802272495</v>
      </c>
    </row>
    <row r="52" spans="1:16" x14ac:dyDescent="0.45">
      <c r="A52" s="26">
        <v>22</v>
      </c>
      <c r="B52" s="17">
        <f t="shared" si="9"/>
        <v>311.13879816630941</v>
      </c>
      <c r="C52" s="21">
        <f t="shared" si="10"/>
        <v>3.2891247151753737</v>
      </c>
      <c r="D52" s="17">
        <f t="shared" si="11"/>
        <v>2626.3084356469881</v>
      </c>
      <c r="E52" s="17">
        <f t="shared" si="13"/>
        <v>373672277.6146841</v>
      </c>
      <c r="F52" s="22">
        <v>0</v>
      </c>
      <c r="G52" s="17">
        <f t="shared" si="5"/>
        <v>902855.29538240028</v>
      </c>
      <c r="H52" s="17">
        <v>0</v>
      </c>
      <c r="I52" s="18">
        <f t="shared" si="6"/>
        <v>5000</v>
      </c>
      <c r="J52" s="18">
        <f t="shared" si="7"/>
        <v>897855.29538240028</v>
      </c>
      <c r="K52" s="20">
        <f t="shared" si="8"/>
        <v>775748.96916767186</v>
      </c>
      <c r="L52" s="27">
        <f t="shared" si="12"/>
        <v>11008401.771440167</v>
      </c>
    </row>
    <row r="53" spans="1:16" x14ac:dyDescent="0.45">
      <c r="A53" s="26">
        <v>23</v>
      </c>
      <c r="B53" s="17">
        <f t="shared" si="9"/>
        <v>296.88114226984817</v>
      </c>
      <c r="C53" s="21">
        <f t="shared" si="10"/>
        <v>3.3942258716891129</v>
      </c>
      <c r="D53" s="17">
        <f t="shared" si="11"/>
        <v>1183.6303529139113</v>
      </c>
      <c r="E53" s="17">
        <f t="shared" si="13"/>
        <v>396056180.30699408</v>
      </c>
      <c r="F53" s="22">
        <v>0</v>
      </c>
      <c r="G53" s="17">
        <f t="shared" si="5"/>
        <v>900898.56437698693</v>
      </c>
      <c r="H53" s="17">
        <v>0</v>
      </c>
      <c r="I53" s="18">
        <f t="shared" si="6"/>
        <v>5000</v>
      </c>
      <c r="J53" s="18">
        <f t="shared" si="7"/>
        <v>895898.56437698693</v>
      </c>
      <c r="K53" s="20">
        <f t="shared" si="8"/>
        <v>768932.1350001517</v>
      </c>
      <c r="L53" s="27">
        <f t="shared" si="12"/>
        <v>11777333.906440319</v>
      </c>
    </row>
    <row r="54" spans="1:16" x14ac:dyDescent="0.45">
      <c r="A54" s="26">
        <v>24</v>
      </c>
      <c r="B54" s="17">
        <f t="shared" si="9"/>
        <v>282.62348637338687</v>
      </c>
      <c r="C54" s="21">
        <f t="shared" si="10"/>
        <v>3.4993270282028521</v>
      </c>
      <c r="D54" s="17">
        <f t="shared" si="11"/>
        <v>-259.04772981916904</v>
      </c>
      <c r="E54" s="17">
        <f t="shared" si="13"/>
        <v>418440082.99930394</v>
      </c>
      <c r="F54" s="22">
        <v>0</v>
      </c>
      <c r="G54" s="17">
        <f t="shared" si="5"/>
        <v>898941.83337157313</v>
      </c>
      <c r="H54" s="17">
        <v>0</v>
      </c>
      <c r="I54" s="18">
        <f t="shared" si="6"/>
        <v>5000</v>
      </c>
      <c r="J54" s="18">
        <f t="shared" si="7"/>
        <v>893941.83337157313</v>
      </c>
      <c r="K54" s="20">
        <f t="shared" si="8"/>
        <v>762171.56744152657</v>
      </c>
      <c r="L54" s="27">
        <f t="shared" si="12"/>
        <v>12539505.473881846</v>
      </c>
    </row>
    <row r="55" spans="1:16" x14ac:dyDescent="0.45">
      <c r="A55" s="26">
        <v>25</v>
      </c>
      <c r="B55" s="17">
        <f t="shared" si="9"/>
        <v>268.36583047692557</v>
      </c>
      <c r="C55" s="21">
        <f t="shared" si="10"/>
        <v>3.6044281847165918</v>
      </c>
      <c r="D55" s="17">
        <f t="shared" si="11"/>
        <v>-1701.7258125522494</v>
      </c>
      <c r="E55" s="17">
        <f t="shared" si="13"/>
        <v>440823985.69161391</v>
      </c>
      <c r="F55" s="22">
        <f>F45</f>
        <v>2325000</v>
      </c>
      <c r="G55" s="17">
        <f t="shared" si="5"/>
        <v>896985.10236615967</v>
      </c>
      <c r="H55" s="18">
        <f>H45</f>
        <v>600000</v>
      </c>
      <c r="I55" s="18">
        <f t="shared" si="6"/>
        <v>5000</v>
      </c>
      <c r="J55" s="18">
        <f t="shared" si="7"/>
        <v>-2033014.8976338403</v>
      </c>
      <c r="K55" s="20">
        <f t="shared" si="8"/>
        <v>-1721862.0536148669</v>
      </c>
      <c r="L55" s="27">
        <f t="shared" si="12"/>
        <v>10817643.420266978</v>
      </c>
    </row>
    <row r="56" spans="1:16" x14ac:dyDescent="0.45">
      <c r="A56" s="26">
        <v>26</v>
      </c>
      <c r="B56" s="17">
        <f t="shared" si="9"/>
        <v>254.10817458046427</v>
      </c>
      <c r="C56" s="21">
        <f t="shared" si="10"/>
        <v>3.709529341230331</v>
      </c>
      <c r="D56" s="17">
        <f t="shared" si="11"/>
        <v>-3144.4038952853298</v>
      </c>
      <c r="E56" s="17">
        <f t="shared" si="13"/>
        <v>463207888.38392389</v>
      </c>
      <c r="F56" s="22">
        <v>0</v>
      </c>
      <c r="G56" s="17">
        <f t="shared" si="5"/>
        <v>895028.37136074621</v>
      </c>
      <c r="H56" s="17">
        <v>0</v>
      </c>
      <c r="I56" s="18">
        <f t="shared" si="6"/>
        <v>5000</v>
      </c>
      <c r="J56" s="18">
        <f t="shared" si="7"/>
        <v>890028.37136074621</v>
      </c>
      <c r="K56" s="20">
        <f t="shared" si="8"/>
        <v>748817.45046523667</v>
      </c>
      <c r="L56" s="27">
        <f t="shared" si="12"/>
        <v>11566460.870732214</v>
      </c>
    </row>
    <row r="57" spans="1:16" x14ac:dyDescent="0.45">
      <c r="A57" s="26">
        <v>27</v>
      </c>
      <c r="B57" s="17">
        <f t="shared" si="9"/>
        <v>239.85051868400296</v>
      </c>
      <c r="C57" s="21">
        <f t="shared" si="10"/>
        <v>3.8146304977440701</v>
      </c>
      <c r="D57" s="17">
        <f t="shared" si="11"/>
        <v>-4587.0819780184102</v>
      </c>
      <c r="E57" s="17">
        <f t="shared" si="13"/>
        <v>485591791.07623386</v>
      </c>
      <c r="F57" s="22">
        <v>0</v>
      </c>
      <c r="G57" s="17">
        <f t="shared" si="5"/>
        <v>893071.64035533264</v>
      </c>
      <c r="H57" s="17">
        <v>0</v>
      </c>
      <c r="I57" s="18">
        <f t="shared" si="6"/>
        <v>5000</v>
      </c>
      <c r="J57" s="18">
        <f t="shared" si="7"/>
        <v>888071.64035533264</v>
      </c>
      <c r="K57" s="20">
        <f t="shared" si="8"/>
        <v>742223.0187869193</v>
      </c>
      <c r="L57" s="27">
        <f t="shared" si="12"/>
        <v>12308683.889519133</v>
      </c>
    </row>
    <row r="58" spans="1:16" x14ac:dyDescent="0.45">
      <c r="A58" s="26">
        <v>28</v>
      </c>
      <c r="B58" s="17">
        <f t="shared" si="9"/>
        <v>225.59286278754166</v>
      </c>
      <c r="C58" s="21">
        <f t="shared" si="10"/>
        <v>3.9197316542578098</v>
      </c>
      <c r="D58" s="17">
        <f t="shared" si="11"/>
        <v>-6029.7600607514905</v>
      </c>
      <c r="E58" s="17">
        <f t="shared" si="13"/>
        <v>507975693.76854384</v>
      </c>
      <c r="F58" s="22">
        <v>0</v>
      </c>
      <c r="G58" s="17">
        <f t="shared" si="5"/>
        <v>891114.9093499193</v>
      </c>
      <c r="H58" s="17">
        <v>0</v>
      </c>
      <c r="I58" s="18">
        <f t="shared" si="6"/>
        <v>5000</v>
      </c>
      <c r="J58" s="18">
        <f t="shared" si="7"/>
        <v>886114.9093499193</v>
      </c>
      <c r="K58" s="20">
        <f t="shared" si="8"/>
        <v>735683.0891443193</v>
      </c>
      <c r="L58" s="27">
        <f t="shared" si="12"/>
        <v>13044366.978663452</v>
      </c>
    </row>
    <row r="59" spans="1:16" x14ac:dyDescent="0.45">
      <c r="A59" s="26">
        <v>29</v>
      </c>
      <c r="B59" s="17">
        <f t="shared" si="9"/>
        <v>211.33520689108042</v>
      </c>
      <c r="C59" s="21">
        <f t="shared" si="10"/>
        <v>4.0248328107715494</v>
      </c>
      <c r="D59" s="17">
        <f t="shared" si="11"/>
        <v>-7472.4381434845636</v>
      </c>
      <c r="E59" s="17">
        <f t="shared" si="13"/>
        <v>530359596.46085382</v>
      </c>
      <c r="F59" s="22">
        <v>0</v>
      </c>
      <c r="G59" s="17">
        <f t="shared" si="5"/>
        <v>889158.17834450596</v>
      </c>
      <c r="H59" s="17">
        <v>0</v>
      </c>
      <c r="I59" s="18">
        <f t="shared" si="6"/>
        <v>5000</v>
      </c>
      <c r="J59" s="18">
        <f t="shared" si="7"/>
        <v>884158.17834450596</v>
      </c>
      <c r="K59" s="20">
        <f t="shared" si="8"/>
        <v>729197.22887294309</v>
      </c>
      <c r="L59" s="27">
        <f t="shared" si="12"/>
        <v>13773564.207536396</v>
      </c>
    </row>
    <row r="60" spans="1:16" x14ac:dyDescent="0.45">
      <c r="A60" s="26">
        <v>30</v>
      </c>
      <c r="B60" s="17">
        <f t="shared" si="9"/>
        <v>197.07755099461912</v>
      </c>
      <c r="C60" s="21">
        <f t="shared" si="10"/>
        <v>4.1299339672852877</v>
      </c>
      <c r="D60" s="17">
        <f t="shared" si="11"/>
        <v>-8915.116226217644</v>
      </c>
      <c r="E60" s="17">
        <f t="shared" si="13"/>
        <v>552743499.15316379</v>
      </c>
      <c r="F60" s="22">
        <v>0</v>
      </c>
      <c r="G60" s="17">
        <f t="shared" si="5"/>
        <v>887201.44733909261</v>
      </c>
      <c r="H60" s="17">
        <v>0</v>
      </c>
      <c r="I60" s="18">
        <f t="shared" si="6"/>
        <v>5000</v>
      </c>
      <c r="J60" s="18">
        <f t="shared" si="7"/>
        <v>882201.44733909261</v>
      </c>
      <c r="K60" s="20">
        <f t="shared" si="8"/>
        <v>722765.00864861812</v>
      </c>
      <c r="L60" s="27">
        <f t="shared" si="12"/>
        <v>14496329.216185015</v>
      </c>
    </row>
    <row r="61" spans="1:16" x14ac:dyDescent="0.45">
      <c r="A61" s="26">
        <v>31</v>
      </c>
      <c r="B61" s="17">
        <f t="shared" si="9"/>
        <v>182.81989509815782</v>
      </c>
      <c r="C61" s="21">
        <f t="shared" si="10"/>
        <v>4.2350351237990278</v>
      </c>
      <c r="D61" s="17">
        <f t="shared" si="11"/>
        <v>-10357.794308950724</v>
      </c>
      <c r="E61" s="17">
        <f t="shared" si="13"/>
        <v>575127401.84547377</v>
      </c>
      <c r="F61" s="22">
        <v>0</v>
      </c>
      <c r="G61" s="17">
        <f t="shared" si="5"/>
        <v>885244.71633367892</v>
      </c>
      <c r="H61" s="17">
        <v>0</v>
      </c>
      <c r="I61" s="18">
        <f t="shared" si="6"/>
        <v>5000</v>
      </c>
      <c r="J61" s="18">
        <f t="shared" si="7"/>
        <v>880244.71633367892</v>
      </c>
      <c r="K61" s="20">
        <f t="shared" si="8"/>
        <v>716386.00246222422</v>
      </c>
      <c r="L61" s="27">
        <f t="shared" si="12"/>
        <v>15212715.21864724</v>
      </c>
    </row>
    <row r="62" spans="1:16" x14ac:dyDescent="0.45">
      <c r="A62" s="26">
        <v>32</v>
      </c>
      <c r="B62" s="17">
        <f t="shared" si="9"/>
        <v>168.56223920169651</v>
      </c>
      <c r="C62" s="21">
        <f t="shared" si="10"/>
        <v>4.340136280312767</v>
      </c>
      <c r="D62" s="17">
        <f t="shared" si="11"/>
        <v>-11800.472391683805</v>
      </c>
      <c r="E62" s="17">
        <f t="shared" si="13"/>
        <v>597511304.53778374</v>
      </c>
      <c r="F62" s="22">
        <v>0</v>
      </c>
      <c r="G62" s="17">
        <f t="shared" si="5"/>
        <v>883287.98532826547</v>
      </c>
      <c r="H62" s="17">
        <v>0</v>
      </c>
      <c r="I62" s="18">
        <f t="shared" si="6"/>
        <v>5000</v>
      </c>
      <c r="J62" s="18">
        <f t="shared" si="7"/>
        <v>878287.98532826547</v>
      </c>
      <c r="K62" s="20">
        <f t="shared" si="8"/>
        <v>710059.78759461653</v>
      </c>
      <c r="L62" s="27">
        <f t="shared" si="12"/>
        <v>15922775.006241856</v>
      </c>
    </row>
    <row r="63" spans="1:16" x14ac:dyDescent="0.45">
      <c r="A63" s="26"/>
      <c r="B63" s="17"/>
      <c r="C63" s="17"/>
      <c r="D63" s="17"/>
      <c r="E63" s="17"/>
      <c r="F63" s="18"/>
      <c r="G63" s="17"/>
      <c r="H63" s="18"/>
      <c r="I63" s="17"/>
      <c r="J63" s="23" t="s">
        <v>41</v>
      </c>
      <c r="K63" s="24">
        <f>SUM(K30:K62)</f>
        <v>15922775.006241856</v>
      </c>
      <c r="L63" s="28"/>
      <c r="P63" s="14"/>
    </row>
    <row r="64" spans="1:16" ht="14.65" thickBot="1" x14ac:dyDescent="0.5">
      <c r="A64" s="29"/>
      <c r="B64" s="30"/>
      <c r="C64" s="30"/>
      <c r="D64" s="30"/>
      <c r="E64" s="30"/>
      <c r="F64" s="30"/>
      <c r="G64" s="30"/>
      <c r="H64" s="30"/>
      <c r="I64" s="30"/>
      <c r="J64" s="30" t="s">
        <v>36</v>
      </c>
      <c r="K64" s="31">
        <f>SUM(F30:F62)+SUM(H30:H62)</f>
        <v>11700000</v>
      </c>
      <c r="L64" s="3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Saxena</dc:creator>
  <cp:lastModifiedBy>Apoorva Saxena</cp:lastModifiedBy>
  <dcterms:created xsi:type="dcterms:W3CDTF">2020-09-21T18:37:56Z</dcterms:created>
  <dcterms:modified xsi:type="dcterms:W3CDTF">2020-10-14T06:20:35Z</dcterms:modified>
</cp:coreProperties>
</file>