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chtData\Data\chti\資訊系統資料\CBP\"/>
    </mc:Choice>
  </mc:AlternateContent>
  <xr:revisionPtr revIDLastSave="0" documentId="13_ncr:1_{C27B4BB3-0E1D-41B7-90F7-B0C51B191D88}" xr6:coauthVersionLast="47" xr6:coauthVersionMax="47" xr10:uidLastSave="{00000000-0000-0000-0000-000000000000}"/>
  <bookViews>
    <workbookView xWindow="-120" yWindow="-120" windowWidth="29040" windowHeight="15840" tabRatio="652" firstSheet="2" activeTab="2" xr2:uid="{00000000-000D-0000-FFFF-FFFF00000000}"/>
  </bookViews>
  <sheets>
    <sheet name="Summary" sheetId="8" state="hidden" r:id="rId1"/>
    <sheet name="Report_MC#18" sheetId="5" state="hidden" r:id="rId2"/>
    <sheet name="theCBP books" sheetId="1" r:id="rId3"/>
    <sheet name="Prepaid balance" sheetId="10" r:id="rId4"/>
    <sheet name="Verizon's purchase" sheetId="7" state="hidden" r:id="rId5"/>
    <sheet name="2145.80A明細109~111.11" sheetId="2" state="hidden" r:id="rId6"/>
    <sheet name="Ciena Invoice (UPG#10)" sheetId="3" state="hidden" r:id="rId7"/>
    <sheet name="Cashflow (UPG#11)" sheetId="4" state="hidden" r:id="rId8"/>
    <sheet name="Contact" sheetId="6" state="hidden" r:id="rId9"/>
  </sheets>
  <definedNames>
    <definedName name="_xlnm._FilterDatabase" localSheetId="5" hidden="1">'2145.80A明細109~111.11'!$A$2:$AJ$60</definedName>
    <definedName name="_xlnm._FilterDatabase" localSheetId="2" hidden="1">'theCBP books'!$B$2:$AB$134</definedName>
    <definedName name="JR_PAGE_ANCHOR_0_1">'2145.80A明細109~111.11'!$A$2</definedName>
    <definedName name="_xlnm.Print_Area" localSheetId="1">'Report_MC#18'!$A$1:$Q$38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1" i="1" l="1"/>
  <c r="R117" i="1"/>
  <c r="F13" i="1"/>
  <c r="F12" i="1"/>
  <c r="F11" i="1"/>
  <c r="U92" i="1"/>
  <c r="U79" i="1"/>
  <c r="U120" i="1"/>
  <c r="V117" i="1"/>
  <c r="V112" i="1"/>
  <c r="V107" i="1"/>
  <c r="V102" i="1"/>
  <c r="V99" i="1"/>
  <c r="V98" i="1"/>
  <c r="V97" i="1"/>
  <c r="U97" i="1"/>
  <c r="V93" i="1"/>
  <c r="V88" i="1"/>
  <c r="V84" i="1"/>
  <c r="V80" i="1"/>
  <c r="V75" i="1"/>
  <c r="V70" i="1"/>
  <c r="V65" i="1"/>
  <c r="V62" i="1"/>
  <c r="V59" i="1"/>
  <c r="V56" i="1"/>
  <c r="V51" i="1"/>
  <c r="U44" i="1"/>
  <c r="R48" i="1"/>
  <c r="R45" i="1"/>
  <c r="R44" i="1"/>
  <c r="V39" i="1"/>
  <c r="V34" i="1"/>
  <c r="V29" i="1"/>
  <c r="V23" i="1"/>
  <c r="V19" i="1"/>
  <c r="V15" i="1"/>
  <c r="V11" i="1"/>
  <c r="V6" i="1"/>
  <c r="V3" i="1"/>
  <c r="S112" i="1" l="1"/>
  <c r="S107" i="1"/>
  <c r="S102" i="1"/>
  <c r="S84" i="1"/>
  <c r="S80" i="1"/>
  <c r="S64" i="1"/>
  <c r="S63" i="1"/>
  <c r="S62" i="1"/>
  <c r="S61" i="1"/>
  <c r="S60" i="1"/>
  <c r="S59" i="1"/>
  <c r="S58" i="1"/>
  <c r="S57" i="1"/>
  <c r="S56" i="1"/>
  <c r="R129" i="1"/>
  <c r="R128" i="1"/>
  <c r="R92" i="1"/>
  <c r="R79" i="1"/>
  <c r="R52" i="1"/>
  <c r="R51" i="1"/>
  <c r="R122" i="1"/>
  <c r="R120" i="1"/>
  <c r="U122" i="1" s="1"/>
  <c r="Q96" i="1"/>
  <c r="Q95" i="1"/>
  <c r="Q94" i="1"/>
  <c r="Q93" i="1"/>
  <c r="F56" i="1"/>
  <c r="R97" i="1" l="1"/>
  <c r="R123" i="1" s="1"/>
  <c r="R124" i="1" s="1"/>
  <c r="AA117" i="1"/>
  <c r="AA118" i="1"/>
  <c r="AA119" i="1"/>
  <c r="AA116" i="1"/>
  <c r="AB117" i="1"/>
  <c r="AB118" i="1"/>
  <c r="AB119" i="1"/>
  <c r="Y120" i="1"/>
  <c r="AA56" i="1"/>
  <c r="R130" i="1" l="1"/>
  <c r="R131" i="1" s="1"/>
  <c r="G16" i="10" l="1"/>
  <c r="G19" i="10" s="1"/>
  <c r="C4" i="10" l="1"/>
  <c r="C11" i="10"/>
  <c r="C10" i="10"/>
  <c r="G9" i="10" l="1"/>
  <c r="G3" i="10"/>
  <c r="AA103" i="1" l="1"/>
  <c r="AA102" i="1"/>
  <c r="AA107" i="1"/>
  <c r="AB107" i="1" l="1"/>
  <c r="D104" i="1"/>
  <c r="AB108" i="1"/>
  <c r="P59" i="2" l="1"/>
  <c r="G65" i="1" l="1"/>
  <c r="E4" i="7"/>
  <c r="E1" i="7" l="1"/>
  <c r="G103" i="1" l="1"/>
  <c r="G104" i="1"/>
  <c r="G105" i="1"/>
  <c r="G106" i="1"/>
  <c r="G102" i="1"/>
  <c r="AA50" i="1"/>
  <c r="E35" i="5"/>
  <c r="D8" i="8" s="1"/>
  <c r="E30" i="5"/>
  <c r="E26" i="5"/>
  <c r="D7" i="8" s="1"/>
  <c r="O33" i="5" l="1"/>
  <c r="O34" i="5"/>
  <c r="O32" i="5"/>
  <c r="O28" i="5"/>
  <c r="O29" i="5"/>
  <c r="O24" i="5"/>
  <c r="O25" i="5"/>
  <c r="O21" i="5"/>
  <c r="O20" i="5"/>
  <c r="O27" i="5"/>
  <c r="O23" i="5"/>
  <c r="J34" i="5"/>
  <c r="L34" i="5" s="1"/>
  <c r="J33" i="5"/>
  <c r="L33" i="5" s="1"/>
  <c r="J32" i="5"/>
  <c r="E36" i="5"/>
  <c r="O19" i="5"/>
  <c r="K32" i="5" l="1"/>
  <c r="K35" i="5" s="1"/>
  <c r="G8" i="8" s="1"/>
  <c r="J35" i="5"/>
  <c r="F8" i="8" s="1"/>
  <c r="J25" i="5"/>
  <c r="L25" i="5" s="1"/>
  <c r="J24" i="5"/>
  <c r="L24" i="5" s="1"/>
  <c r="J23" i="5"/>
  <c r="J21" i="5"/>
  <c r="K21" i="5" s="1"/>
  <c r="L21" i="5" s="1"/>
  <c r="J20" i="5"/>
  <c r="K20" i="5" s="1"/>
  <c r="J19" i="5"/>
  <c r="K19" i="5" s="1"/>
  <c r="K36" i="5"/>
  <c r="J36" i="5"/>
  <c r="D33" i="5"/>
  <c r="F33" i="5" s="1"/>
  <c r="D32" i="5"/>
  <c r="D28" i="5"/>
  <c r="F28" i="5" s="1"/>
  <c r="D27" i="5"/>
  <c r="D24" i="5"/>
  <c r="F24" i="5" s="1"/>
  <c r="D23" i="5"/>
  <c r="O4" i="5"/>
  <c r="O12" i="5"/>
  <c r="J4" i="5"/>
  <c r="K4" i="5"/>
  <c r="K5" i="5" s="1"/>
  <c r="G4" i="8" s="1"/>
  <c r="O15" i="5"/>
  <c r="O16" i="5"/>
  <c r="O7" i="5"/>
  <c r="O9" i="5"/>
  <c r="O10" i="5"/>
  <c r="O13" i="5"/>
  <c r="O6" i="5"/>
  <c r="J13" i="5"/>
  <c r="K13" i="5" s="1"/>
  <c r="L13" i="5" s="1"/>
  <c r="J12" i="5"/>
  <c r="K12" i="5" s="1"/>
  <c r="J10" i="5"/>
  <c r="K10" i="5" s="1"/>
  <c r="L10" i="5" s="1"/>
  <c r="J9" i="5"/>
  <c r="K9" i="5" s="1"/>
  <c r="L9" i="5" s="1"/>
  <c r="J7" i="5"/>
  <c r="K7" i="5" s="1"/>
  <c r="L7" i="5" s="1"/>
  <c r="J6" i="5"/>
  <c r="K6" i="5" s="1"/>
  <c r="L6" i="5" s="1"/>
  <c r="D16" i="5"/>
  <c r="E16" i="5" s="1"/>
  <c r="F16" i="5" s="1"/>
  <c r="T21" i="4"/>
  <c r="T19" i="4" s="1"/>
  <c r="Q21" i="4"/>
  <c r="Q20" i="4" s="1"/>
  <c r="P21" i="4"/>
  <c r="M21" i="4"/>
  <c r="M20" i="4" s="1"/>
  <c r="L21" i="4"/>
  <c r="L19" i="4" s="1"/>
  <c r="I21" i="4"/>
  <c r="I20" i="4" s="1"/>
  <c r="H21" i="4"/>
  <c r="E21" i="4"/>
  <c r="D21" i="4"/>
  <c r="C21" i="4"/>
  <c r="U20" i="4"/>
  <c r="T20" i="4"/>
  <c r="V20" i="4" s="1"/>
  <c r="R20" i="4"/>
  <c r="P20" i="4"/>
  <c r="N20" i="4"/>
  <c r="L20" i="4"/>
  <c r="J20" i="4"/>
  <c r="H20" i="4"/>
  <c r="F20" i="4"/>
  <c r="E20" i="4"/>
  <c r="D20" i="4"/>
  <c r="G20" i="4" s="1"/>
  <c r="U19" i="4"/>
  <c r="R19" i="4"/>
  <c r="Q19" i="4"/>
  <c r="P19" i="4"/>
  <c r="N19" i="4"/>
  <c r="M19" i="4"/>
  <c r="J19" i="4"/>
  <c r="I19" i="4"/>
  <c r="H19" i="4"/>
  <c r="F19" i="4"/>
  <c r="E19" i="4"/>
  <c r="D19" i="4"/>
  <c r="U18" i="4"/>
  <c r="T18" i="4"/>
  <c r="V18" i="4" s="1"/>
  <c r="R18" i="4"/>
  <c r="P18" i="4"/>
  <c r="N18" i="4"/>
  <c r="M18" i="4"/>
  <c r="L18" i="4"/>
  <c r="O18" i="4" s="1"/>
  <c r="O27" i="4" s="1"/>
  <c r="J18" i="4"/>
  <c r="H18" i="4"/>
  <c r="F18" i="4"/>
  <c r="E18" i="4"/>
  <c r="D18" i="4"/>
  <c r="G18" i="4" s="1"/>
  <c r="U17" i="4"/>
  <c r="R17" i="4"/>
  <c r="P17" i="4"/>
  <c r="N17" i="4"/>
  <c r="M17" i="4"/>
  <c r="J17" i="4"/>
  <c r="H17" i="4"/>
  <c r="F17" i="4"/>
  <c r="E17" i="4"/>
  <c r="D17" i="4"/>
  <c r="U16" i="4"/>
  <c r="R16" i="4"/>
  <c r="P16" i="4"/>
  <c r="N16" i="4"/>
  <c r="M16" i="4"/>
  <c r="J16" i="4"/>
  <c r="H16" i="4"/>
  <c r="F16" i="4"/>
  <c r="E16" i="4"/>
  <c r="D16" i="4"/>
  <c r="G16" i="4" s="1"/>
  <c r="U15" i="4"/>
  <c r="R15" i="4"/>
  <c r="Q15" i="4"/>
  <c r="P15" i="4"/>
  <c r="N15" i="4"/>
  <c r="M15" i="4"/>
  <c r="J15" i="4"/>
  <c r="I15" i="4"/>
  <c r="H15" i="4"/>
  <c r="F15" i="4"/>
  <c r="E15" i="4"/>
  <c r="D15" i="4"/>
  <c r="U14" i="4"/>
  <c r="T14" i="4"/>
  <c r="V14" i="4" s="1"/>
  <c r="R14" i="4"/>
  <c r="P14" i="4"/>
  <c r="N14" i="4"/>
  <c r="M14" i="4"/>
  <c r="L14" i="4"/>
  <c r="O14" i="4" s="1"/>
  <c r="J14" i="4"/>
  <c r="H14" i="4"/>
  <c r="F14" i="4"/>
  <c r="E14" i="4"/>
  <c r="D14" i="4"/>
  <c r="G14" i="4" s="1"/>
  <c r="G15" i="4" l="1"/>
  <c r="K15" i="4"/>
  <c r="S15" i="4"/>
  <c r="G17" i="4"/>
  <c r="G19" i="4"/>
  <c r="K19" i="4"/>
  <c r="S19" i="4"/>
  <c r="K20" i="4"/>
  <c r="O19" i="4"/>
  <c r="S20" i="4"/>
  <c r="V19" i="4"/>
  <c r="K23" i="5"/>
  <c r="K27" i="5" s="1"/>
  <c r="K30" i="5" s="1"/>
  <c r="E10" i="10"/>
  <c r="G10" i="10" s="1"/>
  <c r="H8" i="8"/>
  <c r="L32" i="5"/>
  <c r="D5" i="5"/>
  <c r="F5" i="5" s="1"/>
  <c r="F4" i="8"/>
  <c r="L8" i="5"/>
  <c r="D30" i="5"/>
  <c r="F27" i="5"/>
  <c r="F30" i="5" s="1"/>
  <c r="D35" i="5"/>
  <c r="F32" i="5"/>
  <c r="F35" i="5" s="1"/>
  <c r="F36" i="5" s="1"/>
  <c r="D26" i="5"/>
  <c r="F23" i="5"/>
  <c r="F26" i="5" s="1"/>
  <c r="L11" i="5"/>
  <c r="Q5" i="5"/>
  <c r="Q36" i="5"/>
  <c r="L19" i="5"/>
  <c r="J26" i="5"/>
  <c r="J14" i="5"/>
  <c r="J11" i="5"/>
  <c r="J22" i="5"/>
  <c r="F6" i="8" s="1"/>
  <c r="J8" i="5"/>
  <c r="K22" i="5"/>
  <c r="G6" i="8" s="1"/>
  <c r="L20" i="5"/>
  <c r="J5" i="5"/>
  <c r="K11" i="5"/>
  <c r="K14" i="5"/>
  <c r="K8" i="5"/>
  <c r="L4" i="5"/>
  <c r="L5" i="5" s="1"/>
  <c r="L12" i="5"/>
  <c r="L14" i="5" s="1"/>
  <c r="G21" i="4"/>
  <c r="O20" i="4"/>
  <c r="L17" i="4"/>
  <c r="O17" i="4" s="1"/>
  <c r="T17" i="4"/>
  <c r="V17" i="4" s="1"/>
  <c r="I18" i="4"/>
  <c r="K18" i="4" s="1"/>
  <c r="Q18" i="4"/>
  <c r="S18" i="4" s="1"/>
  <c r="L15" i="4"/>
  <c r="O15" i="4" s="1"/>
  <c r="T15" i="4"/>
  <c r="V15" i="4" s="1"/>
  <c r="I16" i="4"/>
  <c r="K16" i="4" s="1"/>
  <c r="Q16" i="4"/>
  <c r="S16" i="4" s="1"/>
  <c r="I14" i="4"/>
  <c r="K14" i="4" s="1"/>
  <c r="L16" i="4"/>
  <c r="O16" i="4" s="1"/>
  <c r="T16" i="4"/>
  <c r="V16" i="4" s="1"/>
  <c r="I17" i="4"/>
  <c r="K17" i="4" s="1"/>
  <c r="Q17" i="4"/>
  <c r="S17" i="4" s="1"/>
  <c r="Q14" i="4"/>
  <c r="S14" i="4" s="1"/>
  <c r="V21" i="4" l="1"/>
  <c r="O21" i="4"/>
  <c r="O26" i="4"/>
  <c r="O28" i="4" s="1"/>
  <c r="L23" i="5"/>
  <c r="L26" i="5" s="1"/>
  <c r="K26" i="5"/>
  <c r="G7" i="8" s="1"/>
  <c r="L36" i="5"/>
  <c r="L35" i="5"/>
  <c r="C7" i="8"/>
  <c r="E7" i="8" s="1"/>
  <c r="H6" i="8"/>
  <c r="D36" i="5"/>
  <c r="C8" i="8"/>
  <c r="E8" i="8" s="1"/>
  <c r="H4" i="8"/>
  <c r="L22" i="5"/>
  <c r="S21" i="4"/>
  <c r="K21" i="4"/>
  <c r="G24" i="4" s="1"/>
  <c r="O23" i="4" l="1"/>
  <c r="K31" i="5"/>
  <c r="AA58" i="2"/>
  <c r="AB56" i="2"/>
  <c r="AB57" i="2"/>
  <c r="AB55" i="2"/>
  <c r="Y50" i="2"/>
  <c r="Y49" i="2"/>
  <c r="Y44" i="2"/>
  <c r="Y45" i="2"/>
  <c r="Y43" i="2"/>
  <c r="Y39" i="2"/>
  <c r="Y40" i="2"/>
  <c r="Y38" i="2"/>
  <c r="Y34" i="2"/>
  <c r="Y35" i="2"/>
  <c r="Y33" i="2"/>
  <c r="U29" i="2"/>
  <c r="U59" i="2" s="1"/>
  <c r="U60" i="2" s="1"/>
  <c r="V59" i="2"/>
  <c r="V60" i="2" s="1"/>
  <c r="D19" i="5"/>
  <c r="E19" i="5" s="1"/>
  <c r="F19" i="5" s="1"/>
  <c r="V61" i="2" l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9" i="1"/>
  <c r="AB110" i="1"/>
  <c r="AB111" i="1"/>
  <c r="AB112" i="1"/>
  <c r="AB113" i="1"/>
  <c r="AB114" i="1"/>
  <c r="AB115" i="1"/>
  <c r="AB116" i="1"/>
  <c r="AB45" i="1"/>
  <c r="AB16" i="1"/>
  <c r="AB17" i="1"/>
  <c r="AB19" i="1"/>
  <c r="AB20" i="1"/>
  <c r="AB21" i="1"/>
  <c r="AB22" i="1"/>
  <c r="AB24" i="1"/>
  <c r="AB25" i="1"/>
  <c r="AB26" i="1"/>
  <c r="AB27" i="1"/>
  <c r="AB29" i="1"/>
  <c r="AB30" i="1"/>
  <c r="AB31" i="1"/>
  <c r="AB32" i="1"/>
  <c r="AB33" i="1"/>
  <c r="AB35" i="1"/>
  <c r="AB36" i="1"/>
  <c r="AB37" i="1"/>
  <c r="AB39" i="1"/>
  <c r="AB40" i="1"/>
  <c r="AB41" i="1"/>
  <c r="AB42" i="1"/>
  <c r="AB43" i="1"/>
  <c r="U51" i="1" l="1"/>
  <c r="N53" i="1"/>
  <c r="N52" i="1"/>
  <c r="N51" i="1"/>
  <c r="N46" i="1"/>
  <c r="N45" i="1"/>
  <c r="N44" i="1"/>
  <c r="J16" i="5" l="1"/>
  <c r="K16" i="5" s="1"/>
  <c r="K17" i="5" s="1"/>
  <c r="K18" i="5" s="1"/>
  <c r="J15" i="5"/>
  <c r="E4" i="10" l="1"/>
  <c r="G4" i="10" s="1"/>
  <c r="G6" i="10" s="1"/>
  <c r="L15" i="5"/>
  <c r="L16" i="5"/>
  <c r="K38" i="5"/>
  <c r="G5" i="8"/>
  <c r="J17" i="5"/>
  <c r="J18" i="5" s="1"/>
  <c r="F5" i="8" s="1"/>
  <c r="F44" i="1"/>
  <c r="D11" i="3"/>
  <c r="D4" i="3"/>
  <c r="F23" i="1" s="1"/>
  <c r="D5" i="3"/>
  <c r="F34" i="1" s="1"/>
  <c r="D3" i="3"/>
  <c r="D6" i="3" l="1"/>
  <c r="D14" i="3" s="1"/>
  <c r="F15" i="1"/>
  <c r="D6" i="5" s="1"/>
  <c r="E6" i="5" s="1"/>
  <c r="F6" i="5" s="1"/>
  <c r="D9" i="5"/>
  <c r="E9" i="5" s="1"/>
  <c r="F9" i="5" s="1"/>
  <c r="AA23" i="1"/>
  <c r="L17" i="5"/>
  <c r="L18" i="5" s="1"/>
  <c r="AA44" i="1"/>
  <c r="D15" i="5"/>
  <c r="AA15" i="1"/>
  <c r="AB34" i="1"/>
  <c r="D12" i="5"/>
  <c r="E12" i="5" s="1"/>
  <c r="F12" i="5" s="1"/>
  <c r="H5" i="8"/>
  <c r="G9" i="8"/>
  <c r="AB23" i="1"/>
  <c r="AE59" i="2"/>
  <c r="AE60" i="2" s="1"/>
  <c r="AD59" i="2"/>
  <c r="AB59" i="2"/>
  <c r="AB60" i="2" s="1"/>
  <c r="AA54" i="2"/>
  <c r="AA53" i="2"/>
  <c r="Q52" i="2"/>
  <c r="AA51" i="2"/>
  <c r="X48" i="2"/>
  <c r="X47" i="2"/>
  <c r="Q46" i="2"/>
  <c r="X42" i="2"/>
  <c r="X41" i="2"/>
  <c r="X37" i="2"/>
  <c r="X36" i="2"/>
  <c r="X32" i="2"/>
  <c r="Q31" i="2"/>
  <c r="X30" i="2"/>
  <c r="S28" i="2"/>
  <c r="S27" i="2"/>
  <c r="S26" i="2"/>
  <c r="Q25" i="2"/>
  <c r="R24" i="2"/>
  <c r="R23" i="2"/>
  <c r="Q22" i="2"/>
  <c r="AA59" i="2" l="1"/>
  <c r="AA60" i="2" s="1"/>
  <c r="E15" i="5"/>
  <c r="D17" i="5"/>
  <c r="X59" i="2"/>
  <c r="P62" i="2"/>
  <c r="AD60" i="2"/>
  <c r="AE61" i="2"/>
  <c r="Q60" i="2"/>
  <c r="Q59" i="2"/>
  <c r="AB61" i="2"/>
  <c r="X60" i="2"/>
  <c r="Y59" i="2"/>
  <c r="Y9" i="1"/>
  <c r="F15" i="5" l="1"/>
  <c r="E17" i="5"/>
  <c r="F17" i="5" s="1"/>
  <c r="Y60" i="2"/>
  <c r="P63" i="2"/>
  <c r="P60" i="2"/>
  <c r="Y61" i="2"/>
  <c r="P61" i="2" s="1"/>
  <c r="N68" i="2" s="1"/>
  <c r="AB12" i="1"/>
  <c r="AB13" i="1"/>
  <c r="AB11" i="1"/>
  <c r="F6" i="1"/>
  <c r="AB14" i="1"/>
  <c r="AA80" i="1"/>
  <c r="AA92" i="1"/>
  <c r="AA79" i="1"/>
  <c r="AA54" i="1"/>
  <c r="AA55" i="1"/>
  <c r="AA47" i="1"/>
  <c r="AA49" i="1" l="1"/>
  <c r="AA11" i="1" l="1"/>
  <c r="AA123" i="1"/>
  <c r="AA121" i="1" l="1"/>
  <c r="U139" i="1" l="1"/>
  <c r="U128" i="1" l="1"/>
  <c r="U123" i="1" s="1"/>
  <c r="V123" i="1" s="1"/>
  <c r="AA115" i="1" l="1"/>
  <c r="AA114" i="1"/>
  <c r="AA113" i="1"/>
  <c r="AA112" i="1"/>
  <c r="U135" i="1"/>
  <c r="P112" i="1"/>
  <c r="AA111" i="1"/>
  <c r="AA110" i="1"/>
  <c r="AA109" i="1"/>
  <c r="AA108" i="1"/>
  <c r="U134" i="1"/>
  <c r="P107" i="1"/>
  <c r="AA106" i="1"/>
  <c r="D106" i="1"/>
  <c r="AA105" i="1"/>
  <c r="D105" i="1"/>
  <c r="AA104" i="1"/>
  <c r="D103" i="1"/>
  <c r="U133" i="1"/>
  <c r="P102" i="1"/>
  <c r="D102" i="1"/>
  <c r="AA99" i="1"/>
  <c r="P99" i="1"/>
  <c r="AA98" i="1"/>
  <c r="AA97" i="1"/>
  <c r="AA96" i="1"/>
  <c r="AA95" i="1"/>
  <c r="AA94" i="1"/>
  <c r="AA93" i="1"/>
  <c r="AA101" i="1"/>
  <c r="P101" i="1"/>
  <c r="AA100" i="1"/>
  <c r="P100" i="1"/>
  <c r="AA91" i="1"/>
  <c r="N91" i="1"/>
  <c r="AA90" i="1"/>
  <c r="N90" i="1"/>
  <c r="AA89" i="1"/>
  <c r="N89" i="1"/>
  <c r="AA88" i="1"/>
  <c r="N88" i="1"/>
  <c r="AA87" i="1"/>
  <c r="N87" i="1"/>
  <c r="AA86" i="1"/>
  <c r="N86" i="1"/>
  <c r="AA85" i="1"/>
  <c r="N85" i="1"/>
  <c r="AA84" i="1"/>
  <c r="U132" i="1"/>
  <c r="P84" i="1"/>
  <c r="N84" i="1"/>
  <c r="AA83" i="1"/>
  <c r="L83" i="1"/>
  <c r="N83" i="1" s="1"/>
  <c r="J83" i="1"/>
  <c r="AA82" i="1"/>
  <c r="L82" i="1"/>
  <c r="N82" i="1" s="1"/>
  <c r="J82" i="1"/>
  <c r="AA81" i="1"/>
  <c r="L81" i="1"/>
  <c r="N81" i="1" s="1"/>
  <c r="J81" i="1"/>
  <c r="U131" i="1"/>
  <c r="P80" i="1"/>
  <c r="L80" i="1"/>
  <c r="N80" i="1" s="1"/>
  <c r="J80" i="1"/>
  <c r="AA78" i="1"/>
  <c r="AA77" i="1"/>
  <c r="AA76" i="1"/>
  <c r="AA75" i="1"/>
  <c r="P75" i="1"/>
  <c r="AA74" i="1"/>
  <c r="AA73" i="1"/>
  <c r="AA72" i="1"/>
  <c r="AA71" i="1"/>
  <c r="AA70" i="1"/>
  <c r="U130" i="1"/>
  <c r="P70" i="1"/>
  <c r="AA69" i="1"/>
  <c r="AA68" i="1"/>
  <c r="D68" i="1"/>
  <c r="AA67" i="1"/>
  <c r="D67" i="1"/>
  <c r="AA66" i="1"/>
  <c r="D66" i="1"/>
  <c r="AA65" i="1"/>
  <c r="P65" i="1"/>
  <c r="D65" i="1"/>
  <c r="AA64" i="1"/>
  <c r="AA63" i="1"/>
  <c r="AA62" i="1"/>
  <c r="AA61" i="1"/>
  <c r="AA60" i="1"/>
  <c r="AA59" i="1"/>
  <c r="P59" i="1"/>
  <c r="F58" i="1"/>
  <c r="AA57" i="1"/>
  <c r="P56" i="1"/>
  <c r="AA53" i="1"/>
  <c r="AA52" i="1"/>
  <c r="AA51" i="1"/>
  <c r="P51" i="1"/>
  <c r="AA48" i="1"/>
  <c r="AA46" i="1"/>
  <c r="AA45" i="1"/>
  <c r="P44" i="1"/>
  <c r="AA43" i="1"/>
  <c r="AA42" i="1"/>
  <c r="AA41" i="1"/>
  <c r="AA40" i="1"/>
  <c r="AA39" i="1"/>
  <c r="P39" i="1"/>
  <c r="F38" i="1"/>
  <c r="D13" i="5" s="1"/>
  <c r="D38" i="1"/>
  <c r="AA37" i="1"/>
  <c r="AA36" i="1"/>
  <c r="AA35" i="1"/>
  <c r="P34" i="1"/>
  <c r="D34" i="1"/>
  <c r="AA33" i="1"/>
  <c r="AA32" i="1"/>
  <c r="AA31" i="1"/>
  <c r="AA30" i="1"/>
  <c r="AA29" i="1"/>
  <c r="P29" i="1"/>
  <c r="F28" i="1"/>
  <c r="D10" i="5" s="1"/>
  <c r="D28" i="1"/>
  <c r="AA27" i="1"/>
  <c r="AA26" i="1"/>
  <c r="AA25" i="1"/>
  <c r="AA24" i="1"/>
  <c r="P23" i="1"/>
  <c r="D23" i="1"/>
  <c r="AA22" i="1"/>
  <c r="AA21" i="1"/>
  <c r="AA20" i="1"/>
  <c r="AA19" i="1"/>
  <c r="P19" i="1"/>
  <c r="F18" i="1"/>
  <c r="AA17" i="1"/>
  <c r="AA16" i="1"/>
  <c r="P15" i="1"/>
  <c r="AA10" i="1"/>
  <c r="F9" i="1"/>
  <c r="AA9" i="1" s="1"/>
  <c r="AA8" i="1"/>
  <c r="AA7" i="1"/>
  <c r="Y6" i="1"/>
  <c r="Y3" i="1" s="1"/>
  <c r="P6" i="1"/>
  <c r="F14" i="1"/>
  <c r="AB5" i="1"/>
  <c r="F5" i="1"/>
  <c r="AA5" i="1" s="1"/>
  <c r="AA4" i="1"/>
  <c r="P3" i="1"/>
  <c r="F3" i="1"/>
  <c r="F120" i="1" l="1"/>
  <c r="N120" i="1"/>
  <c r="D14" i="5"/>
  <c r="E13" i="5"/>
  <c r="D11" i="5"/>
  <c r="E10" i="5"/>
  <c r="J29" i="5"/>
  <c r="L29" i="5" s="1"/>
  <c r="J28" i="5"/>
  <c r="L28" i="5" s="1"/>
  <c r="J27" i="5"/>
  <c r="AB58" i="1"/>
  <c r="D20" i="5"/>
  <c r="E20" i="5" s="1"/>
  <c r="AB18" i="1"/>
  <c r="D7" i="5"/>
  <c r="E7" i="5" s="1"/>
  <c r="AA14" i="1"/>
  <c r="AA38" i="1"/>
  <c r="AB38" i="1"/>
  <c r="AA28" i="1"/>
  <c r="AB28" i="1"/>
  <c r="AA3" i="1"/>
  <c r="AA122" i="1"/>
  <c r="U136" i="1"/>
  <c r="U129" i="1"/>
  <c r="AA34" i="1"/>
  <c r="AB9" i="1"/>
  <c r="AB15" i="1"/>
  <c r="AA18" i="1"/>
  <c r="AA6" i="1"/>
  <c r="AB3" i="1"/>
  <c r="AB6" i="1"/>
  <c r="AA58" i="1"/>
  <c r="L27" i="5" l="1"/>
  <c r="L30" i="5" s="1"/>
  <c r="L31" i="5" s="1"/>
  <c r="E11" i="10"/>
  <c r="G11" i="10" s="1"/>
  <c r="G13" i="10" s="1"/>
  <c r="G21" i="10" s="1"/>
  <c r="F20" i="5"/>
  <c r="E22" i="5"/>
  <c r="F7" i="5"/>
  <c r="F8" i="5" s="1"/>
  <c r="E8" i="5"/>
  <c r="F10" i="5"/>
  <c r="E11" i="5"/>
  <c r="F11" i="5" s="1"/>
  <c r="F13" i="5"/>
  <c r="E14" i="5"/>
  <c r="F14" i="5" s="1"/>
  <c r="J30" i="5"/>
  <c r="D22" i="5"/>
  <c r="C6" i="8" s="1"/>
  <c r="D8" i="5"/>
  <c r="D18" i="5" s="1"/>
  <c r="C5" i="8" s="1"/>
  <c r="AA120" i="1"/>
  <c r="AA124" i="1" s="1"/>
  <c r="U137" i="1"/>
  <c r="V122" i="1"/>
  <c r="AB44" i="1"/>
  <c r="AB1" i="1" s="1"/>
  <c r="C9" i="8" l="1"/>
  <c r="J31" i="5"/>
  <c r="F7" i="8"/>
  <c r="E31" i="5"/>
  <c r="Q31" i="5" s="1"/>
  <c r="D6" i="8"/>
  <c r="E6" i="8" s="1"/>
  <c r="E18" i="5"/>
  <c r="D5" i="8" s="1"/>
  <c r="F22" i="5"/>
  <c r="F31" i="5" s="1"/>
  <c r="D31" i="5"/>
  <c r="D9" i="8" l="1"/>
  <c r="E5" i="8"/>
  <c r="E9" i="8" s="1"/>
  <c r="H7" i="8"/>
  <c r="H9" i="8" s="1"/>
  <c r="F9" i="8"/>
  <c r="F18" i="5"/>
  <c r="E38" i="5"/>
  <c r="Q18" i="5"/>
  <c r="Q38" i="5" s="1"/>
  <c r="U50" i="1"/>
  <c r="U125" i="1" s="1"/>
  <c r="V125" i="1" s="1"/>
  <c r="V120" i="1"/>
  <c r="V126" i="1" s="1"/>
  <c r="V44" i="1"/>
  <c r="U124" i="1" s="1"/>
  <c r="V124" i="1" s="1"/>
  <c r="U121" i="1" l="1"/>
  <c r="U1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使用者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Pay to:</t>
        </r>
        <r>
          <rPr>
            <sz val="9"/>
            <color indexed="81"/>
            <rFont val="Tahoma"/>
            <family val="2"/>
          </rPr>
          <t xml:space="preserve">
CU $6,781.68
NTT $2,260.57
CHT $24,866.15
CHT $6,000
</t>
        </r>
        <r>
          <rPr>
            <b/>
            <u/>
            <sz val="9"/>
            <color indexed="81"/>
            <rFont val="Tahoma"/>
            <family val="2"/>
          </rPr>
          <t>Total: $39,908.4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>discrepancy $16.27: 
bank charges</t>
        </r>
      </text>
    </comment>
    <comment ref="K15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KT's Prepayment ($60,771.14) of UPG#10
</t>
        </r>
      </text>
    </comment>
    <comment ref="L15" authorId="0" shapeId="0" xr:uid="{00000000-0006-0000-0100-000004000000}">
      <text>
        <r>
          <rPr>
            <sz val="8"/>
            <color indexed="81"/>
            <rFont val="Tahoma"/>
            <family val="2"/>
          </rPr>
          <t>KT's balance amount after offetting prepayment $60,771.14</t>
        </r>
      </text>
    </comment>
    <comment ref="K23" authorId="0" shapeId="0" xr:uid="{00000000-0006-0000-0100-000005000000}">
      <text>
        <r>
          <rPr>
            <sz val="8"/>
            <color indexed="81"/>
            <rFont val="Tahoma"/>
            <family val="2"/>
          </rPr>
          <t>offset KT's prepayment ($90,563.02) of UPG#11 (BM1~3)</t>
        </r>
      </text>
    </comment>
    <comment ref="K27" authorId="0" shapeId="0" xr:uid="{00000000-0006-0000-0100-000006000000}">
      <text>
        <r>
          <rPr>
            <sz val="8"/>
            <color indexed="81"/>
            <rFont val="Tahoma"/>
            <family val="2"/>
          </rPr>
          <t>offset KT's prepayment ($90,563.02) of UPG#11 (BM1~3)</t>
        </r>
      </text>
    </comment>
    <comment ref="L27" authorId="0" shapeId="0" xr:uid="{00000000-0006-0000-0100-000007000000}">
      <text>
        <r>
          <rPr>
            <sz val="8"/>
            <color indexed="81"/>
            <rFont val="Tahoma"/>
            <family val="2"/>
          </rPr>
          <t>KT's balance amount of prepayment ($90,563.02) of UPG#11 after offsets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使用者</author>
  </authors>
  <commentList>
    <comment ref="Y9" authorId="0" shapeId="0" xr:uid="{00000000-0006-0000-0200-000001000000}">
      <text>
        <r>
          <rPr>
            <sz val="9"/>
            <color indexed="81"/>
            <rFont val="細明體"/>
            <family val="3"/>
            <charset val="136"/>
          </rPr>
          <t>多付了</t>
        </r>
        <r>
          <rPr>
            <sz val="9"/>
            <color indexed="81"/>
            <rFont val="Tahoma"/>
            <family val="2"/>
          </rPr>
          <t xml:space="preserve">12000
</t>
        </r>
      </text>
    </comment>
    <comment ref="U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received from AT&amp;T</t>
        </r>
      </text>
    </comment>
    <comment ref="Y23" authorId="0" shapeId="0" xr:uid="{00000000-0006-0000-0200-000003000000}">
      <text>
        <r>
          <rPr>
            <b/>
            <sz val="9"/>
            <color indexed="81"/>
            <rFont val="細明體"/>
            <family val="3"/>
            <charset val="136"/>
          </rPr>
          <t>多付</t>
        </r>
        <r>
          <rPr>
            <b/>
            <sz val="9"/>
            <color indexed="81"/>
            <rFont val="Tahoma"/>
            <family val="2"/>
          </rPr>
          <t>1092.76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7" authorId="0" shapeId="0" xr:uid="{083FE9D2-F189-4DC7-8F5F-D6817FC8FCB6}">
      <text>
        <r>
          <rPr>
            <b/>
            <sz val="9"/>
            <color indexed="81"/>
            <rFont val="Tahoma"/>
            <family val="2"/>
          </rPr>
          <t xml:space="preserve">UPG#11
1. CBP Received KT's prepaid of UPG#11: $90,563.02] 
2. KT's Shared Amount of UPG#11: 
BM1: Shared Amount: $36,747 + Bank Charge for BM0 $5.17 = $36,752.17
BM2: Shared Amount: $36,747 + Bank Charge for BM1~3 $5.02 = $36,752.02
BM3: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3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UPG#11
1. CBP Received KT's prepaid of UPG#11(BM1~3): $90,563.02
2. KT's Shared Amount of UPG#11: </t>
        </r>
        <r>
          <rPr>
            <sz val="9"/>
            <color indexed="81"/>
            <rFont val="Tahoma"/>
            <family val="2"/>
          </rPr>
          <t xml:space="preserve">
BM1: Shared Amount: $36,747 + Bank Charge for BM0 $5.17 = $36,752.17
BM2: Shared Amount: $36,747 + Bank Charge for BM1~3 $5.02 = $36,752.02
BM3: TBC</t>
        </r>
        <r>
          <rPr>
            <b/>
            <sz val="9"/>
            <color indexed="81"/>
            <rFont val="Tahoma"/>
            <family val="2"/>
          </rPr>
          <t xml:space="preserve">
Balance: $17,058.83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<sst xmlns="http://schemas.openxmlformats.org/spreadsheetml/2006/main" count="1731" uniqueCount="456">
  <si>
    <t>TPE Upgrade (December 1, 2021~November 30, 2022)</t>
    <phoneticPr fontId="5" type="noConversion"/>
  </si>
  <si>
    <t>Currency: USD</t>
    <phoneticPr fontId="5" type="noConversion"/>
  </si>
  <si>
    <t>Suppliers Payment Status</t>
    <phoneticPr fontId="5" type="noConversion"/>
  </si>
  <si>
    <t>Parties Payment Status</t>
    <phoneticPr fontId="5" type="noConversion"/>
  </si>
  <si>
    <t>UPG#</t>
    <phoneticPr fontId="5" type="noConversion"/>
  </si>
  <si>
    <t>Billing Milestone /Description</t>
    <phoneticPr fontId="5" type="noConversion"/>
  </si>
  <si>
    <t>Invoice</t>
    <phoneticPr fontId="5" type="noConversion"/>
  </si>
  <si>
    <t>Amount Remitted by the CBP</t>
  </si>
  <si>
    <t>Outstanding Amount</t>
  </si>
  <si>
    <t>Amount Received by the CBP</t>
    <phoneticPr fontId="5" type="noConversion"/>
  </si>
  <si>
    <t>Remark</t>
    <phoneticPr fontId="5" type="noConversion"/>
  </si>
  <si>
    <t>Purchasing Surplus Capacities (2x10G on DLS12)</t>
    <phoneticPr fontId="5" type="noConversion"/>
  </si>
  <si>
    <t>TBC</t>
    <phoneticPr fontId="5" type="noConversion"/>
  </si>
  <si>
    <t>CBP received $39,892.13 from VERIZON for purchasing Surplus capacities(2x10G on DLS12), but Parties(CU/NTT/CHT) haven't claimed this payment($39,908.4)</t>
    <phoneticPr fontId="5" type="noConversion"/>
  </si>
  <si>
    <t>BM0, BM1, BM2, Taxes</t>
    <phoneticPr fontId="5" type="noConversion"/>
  </si>
  <si>
    <t>KT's prepaid amount for UPG#10 BM3</t>
    <phoneticPr fontId="5" type="noConversion"/>
  </si>
  <si>
    <t>BM0</t>
    <phoneticPr fontId="5" type="noConversion"/>
  </si>
  <si>
    <t>BM1, BM2</t>
    <phoneticPr fontId="5" type="noConversion"/>
  </si>
  <si>
    <t>Due Date: Dec.05(BM1) &amp; Dec.12(BM2)</t>
    <phoneticPr fontId="5" type="noConversion"/>
  </si>
  <si>
    <t>Due Date: Dec.05</t>
    <phoneticPr fontId="5" type="noConversion"/>
  </si>
  <si>
    <t xml:space="preserve">Total: </t>
    <phoneticPr fontId="5" type="noConversion"/>
  </si>
  <si>
    <t>Supplier Payment Status</t>
    <phoneticPr fontId="56" type="noConversion"/>
  </si>
  <si>
    <t>Parties Payment Status</t>
    <phoneticPr fontId="56" type="noConversion"/>
  </si>
  <si>
    <t>Billing Milestone/Description</t>
    <phoneticPr fontId="72" type="noConversion"/>
  </si>
  <si>
    <t>Suppliers</t>
  </si>
  <si>
    <t>Amount of Invoice</t>
    <phoneticPr fontId="73" type="noConversion"/>
  </si>
  <si>
    <t>Amount Remitted to Suppliers</t>
    <phoneticPr fontId="56" type="noConversion"/>
  </si>
  <si>
    <t xml:space="preserve">Amount Outstanding </t>
    <phoneticPr fontId="56" type="noConversion"/>
  </si>
  <si>
    <t>Due Date</t>
    <phoneticPr fontId="56" type="noConversion"/>
  </si>
  <si>
    <t>Party</t>
  </si>
  <si>
    <t>Invoice Ref.</t>
  </si>
  <si>
    <t>Amount Billed</t>
    <phoneticPr fontId="56" type="noConversion"/>
  </si>
  <si>
    <t>Amount Received</t>
    <phoneticPr fontId="56" type="noConversion"/>
  </si>
  <si>
    <t xml:space="preserve">Amount Outstanding </t>
  </si>
  <si>
    <t>Received Date</t>
  </si>
  <si>
    <t>Days Past Due</t>
  </si>
  <si>
    <t>CBP's Account Balance</t>
    <phoneticPr fontId="5" type="noConversion"/>
  </si>
  <si>
    <t>CU/NTT/CHT</t>
    <phoneticPr fontId="5" type="noConversion"/>
  </si>
  <si>
    <t>TBC</t>
    <phoneticPr fontId="56" type="noConversion"/>
  </si>
  <si>
    <t>VERIZON</t>
    <phoneticPr fontId="56" type="noConversion"/>
  </si>
  <si>
    <t>Purchasing Surplus Capacities</t>
    <phoneticPr fontId="5" type="noConversion"/>
  </si>
  <si>
    <t>SUBTOTAL</t>
  </si>
  <si>
    <t>CBP received $39,892.13 for purchasing Surplus capacities(2x10G on DLS12), but Parties(CU/NTT/CHT) haven't claimed this payment</t>
    <phoneticPr fontId="5" type="noConversion"/>
  </si>
  <si>
    <t>CIENA</t>
    <phoneticPr fontId="5" type="noConversion"/>
  </si>
  <si>
    <t>KT</t>
    <phoneticPr fontId="5" type="noConversion"/>
  </si>
  <si>
    <t>TPE-UPG10-KT-20210428</t>
    <phoneticPr fontId="56" type="noConversion"/>
  </si>
  <si>
    <t>CHT</t>
    <phoneticPr fontId="5" type="noConversion"/>
  </si>
  <si>
    <t>CU</t>
    <phoneticPr fontId="5" type="noConversion"/>
  </si>
  <si>
    <t>TPE-UPG10-CU-20210428</t>
    <phoneticPr fontId="56" type="noConversion"/>
  </si>
  <si>
    <t>Total</t>
    <phoneticPr fontId="56" type="noConversion"/>
  </si>
  <si>
    <t>BM1</t>
    <phoneticPr fontId="5" type="noConversion"/>
  </si>
  <si>
    <t>TPE-UPG10-KT-20210908</t>
    <phoneticPr fontId="56" type="noConversion"/>
  </si>
  <si>
    <t>TPE-UPG10-CU-20210908</t>
    <phoneticPr fontId="56" type="noConversion"/>
  </si>
  <si>
    <t>BM2</t>
    <phoneticPr fontId="5" type="noConversion"/>
  </si>
  <si>
    <t>TPE-UPG10-KT-20211019</t>
    <phoneticPr fontId="56" type="noConversion"/>
  </si>
  <si>
    <t>TPE-UPG10-CU-20211019</t>
    <phoneticPr fontId="56" type="noConversion"/>
  </si>
  <si>
    <t>Taxes</t>
  </si>
  <si>
    <t>TPE-UPG10-KT-20220118</t>
    <phoneticPr fontId="56" type="noConversion"/>
  </si>
  <si>
    <t>TPE-UPG10-CU-20220118</t>
    <phoneticPr fontId="56" type="noConversion"/>
  </si>
  <si>
    <t>Taxes</t>
    <phoneticPr fontId="5" type="noConversion"/>
  </si>
  <si>
    <t>CIENA</t>
  </si>
  <si>
    <t>TPE-UPG11-KT-20220321</t>
    <phoneticPr fontId="56" type="noConversion"/>
  </si>
  <si>
    <t>CHT</t>
  </si>
  <si>
    <t>TPE-UPG11-CU-20220321</t>
    <phoneticPr fontId="56" type="noConversion"/>
  </si>
  <si>
    <t>CT</t>
    <phoneticPr fontId="5" type="noConversion"/>
  </si>
  <si>
    <t>TPE-UPG11-CT-20221010</t>
    <phoneticPr fontId="56" type="noConversion"/>
  </si>
  <si>
    <t>TPE-UPG11-KT-20220701</t>
  </si>
  <si>
    <t>TPEUPG11-CU-01</t>
  </si>
  <si>
    <t>TPEUPG11-CT-01</t>
  </si>
  <si>
    <t>TPEUPG11-CT-02</t>
  </si>
  <si>
    <t>KT's prepaid amount for UPG#11</t>
    <phoneticPr fontId="5" type="noConversion"/>
  </si>
  <si>
    <t>TPEUPG12-KT-00</t>
  </si>
  <si>
    <t>TPEUPG12-CU-00</t>
  </si>
  <si>
    <t>NTT-LJ</t>
    <phoneticPr fontId="5" type="noConversion"/>
  </si>
  <si>
    <t>TPEUPG12-NTT-LJ-00</t>
  </si>
  <si>
    <t>GRAND TOTAL</t>
    <phoneticPr fontId="56" type="noConversion"/>
  </si>
  <si>
    <t>TPE UPG#</t>
    <phoneticPr fontId="5" type="noConversion"/>
  </si>
  <si>
    <r>
      <rPr>
        <b/>
        <sz val="18"/>
        <color rgb="FF000000"/>
        <rFont val="Arial"/>
        <family val="2"/>
      </rPr>
      <t xml:space="preserve">Suppliers' Invoice 
</t>
    </r>
    <r>
      <rPr>
        <b/>
        <sz val="18"/>
        <color rgb="FF000000"/>
        <rFont val="細明體"/>
        <family val="3"/>
        <charset val="136"/>
      </rPr>
      <t>供應商發票</t>
    </r>
  </si>
  <si>
    <t>Parties's Share</t>
    <phoneticPr fontId="5" type="noConversion"/>
  </si>
  <si>
    <r>
      <rPr>
        <b/>
        <sz val="18"/>
        <color rgb="FF000000"/>
        <rFont val="Arial"/>
        <family val="2"/>
      </rPr>
      <t xml:space="preserve">Paid to Suppliers 
</t>
    </r>
    <r>
      <rPr>
        <b/>
        <sz val="18"/>
        <color rgb="FF000000"/>
        <rFont val="細明體"/>
        <family val="3"/>
        <charset val="136"/>
      </rPr>
      <t>匯出金額給供應商</t>
    </r>
  </si>
  <si>
    <t>Report</t>
    <phoneticPr fontId="5" type="noConversion"/>
  </si>
  <si>
    <t>BM</t>
    <phoneticPr fontId="5" type="noConversion"/>
  </si>
  <si>
    <t>Supplier's Invoice No.</t>
  </si>
  <si>
    <t>Amt(USD)</t>
  </si>
  <si>
    <t>Due Date</t>
  </si>
  <si>
    <t>Party</t>
    <phoneticPr fontId="5" type="noConversion"/>
  </si>
  <si>
    <t>Item</t>
    <phoneticPr fontId="5" type="noConversion"/>
  </si>
  <si>
    <t>Supplier</t>
    <phoneticPr fontId="5" type="noConversion"/>
  </si>
  <si>
    <t>Description</t>
    <phoneticPr fontId="5" type="noConversion"/>
  </si>
  <si>
    <t>Supplier Billed Amt(US$)</t>
    <phoneticPr fontId="5" type="noConversion"/>
  </si>
  <si>
    <t>Liability</t>
  </si>
  <si>
    <t>Shared Amt (USD)</t>
    <phoneticPr fontId="5" type="noConversion"/>
  </si>
  <si>
    <t>Description</t>
  </si>
  <si>
    <t>Amount Billed (USD)</t>
  </si>
  <si>
    <t>Invoice# 
(CBP to Party)</t>
    <phoneticPr fontId="5" type="noConversion"/>
  </si>
  <si>
    <t>Received Amt(USD)</t>
    <phoneticPr fontId="5" type="noConversion"/>
  </si>
  <si>
    <t>Diff</t>
    <phoneticPr fontId="5" type="noConversion"/>
  </si>
  <si>
    <t>Pay to Supplier</t>
    <phoneticPr fontId="5" type="noConversion"/>
  </si>
  <si>
    <t>Amt (USD)</t>
    <phoneticPr fontId="5" type="noConversion"/>
  </si>
  <si>
    <t>Remittance Date</t>
    <phoneticPr fontId="5" type="noConversion"/>
  </si>
  <si>
    <t>Diff
(Pay to Supplier VS)</t>
    <phoneticPr fontId="5" type="noConversion"/>
  </si>
  <si>
    <t>v</t>
    <phoneticPr fontId="5" type="noConversion"/>
  </si>
  <si>
    <t>13040, 77367</t>
    <phoneticPr fontId="5" type="noConversion"/>
  </si>
  <si>
    <t>BM0</t>
  </si>
  <si>
    <t>TPE-UPG9-KT-001</t>
  </si>
  <si>
    <t>KT</t>
  </si>
  <si>
    <t>NA</t>
    <phoneticPr fontId="5" type="noConversion"/>
  </si>
  <si>
    <t>CBP Fee</t>
  </si>
  <si>
    <t>13062, 13184, 13185, 77416, 78448, 78449, 78657</t>
    <phoneticPr fontId="5" type="noConversion"/>
  </si>
  <si>
    <t>BM1</t>
  </si>
  <si>
    <t>BM2</t>
  </si>
  <si>
    <t>BM3</t>
    <phoneticPr fontId="5" type="noConversion"/>
  </si>
  <si>
    <t>BM3</t>
  </si>
  <si>
    <t>BM1~3</t>
    <phoneticPr fontId="5" type="noConversion"/>
  </si>
  <si>
    <t>CBP FEE</t>
  </si>
  <si>
    <t>BM1~3</t>
  </si>
  <si>
    <t>Reimbursement of duty&amp;tax for JAPAN</t>
  </si>
  <si>
    <t>Surplus</t>
    <phoneticPr fontId="5" type="noConversion"/>
  </si>
  <si>
    <t>CU</t>
  </si>
  <si>
    <t>VERIZON</t>
    <phoneticPr fontId="5" type="noConversion"/>
  </si>
  <si>
    <t>Surplus Capacity2*10G on DLS12(T4-T6)</t>
  </si>
  <si>
    <t>TPE-UPG9-CBP-Verrizon-01</t>
  </si>
  <si>
    <t>Surplus Capacity2*10G on DLS12(T4-T6)</t>
    <phoneticPr fontId="5" type="noConversion"/>
  </si>
  <si>
    <t>VERIZON (AT&amp;T)</t>
    <phoneticPr fontId="5" type="noConversion"/>
  </si>
  <si>
    <t>*6781.68</t>
    <phoneticPr fontId="5" type="noConversion"/>
  </si>
  <si>
    <t>ask 王凱, NTT</t>
    <phoneticPr fontId="5" type="noConversion"/>
  </si>
  <si>
    <t>NTT</t>
  </si>
  <si>
    <t>NTT</t>
    <phoneticPr fontId="5" type="noConversion"/>
  </si>
  <si>
    <t>*2260.56</t>
    <phoneticPr fontId="5" type="noConversion"/>
  </si>
  <si>
    <t>*24866.16</t>
    <phoneticPr fontId="5" type="noConversion"/>
  </si>
  <si>
    <t>*6000</t>
    <phoneticPr fontId="5" type="noConversion"/>
  </si>
  <si>
    <t>v</t>
  </si>
  <si>
    <t>13628, 80631</t>
    <phoneticPr fontId="5" type="noConversion"/>
  </si>
  <si>
    <t>BM0-Contract Agreement</t>
  </si>
  <si>
    <t>TPE-UPG10-KT-20210428</t>
    <phoneticPr fontId="5" type="noConversion"/>
  </si>
  <si>
    <r>
      <t>bank charge$5.38</t>
    </r>
    <r>
      <rPr>
        <sz val="10.5"/>
        <color theme="1"/>
        <rFont val="細明體"/>
        <family val="3"/>
        <charset val="136"/>
      </rPr>
      <t>已加入下次</t>
    </r>
    <r>
      <rPr>
        <sz val="10.5"/>
        <color theme="1"/>
        <rFont val="Arial"/>
        <family val="2"/>
      </rPr>
      <t>invoice</t>
    </r>
    <phoneticPr fontId="5" type="noConversion"/>
  </si>
  <si>
    <t>Tax of BM0</t>
  </si>
  <si>
    <t>TPE-UPG10-CU-20210428</t>
    <phoneticPr fontId="5" type="noConversion"/>
  </si>
  <si>
    <r>
      <t>bank charge$30.39</t>
    </r>
    <r>
      <rPr>
        <sz val="10.5"/>
        <color theme="1"/>
        <rFont val="細明體"/>
        <family val="3"/>
        <charset val="136"/>
      </rPr>
      <t>已加入下次</t>
    </r>
    <r>
      <rPr>
        <sz val="10.5"/>
        <color theme="1"/>
        <rFont val="Arial"/>
        <family val="2"/>
      </rPr>
      <t>invoice</t>
    </r>
    <phoneticPr fontId="5" type="noConversion"/>
  </si>
  <si>
    <t>14026, 83369</t>
    <phoneticPr fontId="5" type="noConversion"/>
  </si>
  <si>
    <t>BM1-Contract Agreement</t>
  </si>
  <si>
    <t>TPE-UPG10-KT-20210908</t>
    <phoneticPr fontId="5" type="noConversion"/>
  </si>
  <si>
    <r>
      <t>bank charge$5.39</t>
    </r>
    <r>
      <rPr>
        <sz val="10.5"/>
        <color theme="1"/>
        <rFont val="細明體"/>
        <family val="3"/>
        <charset val="136"/>
      </rPr>
      <t>已加入下次</t>
    </r>
    <r>
      <rPr>
        <sz val="10.5"/>
        <color theme="1"/>
        <rFont val="Arial"/>
        <family val="2"/>
      </rPr>
      <t>invoice</t>
    </r>
    <phoneticPr fontId="5" type="noConversion"/>
  </si>
  <si>
    <t>Tax of BM1</t>
  </si>
  <si>
    <t>7222531, 7222532, 7704308</t>
    <phoneticPr fontId="5" type="noConversion"/>
  </si>
  <si>
    <t>JAPAN CONSUMPTION TAX</t>
  </si>
  <si>
    <t>Bank Charges For BM0</t>
  </si>
  <si>
    <t>TPE-UPG10-CU-20210908</t>
    <phoneticPr fontId="5" type="noConversion"/>
  </si>
  <si>
    <r>
      <t>bank charge$15.39</t>
    </r>
    <r>
      <rPr>
        <sz val="10.5"/>
        <color theme="1"/>
        <rFont val="細明體"/>
        <family val="3"/>
        <charset val="136"/>
      </rPr>
      <t>已加入下次</t>
    </r>
    <r>
      <rPr>
        <sz val="10.5"/>
        <color theme="1"/>
        <rFont val="Arial"/>
        <family val="2"/>
      </rPr>
      <t>invoice</t>
    </r>
    <phoneticPr fontId="5" type="noConversion"/>
  </si>
  <si>
    <t>83967, 14185</t>
    <phoneticPr fontId="5" type="noConversion"/>
  </si>
  <si>
    <t>BM2-TSEs Factory Release</t>
  </si>
  <si>
    <t>TPE-UPG10-KT-20211019</t>
    <phoneticPr fontId="5" type="noConversion"/>
  </si>
  <si>
    <r>
      <t>bank charge$5.41</t>
    </r>
    <r>
      <rPr>
        <sz val="10.5"/>
        <color theme="1"/>
        <rFont val="細明體"/>
        <family val="3"/>
        <charset val="136"/>
      </rPr>
      <t>已加入下次</t>
    </r>
    <r>
      <rPr>
        <sz val="10.5"/>
        <color theme="1"/>
        <rFont val="Arial"/>
        <family val="2"/>
      </rPr>
      <t>invoice</t>
    </r>
    <phoneticPr fontId="5" type="noConversion"/>
  </si>
  <si>
    <t>Tax of BM2</t>
  </si>
  <si>
    <t>Bank Charges For BM1</t>
  </si>
  <si>
    <t>TPE-UPG10-CU-20211019</t>
    <phoneticPr fontId="5" type="noConversion"/>
  </si>
  <si>
    <r>
      <t>bank charge$15.41</t>
    </r>
    <r>
      <rPr>
        <sz val="10.5"/>
        <color theme="1"/>
        <rFont val="細明體"/>
        <family val="3"/>
        <charset val="136"/>
      </rPr>
      <t>已加入下次</t>
    </r>
    <r>
      <rPr>
        <sz val="10.5"/>
        <color theme="1"/>
        <rFont val="Arial"/>
        <family val="2"/>
      </rPr>
      <t>invoice</t>
    </r>
    <phoneticPr fontId="5" type="noConversion"/>
  </si>
  <si>
    <t>CBP Fee</t>
    <phoneticPr fontId="5" type="noConversion"/>
  </si>
  <si>
    <t>Reimbursement of taxes for Japan/Taiwan/China</t>
    <phoneticPr fontId="5" type="noConversion"/>
  </si>
  <si>
    <t>TPE-UPG10-KT-20220118</t>
    <phoneticPr fontId="5" type="noConversion"/>
  </si>
  <si>
    <t>tax(NTK538UN/NTNM70FB/NTK538UN)</t>
    <phoneticPr fontId="5" type="noConversion"/>
  </si>
  <si>
    <t>tax</t>
    <phoneticPr fontId="5" type="noConversion"/>
  </si>
  <si>
    <t>tax(S74-LIC-NTK560DQ)</t>
    <phoneticPr fontId="5" type="noConversion"/>
  </si>
  <si>
    <t>Bank Charges For BM2</t>
    <phoneticPr fontId="5" type="noConversion"/>
  </si>
  <si>
    <t xml:space="preserve">Bank Charges For Reimbursement </t>
    <phoneticPr fontId="5" type="noConversion"/>
  </si>
  <si>
    <t>Pre-paid</t>
    <phoneticPr fontId="5" type="noConversion"/>
  </si>
  <si>
    <t>Reimbursement of taxes for Japan/Taiwan/China</t>
  </si>
  <si>
    <t>TPE-UPG10-CU-20220118</t>
    <phoneticPr fontId="5" type="noConversion"/>
  </si>
  <si>
    <t>tax(NTK538UN/NTNM70FB/NTK538UN)</t>
  </si>
  <si>
    <t>tax(S74-LIC-NTK560DQ)</t>
  </si>
  <si>
    <t>500997, 14308</t>
  </si>
  <si>
    <t>TPE-UPG11-KT-20220321</t>
    <phoneticPr fontId="5" type="noConversion"/>
  </si>
  <si>
    <t>xxxx</t>
    <phoneticPr fontId="5" type="noConversion"/>
  </si>
  <si>
    <t>TPE-UPG11-CU-20220321</t>
    <phoneticPr fontId="5" type="noConversion"/>
  </si>
  <si>
    <r>
      <t xml:space="preserve">bank charge $15.08 </t>
    </r>
    <r>
      <rPr>
        <sz val="10.5"/>
        <color theme="1"/>
        <rFont val="細明體"/>
        <family val="3"/>
        <charset val="136"/>
      </rPr>
      <t>已加入下次的</t>
    </r>
    <r>
      <rPr>
        <sz val="10.5"/>
        <color theme="1"/>
        <rFont val="Arial"/>
        <family val="2"/>
      </rPr>
      <t>invoice</t>
    </r>
    <phoneticPr fontId="5" type="noConversion"/>
  </si>
  <si>
    <t>CT</t>
  </si>
  <si>
    <t>TPE-UPG11-CT-20221010</t>
    <phoneticPr fontId="5" type="noConversion"/>
  </si>
  <si>
    <r>
      <t xml:space="preserve">bank charge $15.05 </t>
    </r>
    <r>
      <rPr>
        <sz val="10.5"/>
        <color theme="1"/>
        <rFont val="細明體"/>
        <family val="3"/>
        <charset val="136"/>
      </rPr>
      <t>已加入下次的</t>
    </r>
    <r>
      <rPr>
        <sz val="10.5"/>
        <color theme="1"/>
        <rFont val="Arial"/>
        <family val="2"/>
      </rPr>
      <t>invoice</t>
    </r>
    <phoneticPr fontId="5" type="noConversion"/>
  </si>
  <si>
    <t xml:space="preserve">BM1: Contract Agreement </t>
  </si>
  <si>
    <t>TPEUPG11-CU-0110</t>
    <phoneticPr fontId="5" type="noConversion"/>
  </si>
  <si>
    <t>Services Tax of Japan</t>
  </si>
  <si>
    <t>TPE-UPG11-221021</t>
  </si>
  <si>
    <t>CBP Fee for UPG#11 (BM1)</t>
  </si>
  <si>
    <t>TPEUPG11-CT-01</t>
    <phoneticPr fontId="5" type="noConversion"/>
  </si>
  <si>
    <r>
      <t xml:space="preserve">James Chu  </t>
    </r>
    <r>
      <rPr>
        <sz val="10.5"/>
        <color theme="1"/>
        <rFont val="細明體"/>
        <family val="3"/>
        <charset val="136"/>
      </rPr>
      <t>褚彭魁</t>
    </r>
    <r>
      <rPr>
        <sz val="10.5"/>
        <color theme="1"/>
        <rFont val="Arial"/>
        <family val="2"/>
      </rPr>
      <t>: under internal approval 
11/29: sent notice, awaiting for payment schedule</t>
    </r>
    <phoneticPr fontId="5" type="noConversion"/>
  </si>
  <si>
    <r>
      <rPr>
        <sz val="10.5"/>
        <color theme="1"/>
        <rFont val="細明體"/>
        <family val="3"/>
        <charset val="136"/>
      </rPr>
      <t>從預付</t>
    </r>
    <r>
      <rPr>
        <sz val="10.5"/>
        <color theme="1"/>
        <rFont val="Arial"/>
        <family val="2"/>
      </rPr>
      <t>$90,563.02</t>
    </r>
    <r>
      <rPr>
        <sz val="10.5"/>
        <color theme="1"/>
        <rFont val="細明體"/>
        <family val="3"/>
        <charset val="136"/>
      </rPr>
      <t>中扣除</t>
    </r>
    <phoneticPr fontId="5" type="noConversion"/>
  </si>
  <si>
    <t>KT prepaid: 90563.02</t>
    <phoneticPr fontId="5" type="noConversion"/>
  </si>
  <si>
    <t>Credit Note for BM1</t>
    <phoneticPr fontId="5" type="noConversion"/>
  </si>
  <si>
    <t xml:space="preserve">BM2: Contract Agreement </t>
    <phoneticPr fontId="5" type="noConversion"/>
  </si>
  <si>
    <t>TPEUPG11-CT-02</t>
    <phoneticPr fontId="5" type="noConversion"/>
  </si>
  <si>
    <t xml:space="preserve">BM2: Contract Agreement </t>
  </si>
  <si>
    <r>
      <t xml:space="preserve">James Chu  </t>
    </r>
    <r>
      <rPr>
        <sz val="10.5"/>
        <color theme="1"/>
        <rFont val="細明體"/>
        <family val="3"/>
        <charset val="136"/>
      </rPr>
      <t>褚彭魁</t>
    </r>
    <r>
      <rPr>
        <sz val="10.5"/>
        <color theme="1"/>
        <rFont val="Arial"/>
        <family val="2"/>
      </rPr>
      <t>: invoices are received</t>
    </r>
    <phoneticPr fontId="5" type="noConversion"/>
  </si>
  <si>
    <t>TPE-UPG11-221102</t>
  </si>
  <si>
    <t>CBP Fee for UPG#11 (BM2)</t>
    <phoneticPr fontId="5" type="noConversion"/>
  </si>
  <si>
    <t>CBP Fee for UPG#11 (BM2)</t>
  </si>
  <si>
    <t>TPEUPG11-CU-02</t>
    <phoneticPr fontId="5" type="noConversion"/>
  </si>
  <si>
    <t>TPE-UPG11-KT-20220701</t>
    <phoneticPr fontId="5" type="noConversion"/>
  </si>
  <si>
    <t>Credit Note for BM2</t>
    <phoneticPr fontId="5" type="noConversion"/>
  </si>
  <si>
    <t>Credit Note for BM3</t>
    <phoneticPr fontId="5" type="noConversion"/>
  </si>
  <si>
    <t>Bank Charges For BM1~3</t>
    <phoneticPr fontId="5" type="noConversion"/>
  </si>
  <si>
    <t>Bank Charges For BM1~2</t>
  </si>
  <si>
    <t>CIENA-USA</t>
    <phoneticPr fontId="5" type="noConversion"/>
  </si>
  <si>
    <t xml:space="preserve">BM0: Contract Agreement </t>
  </si>
  <si>
    <t>TPEUPG12-CU-00</t>
    <phoneticPr fontId="5" type="noConversion"/>
  </si>
  <si>
    <t>CIENA-USA</t>
  </si>
  <si>
    <t>CIENA-JP</t>
    <phoneticPr fontId="5" type="noConversion"/>
  </si>
  <si>
    <t>CIENA-JP</t>
  </si>
  <si>
    <t>TPE-UPG12-221021</t>
  </si>
  <si>
    <t>CBP Fee for UPG#12 (BM0)</t>
  </si>
  <si>
    <t>帳號待確認</t>
    <phoneticPr fontId="5" type="noConversion"/>
  </si>
  <si>
    <t>TPEUPG12-KT-00</t>
    <phoneticPr fontId="5" type="noConversion"/>
  </si>
  <si>
    <t>TPEUPG12-NTT-LJ-00</t>
    <phoneticPr fontId="5" type="noConversion"/>
  </si>
  <si>
    <t>BM1A (Supply Contract Cost)</t>
  </si>
  <si>
    <t>KT's pre-payment</t>
    <phoneticPr fontId="5" type="noConversion"/>
  </si>
  <si>
    <t>BM1A (Non Supply Contract Cost)</t>
  </si>
  <si>
    <t>CBP Fee for BM1A</t>
  </si>
  <si>
    <t>Diff (A)</t>
    <phoneticPr fontId="5" type="noConversion"/>
  </si>
  <si>
    <t>Need to Pay</t>
    <phoneticPr fontId="5" type="noConversion"/>
  </si>
  <si>
    <t>Bank Charge</t>
    <phoneticPr fontId="5" type="noConversion"/>
  </si>
  <si>
    <t>A/R</t>
    <phoneticPr fontId="5" type="noConversion"/>
  </si>
  <si>
    <t>KT's Proforma Invoice(#11 BM3) -- (3)</t>
    <phoneticPr fontId="5" type="noConversion"/>
  </si>
  <si>
    <t>Need to Check</t>
    <phoneticPr fontId="5" type="noConversion"/>
  </si>
  <si>
    <t>Balance</t>
    <phoneticPr fontId="5" type="noConversion"/>
  </si>
  <si>
    <t>KT's Proforma Invoice (UPG#11)</t>
    <phoneticPr fontId="5" type="noConversion"/>
  </si>
  <si>
    <t>(1) BM1</t>
    <phoneticPr fontId="5" type="noConversion"/>
  </si>
  <si>
    <t>(2) BM2</t>
    <phoneticPr fontId="5" type="noConversion"/>
  </si>
  <si>
    <t>UPG#11 BM1</t>
    <phoneticPr fontId="5" type="noConversion"/>
  </si>
  <si>
    <t>11/30~12/9 Pay to Ciena</t>
    <phoneticPr fontId="5" type="noConversion"/>
  </si>
  <si>
    <t>(3) BM3-tbc</t>
    <phoneticPr fontId="5" type="noConversion"/>
  </si>
  <si>
    <t>UPG#11 BM2</t>
    <phoneticPr fontId="5" type="noConversion"/>
  </si>
  <si>
    <t>12/13~28 Pay to Ciena</t>
    <phoneticPr fontId="5" type="noConversion"/>
  </si>
  <si>
    <t>UPG#12 BM0</t>
    <phoneticPr fontId="5" type="noConversion"/>
  </si>
  <si>
    <t>12/6~15 Pay to Ciena</t>
    <phoneticPr fontId="5" type="noConversion"/>
  </si>
  <si>
    <r>
      <t>TPE Upgrade_Prepaid Balance_</t>
    </r>
    <r>
      <rPr>
        <b/>
        <sz val="16"/>
        <color rgb="FF0000FF"/>
        <rFont val="Arial"/>
        <family val="2"/>
      </rPr>
      <t>KT</t>
    </r>
    <phoneticPr fontId="54" type="noConversion"/>
  </si>
  <si>
    <t>Currency: USD</t>
    <phoneticPr fontId="54" type="noConversion"/>
  </si>
  <si>
    <t>UPG#</t>
    <phoneticPr fontId="54" type="noConversion"/>
  </si>
  <si>
    <t>Ref. No.</t>
    <phoneticPr fontId="54" type="noConversion"/>
  </si>
  <si>
    <t>Invoice Amount</t>
    <phoneticPr fontId="5" type="noConversion"/>
  </si>
  <si>
    <t>Prepaid Amount</t>
    <phoneticPr fontId="54" type="noConversion"/>
  </si>
  <si>
    <t>Balance</t>
    <phoneticPr fontId="54" type="noConversion"/>
  </si>
  <si>
    <t>BM3</t>
    <phoneticPr fontId="54" type="noConversion"/>
  </si>
  <si>
    <t>Prepaid amount</t>
    <phoneticPr fontId="54" type="noConversion"/>
  </si>
  <si>
    <t>Taxes</t>
    <phoneticPr fontId="54" type="noConversion"/>
  </si>
  <si>
    <t>Reimbursement of taxes for Japan/Taiwan/China</t>
    <phoneticPr fontId="54" type="noConversion"/>
  </si>
  <si>
    <t>Sub-total Balance</t>
    <phoneticPr fontId="54" type="noConversion"/>
  </si>
  <si>
    <t>Invoice Amount</t>
    <phoneticPr fontId="54" type="noConversion"/>
  </si>
  <si>
    <t>BM1~3</t>
    <phoneticPr fontId="54" type="noConversion"/>
  </si>
  <si>
    <t>BM1</t>
    <phoneticPr fontId="54" type="noConversion"/>
  </si>
  <si>
    <t>BM2</t>
    <phoneticPr fontId="54" type="noConversion"/>
  </si>
  <si>
    <t>BM1A</t>
  </si>
  <si>
    <t>Prepaid amount for BM1A</t>
    <phoneticPr fontId="54" type="noConversion"/>
  </si>
  <si>
    <t xml:space="preserve">Total Balance </t>
    <phoneticPr fontId="54" type="noConversion"/>
  </si>
  <si>
    <t>Total</t>
    <phoneticPr fontId="5" type="noConversion"/>
  </si>
  <si>
    <t>UPG#9</t>
    <phoneticPr fontId="21" type="noConversion"/>
  </si>
  <si>
    <t>UPG#9 (Surplus)</t>
    <phoneticPr fontId="21" type="noConversion"/>
  </si>
  <si>
    <t>UPG#10</t>
    <phoneticPr fontId="21" type="noConversion"/>
  </si>
  <si>
    <t>UPG#11</t>
    <phoneticPr fontId="21" type="noConversion"/>
  </si>
  <si>
    <t>UPG#12</t>
    <phoneticPr fontId="21" type="noConversion"/>
  </si>
  <si>
    <t>製票年度</t>
  </si>
  <si>
    <t>機構代號</t>
  </si>
  <si>
    <t>傳票種類</t>
  </si>
  <si>
    <t>製票編號</t>
  </si>
  <si>
    <t>列帳編號</t>
  </si>
  <si>
    <t>列帳年度</t>
  </si>
  <si>
    <t>列帳月份</t>
  </si>
  <si>
    <t>列帳日</t>
  </si>
  <si>
    <t>總帳</t>
  </si>
  <si>
    <t>明細帳</t>
  </si>
  <si>
    <t>輔助帳號</t>
  </si>
  <si>
    <t>金額</t>
  </si>
  <si>
    <t>借貸別</t>
  </si>
  <si>
    <t>科目補充說明</t>
  </si>
  <si>
    <t>外幣別</t>
  </si>
  <si>
    <t>外幣金額</t>
  </si>
  <si>
    <t>利息收入</t>
    <phoneticPr fontId="21" type="noConversion"/>
  </si>
  <si>
    <t>收</t>
    <phoneticPr fontId="21" type="noConversion"/>
  </si>
  <si>
    <t>付</t>
    <phoneticPr fontId="21" type="noConversion"/>
  </si>
  <si>
    <t>摘要內容</t>
  </si>
  <si>
    <t>會計經辦</t>
  </si>
  <si>
    <t>淨額</t>
  </si>
  <si>
    <t>會計項目</t>
  </si>
  <si>
    <t>6060</t>
  </si>
  <si>
    <t>4</t>
  </si>
  <si>
    <t>2145</t>
  </si>
  <si>
    <t xml:space="preserve">80A  </t>
  </si>
  <si>
    <t xml:space="preserve">TPE-2     </t>
  </si>
  <si>
    <t xml:space="preserve"> </t>
  </si>
  <si>
    <t xml:space="preserve">                                                                    </t>
  </si>
  <si>
    <t xml:space="preserve">US$  </t>
  </si>
  <si>
    <t xml:space="preserve">電匯VERIZON TPE海纜 UPG#7 NOC 工程代收款    </t>
  </si>
  <si>
    <t>閔秀英　</t>
  </si>
  <si>
    <t xml:space="preserve">應付代收款－代收TPE#2海纜建設專款                                                                                       </t>
  </si>
  <si>
    <t xml:space="preserve">RATE12    </t>
  </si>
  <si>
    <t>-</t>
  </si>
  <si>
    <t xml:space="preserve">     </t>
  </si>
  <si>
    <t xml:space="preserve">迴轉TPE/TSE-1/NCP/CSCN/SJC2 海纜帳戶評價調整  </t>
  </si>
  <si>
    <t xml:space="preserve">AT&amp;T US$41,138.98(手續費US$16)                                    </t>
  </si>
  <si>
    <t xml:space="preserve">代收TPE UPG#7  USD$41,138.98-AT&amp;T               </t>
  </si>
  <si>
    <t xml:space="preserve">KT US$103,636.97(手續費US$5.03)                                   </t>
  </si>
  <si>
    <t xml:space="preserve">代收TPE UPG#8 BM0 USD$103,636.97-KT             </t>
  </si>
  <si>
    <t xml:space="preserve">RATE01    </t>
  </si>
  <si>
    <t xml:space="preserve">TPE/TSE-1/NCP/CSCN/SJC2 海纜帳戶評價調整        </t>
  </si>
  <si>
    <t xml:space="preserve">電匯 CIENA JAPAN  TPE/UPG#7 BM2~3 工程代收款  </t>
  </si>
  <si>
    <t>電匯CIENA US TPE/UPG7/BM2~3 UPG#8BM0工程代收款</t>
  </si>
  <si>
    <t>電匯 CHT TPE海纜UPG#7/BM2UPG#8/BM0作業手續費</t>
  </si>
  <si>
    <t xml:space="preserve">RATE02    </t>
  </si>
  <si>
    <t xml:space="preserve">RATE03    </t>
  </si>
  <si>
    <t xml:space="preserve">回轉TPE/TSE-1/NCP/CSCN/SJC2 海纜帳戶評價調整  </t>
  </si>
  <si>
    <t xml:space="preserve">RATE04    </t>
  </si>
  <si>
    <t xml:space="preserve">KT US$107,698.42(手續費US$5.04)                                   </t>
  </si>
  <si>
    <t xml:space="preserve">代收TPE  UPGRADE#8 BM2/BM3 款 -KT             </t>
  </si>
  <si>
    <t xml:space="preserve">電匯CIENA  TPE/UPG#8 BM2~BM3工程代收款        </t>
  </si>
  <si>
    <t xml:space="preserve">RATE05    </t>
  </si>
  <si>
    <t xml:space="preserve">代收TPE UPG CBP利息收入(616.82)               </t>
  </si>
  <si>
    <t xml:space="preserve">KT US$47,966.64(手續費US$5.20)                                    </t>
  </si>
  <si>
    <t xml:space="preserve">代收TPE 海纜 UPGRADE#9 工程款-KT            </t>
  </si>
  <si>
    <t xml:space="preserve">KT US$391,519.13(手續費US$5.22)                                   </t>
  </si>
  <si>
    <t xml:space="preserve">代收TPE UPG CBP利息收入(139.93)               </t>
  </si>
  <si>
    <t>BM0-BM3</t>
    <phoneticPr fontId="21" type="noConversion"/>
  </si>
  <si>
    <t xml:space="preserve">電匯CIENA US TPE海纜 UPG#9/BM0~3 工程代收款 </t>
  </si>
  <si>
    <t>電匯CIENA JAPAN TPE海纜UPG#9 BM0~3工程代收款</t>
  </si>
  <si>
    <t xml:space="preserve">電匯 CHT TPE海纜UPG#9/BM0~3作業手續費       </t>
  </si>
  <si>
    <t xml:space="preserve">AT&amp;T US$39,892.13(手續費US$16.27)                                 </t>
  </si>
  <si>
    <t xml:space="preserve">代收TPE 海纜 UPGRADE#9 BM0 工程款-AT&amp;T      </t>
  </si>
  <si>
    <t xml:space="preserve">KT US$60,760.39(手續費US$5.38)                                    </t>
  </si>
  <si>
    <t xml:space="preserve">代收TPE  UPGRADE#10 BM0款 -KT                 </t>
  </si>
  <si>
    <t xml:space="preserve">代收TPE UPG CBP利息收入(136.29)               </t>
  </si>
  <si>
    <t xml:space="preserve">CU US$48,514.84(手續費US$30.39)                                   </t>
  </si>
  <si>
    <t xml:space="preserve">代收TPE  UPGRADE#10 BM0款 -CU                 </t>
  </si>
  <si>
    <t xml:space="preserve">CIENA日本US$3,179                                                 </t>
  </si>
  <si>
    <t>BM0</t>
    <phoneticPr fontId="21" type="noConversion"/>
  </si>
  <si>
    <t xml:space="preserve">電匯 CIENA JAPAN  TPE/UPG#10 BM0 工程代收款   </t>
  </si>
  <si>
    <t xml:space="preserve">電匯CIENA US TPE/UPG#10/BM0 工程代收款        </t>
  </si>
  <si>
    <t xml:space="preserve">                                                                  </t>
    <phoneticPr fontId="5" type="noConversion"/>
  </si>
  <si>
    <r>
      <rPr>
        <sz val="10"/>
        <color rgb="FF000000"/>
        <rFont val="細明體"/>
        <family val="3"/>
        <charset val="136"/>
      </rPr>
      <t>電匯</t>
    </r>
    <r>
      <rPr>
        <sz val="10"/>
        <color rgb="FF000000"/>
        <rFont val="中華電信列印明體"/>
        <family val="2"/>
      </rPr>
      <t xml:space="preserve"> CHT TPE</t>
    </r>
    <r>
      <rPr>
        <sz val="10"/>
        <color rgb="FF000000"/>
        <rFont val="細明體"/>
        <family val="3"/>
        <charset val="136"/>
      </rPr>
      <t>海纜</t>
    </r>
    <r>
      <rPr>
        <sz val="10"/>
        <color rgb="FF000000"/>
        <rFont val="中華電信列印明體"/>
        <family val="2"/>
      </rPr>
      <t>UPG#10/BM0</t>
    </r>
    <r>
      <rPr>
        <sz val="10"/>
        <color rgb="FF000000"/>
        <rFont val="細明體"/>
        <family val="3"/>
        <charset val="136"/>
      </rPr>
      <t>作業手續費</t>
    </r>
    <r>
      <rPr>
        <sz val="10"/>
        <color rgb="FF000000"/>
        <rFont val="中華電信列印明體"/>
        <family val="2"/>
      </rPr>
      <t xml:space="preserve">        </t>
    </r>
    <phoneticPr fontId="21" type="noConversion"/>
  </si>
  <si>
    <r>
      <t>KT US$234,149.65(</t>
    </r>
    <r>
      <rPr>
        <sz val="10"/>
        <color rgb="FF000000"/>
        <rFont val="細明體"/>
        <family val="3"/>
        <charset val="136"/>
      </rPr>
      <t>手續費</t>
    </r>
    <r>
      <rPr>
        <sz val="10"/>
        <color rgb="FF000000"/>
        <rFont val="中華電信列印明體"/>
        <family val="2"/>
      </rPr>
      <t xml:space="preserve">US$5.39)                                   </t>
    </r>
    <phoneticPr fontId="5" type="noConversion"/>
  </si>
  <si>
    <t xml:space="preserve">代收TPE UPG#10 BM1 USD$234,149.65-KT            </t>
  </si>
  <si>
    <t xml:space="preserve">CU US$186,202.10(手續費US$15.39)                                  </t>
  </si>
  <si>
    <t xml:space="preserve">代收TPE UPG#10 BM1 USD$186,202.10-CU            </t>
  </si>
  <si>
    <t xml:space="preserve">CIENA US US$400,528                                                 </t>
  </si>
  <si>
    <t>BM1</t>
    <phoneticPr fontId="21" type="noConversion"/>
  </si>
  <si>
    <t xml:space="preserve">電匯CIENA US TPE/UPG#10/BM1 工程代收款        </t>
  </si>
  <si>
    <t xml:space="preserve">CIENA日本US$13,808.76                                             </t>
  </si>
  <si>
    <t xml:space="preserve">電匯 CIENA JAPAN  TPE/UPG#10 BM1 工程代收款   </t>
  </si>
  <si>
    <t xml:space="preserve">CHT US$6000                                                         </t>
  </si>
  <si>
    <t xml:space="preserve">電匯 CHT TPE海纜UPG#10/BM1作業手續費        </t>
  </si>
  <si>
    <t xml:space="preserve">KT US$233,056.88(手續費US$5.41)                                   </t>
  </si>
  <si>
    <t xml:space="preserve">代收TPE  UPGRADE#10 BM2款 -KT                 </t>
  </si>
  <si>
    <t xml:space="preserve">CU US$186,187.08(手續費US$15.41)                                  </t>
  </si>
  <si>
    <t xml:space="preserve">代收TPE  UPGRADE#10 BM2款 -CU                 </t>
  </si>
  <si>
    <t xml:space="preserve">CIENA US US$400,528 TPE#10 BM2                                      </t>
  </si>
  <si>
    <t>BM2</t>
    <phoneticPr fontId="21" type="noConversion"/>
  </si>
  <si>
    <t xml:space="preserve">電匯CIENA US TPE/UPG#10/BM2 工程代收款        </t>
  </si>
  <si>
    <t xml:space="preserve">CIENA日本US$12,716 TPE#10 BM2                                     </t>
  </si>
  <si>
    <t xml:space="preserve">電匯 CIENA JAPAN  TPE/UPG#10 BM2 工程代收款   </t>
  </si>
  <si>
    <t xml:space="preserve">CHT US$6000 TPE UPG#10 BM2                                          </t>
  </si>
  <si>
    <t xml:space="preserve">電匯 CHT TPE海纜UPG#10/BM2作業手續費        </t>
  </si>
  <si>
    <t xml:space="preserve">代收TPE UPG CBP利息收入(75.13)                </t>
  </si>
  <si>
    <t xml:space="preserve">KT US$60,771.14(手續費US$5.41)                                    </t>
  </si>
  <si>
    <t xml:space="preserve">代收TPE  UPGRADE#10 PROFORMA INVOICE款 -KT    </t>
  </si>
  <si>
    <t xml:space="preserve">CU US$22,070.48                                                     </t>
  </si>
  <si>
    <t xml:space="preserve">代收TPE  UPGRADE#10 BM3款 -CU                 </t>
  </si>
  <si>
    <t>D&amp;T</t>
  </si>
  <si>
    <t xml:space="preserve">電匯CIENA US TPE海纜 UPG#10/BM3 工程代收款  </t>
  </si>
  <si>
    <t xml:space="preserve">電匯 CHT TPE海纜UPG#10/BM3作業手續費        </t>
  </si>
  <si>
    <t xml:space="preserve">KT US$9,931.50                                                      </t>
  </si>
  <si>
    <t xml:space="preserve">代收TPE  UPGRADE#11 BM0款 -KT                 </t>
  </si>
  <si>
    <t xml:space="preserve">代收TPE UPG CBP利息收入(213.24)               </t>
  </si>
  <si>
    <t xml:space="preserve">CU US$29,794.92(手續費US15.08)                                    </t>
  </si>
  <si>
    <t xml:space="preserve">代收TPE  UPGRADE#11 BM0款 -CU US$29,794.92    </t>
  </si>
  <si>
    <t xml:space="preserve">CU US$19,858.28(手續費US15.05)                                    </t>
  </si>
  <si>
    <t xml:space="preserve">代收TPE  UPGRADE#11 BM0款 -CT US$19,858.28    </t>
  </si>
  <si>
    <t xml:space="preserve">電匯CIENA US TPE海纜 UPG#11/BM0 工程代收款  </t>
  </si>
  <si>
    <t xml:space="preserve">電匯CIENA JAPAN TPE海纜UPG#11 BM0工程代收款 </t>
  </si>
  <si>
    <t xml:space="preserve">電匯 CHT TPE海纜UPG#11/BM0作業手續費        </t>
  </si>
  <si>
    <t xml:space="preserve">KT US$90,563.02(手續費剩餘US0.085)                                </t>
  </si>
  <si>
    <t>代收TPE  UPGRADE#11 BM1預收款 -KT US$90,563.02</t>
  </si>
  <si>
    <t>Diff</t>
    <phoneticPr fontId="21" type="noConversion"/>
  </si>
  <si>
    <t>收</t>
    <phoneticPr fontId="5" type="noConversion"/>
  </si>
  <si>
    <t>付</t>
    <phoneticPr fontId="5" type="noConversion"/>
  </si>
  <si>
    <t>Ciena's Invoices</t>
    <phoneticPr fontId="5" type="noConversion"/>
  </si>
  <si>
    <t>Japan tax</t>
    <phoneticPr fontId="5" type="noConversion"/>
  </si>
  <si>
    <t>Sub-Total</t>
    <phoneticPr fontId="5" type="noConversion"/>
  </si>
  <si>
    <t>[Unit: USD]</t>
  </si>
  <si>
    <t>Percentage</t>
  </si>
  <si>
    <t>Forecasted Month of Billing</t>
  </si>
  <si>
    <t>Supply Contract Cost</t>
  </si>
  <si>
    <t>Non-supply Contract Cost (Duty, tax etc..)</t>
    <phoneticPr fontId="43" type="noConversion"/>
  </si>
  <si>
    <t>Total</t>
  </si>
  <si>
    <t>Surplus Upgrade</t>
  </si>
  <si>
    <t>PC20</t>
    <phoneticPr fontId="43" type="noConversion"/>
  </si>
  <si>
    <t xml:space="preserve">BM1 </t>
  </si>
  <si>
    <t>BM3</t>
    <phoneticPr fontId="43" type="noConversion"/>
  </si>
  <si>
    <t>D&amp;T</t>
    <phoneticPr fontId="47" type="noConversion"/>
  </si>
  <si>
    <t>UPG#11</t>
    <phoneticPr fontId="43" type="noConversion"/>
  </si>
  <si>
    <t>2022.03 (BM0)</t>
    <phoneticPr fontId="43" type="noConversion"/>
  </si>
  <si>
    <t>2022_11 (BM1)</t>
    <phoneticPr fontId="43" type="noConversion"/>
  </si>
  <si>
    <t>2022_07 (BM2)</t>
    <phoneticPr fontId="43" type="noConversion"/>
  </si>
  <si>
    <t>2022_07 (BM3)</t>
    <phoneticPr fontId="43" type="noConversion"/>
  </si>
  <si>
    <t>2022_xx (D&amp;T, etc)</t>
    <phoneticPr fontId="49" type="noConversion"/>
  </si>
  <si>
    <t>No.</t>
  </si>
  <si>
    <t>Liability_v1
(In Percentage)</t>
  </si>
  <si>
    <t>BM0 (SC Cost)</t>
    <phoneticPr fontId="43" type="noConversion"/>
  </si>
  <si>
    <t>BM0 (NSC Cost)</t>
    <phoneticPr fontId="43" type="noConversion"/>
  </si>
  <si>
    <t>CBP</t>
  </si>
  <si>
    <t>Sub-total</t>
  </si>
  <si>
    <t>BM1 (SC Cost)</t>
    <phoneticPr fontId="43" type="noConversion"/>
  </si>
  <si>
    <t>BM1 (NSC Cost)</t>
    <phoneticPr fontId="43" type="noConversion"/>
  </si>
  <si>
    <t>CBP</t>
    <phoneticPr fontId="43" type="noConversion"/>
  </si>
  <si>
    <t>BM2 (SC Cost)</t>
    <phoneticPr fontId="43" type="noConversion"/>
  </si>
  <si>
    <t>BM2 (NSC Cost)</t>
    <phoneticPr fontId="43" type="noConversion"/>
  </si>
  <si>
    <t>BM3 (SC Cost)</t>
    <phoneticPr fontId="43" type="noConversion"/>
  </si>
  <si>
    <t>BM3 (NSC Cost)</t>
    <phoneticPr fontId="43" type="noConversion"/>
  </si>
  <si>
    <t>D&amp;T, etc.</t>
  </si>
  <si>
    <t>CBP</t>
    <phoneticPr fontId="51" type="noConversion"/>
  </si>
  <si>
    <t>CT</t>
    <phoneticPr fontId="47" type="noConversion"/>
  </si>
  <si>
    <t>CU</t>
    <phoneticPr fontId="47" type="noConversion"/>
  </si>
  <si>
    <t>CHT</t>
    <phoneticPr fontId="47" type="noConversion"/>
  </si>
  <si>
    <t>NTT-LJ</t>
    <phoneticPr fontId="47" type="noConversion"/>
  </si>
  <si>
    <t>KT</t>
    <phoneticPr fontId="47" type="noConversion"/>
  </si>
  <si>
    <t>Verizoon</t>
    <phoneticPr fontId="47" type="noConversion"/>
  </si>
  <si>
    <t>AT&amp;T</t>
    <phoneticPr fontId="47" type="noConversion"/>
  </si>
  <si>
    <t>UPG#11 BM1~2</t>
    <phoneticPr fontId="5" type="noConversion"/>
  </si>
  <si>
    <t>KT's Proforma Invoice for BM1~3</t>
    <phoneticPr fontId="54" type="noConversion"/>
  </si>
  <si>
    <t>KT's invoice Balance Amount</t>
    <phoneticPr fontId="54" type="noConversion"/>
  </si>
  <si>
    <t>Party</t>
    <phoneticPr fontId="21" type="noConversion"/>
  </si>
  <si>
    <t>Company Name</t>
    <phoneticPr fontId="54" type="noConversion"/>
  </si>
  <si>
    <t>ATTN</t>
    <phoneticPr fontId="54" type="noConversion"/>
  </si>
  <si>
    <t>ADDR</t>
    <phoneticPr fontId="54" type="noConversion"/>
  </si>
  <si>
    <t>E-mail</t>
    <phoneticPr fontId="54" type="noConversion"/>
  </si>
  <si>
    <t>Tel</t>
    <phoneticPr fontId="54" type="noConversion"/>
  </si>
  <si>
    <t>NTT-LJ</t>
    <phoneticPr fontId="54" type="noConversion"/>
  </si>
  <si>
    <t>NTT Ltd Japan Corporation</t>
    <phoneticPr fontId="54" type="noConversion"/>
  </si>
  <si>
    <t>Mr. Takuto Nishi
Mr. Yuichi Sugita</t>
    <phoneticPr fontId="54" type="noConversion"/>
  </si>
  <si>
    <t>OTEMACHI PLACE WEST TOWER, 2-3-1
Otemachi Chiyoda-ku, Tokyo, 100-0004, Japan</t>
    <phoneticPr fontId="54" type="noConversion"/>
  </si>
  <si>
    <t>t.nishi@ntt.com
yuichi.sugita@ntt.com</t>
    <phoneticPr fontId="54" type="noConversion"/>
  </si>
  <si>
    <t>KT</t>
    <phoneticPr fontId="54" type="noConversion"/>
  </si>
  <si>
    <t>KT Corporation
Global Network Planning Unit</t>
    <phoneticPr fontId="54" type="noConversion"/>
  </si>
  <si>
    <r>
      <t>Seungdeok Han (</t>
    </r>
    <r>
      <rPr>
        <sz val="12"/>
        <rFont val="Malgun Gothic Semilight"/>
        <family val="2"/>
        <charset val="136"/>
      </rPr>
      <t>한승덕</t>
    </r>
    <r>
      <rPr>
        <sz val="12"/>
        <rFont val="Arial"/>
        <family val="2"/>
      </rPr>
      <t>)</t>
    </r>
    <phoneticPr fontId="54" type="noConversion"/>
  </si>
  <si>
    <t>65, Daehak-ro, Jongno-gu, Seoul, Korea</t>
    <phoneticPr fontId="54" type="noConversion"/>
  </si>
  <si>
    <t>seungdeok.han@kt.com</t>
    <phoneticPr fontId="54" type="noConversion"/>
  </si>
  <si>
    <t>Tel.: +82-10-7300-5034</t>
    <phoneticPr fontId="54" type="noConversion"/>
  </si>
  <si>
    <t>CU</t>
    <phoneticPr fontId="54" type="noConversion"/>
  </si>
  <si>
    <t>China United Network Communications
Group Company Limited, International Dept.</t>
    <phoneticPr fontId="54" type="noConversion"/>
  </si>
  <si>
    <t>Mr. Wang Kai</t>
    <phoneticPr fontId="54" type="noConversion"/>
  </si>
  <si>
    <t>No 21 Jinrong St., Xicheng District, Beijing 100033</t>
    <phoneticPr fontId="54" type="noConversion"/>
  </si>
  <si>
    <t>wangkai@chinaunicom.cn</t>
    <phoneticPr fontId="54" type="noConversion"/>
  </si>
  <si>
    <t>Tel.: +86-10-66259017
        +86-15611112768</t>
    <phoneticPr fontId="54" type="noConversion"/>
  </si>
  <si>
    <t>CT</t>
    <phoneticPr fontId="54" type="noConversion"/>
  </si>
  <si>
    <t>China Telecom Corporations 
Network Planning and Construction Department</t>
    <phoneticPr fontId="54" type="noConversion"/>
  </si>
  <si>
    <t>Mr. Pengkui  Chu</t>
    <phoneticPr fontId="54" type="noConversion"/>
  </si>
  <si>
    <t xml:space="preserve">No. 19 Chaoyangmen Beidajie, Beijing, 100010 </t>
    <phoneticPr fontId="54" type="noConversion"/>
  </si>
  <si>
    <t>chupk@chinatelecomglobal.com</t>
    <phoneticPr fontId="54" type="noConversion"/>
  </si>
  <si>
    <t>Tel: +86-10-59501081</t>
    <phoneticPr fontId="54" type="noConversion"/>
  </si>
  <si>
    <t>會員帳單明細與付款資訊</t>
    <phoneticPr fontId="5" type="noConversion"/>
  </si>
  <si>
    <t>TPEUPG12-KT-01A1205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</si>
</sst>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.00_);[Red]\(#,##0.00\)"/>
    <numFmt numFmtId="177" formatCode="0.0000000%"/>
    <numFmt numFmtId="178" formatCode="m&quot;月&quot;d&quot;日&quot;"/>
    <numFmt numFmtId="179" formatCode="#,##0.00_ "/>
    <numFmt numFmtId="180" formatCode="#,##0.000000000000_ "/>
    <numFmt numFmtId="181" formatCode="_(* #,##0.00_);_(* \(#,##0.00\);_(* &quot;-&quot;??_);_(@_)"/>
    <numFmt numFmtId="182" formatCode="_(* #,##0_);_(* \(#,##0\);_(* &quot;-&quot;??_);_(@_)"/>
    <numFmt numFmtId="183" formatCode="0.000000%"/>
    <numFmt numFmtId="184" formatCode="0.00000000%"/>
    <numFmt numFmtId="185" formatCode="_-&quot;₩&quot;* #,##0_-;\-&quot;₩&quot;* #,##0_-;_-&quot;₩&quot;* &quot;-&quot;_-;_-@_-"/>
    <numFmt numFmtId="186" formatCode="_-&quot;₩&quot;* #,##0.00000000_-;\-&quot;₩&quot;* #,##0.00000000_-;_-&quot;₩&quot;* &quot;-&quot;????????_-;_-@_-"/>
    <numFmt numFmtId="187" formatCode="[$-409]dd/mmm/yy;@"/>
    <numFmt numFmtId="188" formatCode="yy/dd"/>
    <numFmt numFmtId="189" formatCode="0.00000%"/>
  </numFmts>
  <fonts count="8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b/>
      <sz val="10.5"/>
      <color theme="1"/>
      <name val="Arial"/>
      <family val="2"/>
    </font>
    <font>
      <sz val="12"/>
      <color indexed="8"/>
      <name val="新細明體"/>
      <family val="1"/>
      <charset val="136"/>
    </font>
    <font>
      <sz val="10.5"/>
      <color theme="1"/>
      <name val="Arial"/>
      <family val="2"/>
    </font>
    <font>
      <sz val="10.5"/>
      <color theme="1"/>
      <name val="細明體"/>
      <family val="3"/>
      <charset val="136"/>
    </font>
    <font>
      <sz val="10.5"/>
      <color rgb="FFFF0000"/>
      <name val="Arial"/>
      <family val="2"/>
    </font>
    <font>
      <b/>
      <sz val="14.5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.5"/>
      <color rgb="FFFF0000"/>
      <name val="Arial"/>
      <family val="2"/>
    </font>
    <font>
      <sz val="10.5"/>
      <name val="Arial"/>
      <family val="2"/>
    </font>
    <font>
      <sz val="10.5"/>
      <color theme="0" tint="-0.499984740745262"/>
      <name val="Arial"/>
      <family val="2"/>
    </font>
    <font>
      <b/>
      <sz val="10.5"/>
      <color theme="0" tint="-0.499984740745262"/>
      <name val="Arial"/>
      <family val="2"/>
    </font>
    <font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000000"/>
      <name val="中華電信列印明體"/>
      <family val="2"/>
    </font>
    <font>
      <sz val="10"/>
      <name val="中華電信列印明體"/>
      <family val="2"/>
    </font>
    <font>
      <sz val="10"/>
      <color rgb="FF000000"/>
      <name val="細明體"/>
      <family val="3"/>
      <charset val="136"/>
    </font>
    <font>
      <b/>
      <sz val="10"/>
      <color rgb="FF000000"/>
      <name val="細明體"/>
      <family val="3"/>
      <charset val="136"/>
    </font>
    <font>
      <b/>
      <sz val="10"/>
      <color rgb="FF000000"/>
      <name val="中華電信列印明體"/>
      <family val="2"/>
    </font>
    <font>
      <sz val="10"/>
      <color rgb="FFFF0000"/>
      <name val="中華電信列印明體"/>
      <family val="2"/>
    </font>
    <font>
      <b/>
      <sz val="11"/>
      <color theme="1"/>
      <name val="微軟正黑體"/>
      <family val="2"/>
      <charset val="136"/>
    </font>
    <font>
      <b/>
      <sz val="10"/>
      <color rgb="FF000000"/>
      <name val="中華電信列印明體"/>
    </font>
    <font>
      <b/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0"/>
      <color theme="0" tint="-0.34998626667073579"/>
      <name val="微軟正黑體"/>
      <family val="2"/>
      <charset val="136"/>
    </font>
    <font>
      <b/>
      <sz val="10"/>
      <color theme="0" tint="-0.34998626667073579"/>
      <name val="中華電信列印明體"/>
    </font>
    <font>
      <b/>
      <sz val="10"/>
      <color theme="0" tint="-0.34998626667073579"/>
      <name val="中華電信列印明體"/>
      <family val="2"/>
    </font>
    <font>
      <b/>
      <sz val="14"/>
      <color theme="1"/>
      <name val="微軟正黑體"/>
      <family val="2"/>
      <charset val="136"/>
    </font>
    <font>
      <b/>
      <sz val="14"/>
      <name val="微軟正黑體"/>
      <family val="2"/>
      <charset val="136"/>
    </font>
    <font>
      <sz val="10"/>
      <color theme="1"/>
      <name val="新細明體"/>
      <family val="2"/>
      <scheme val="minor"/>
    </font>
    <font>
      <sz val="10"/>
      <name val="新細明體"/>
      <family val="2"/>
      <scheme val="minor"/>
    </font>
    <font>
      <sz val="11"/>
      <color theme="1"/>
      <name val="맑은 고딕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돋움"/>
      <family val="3"/>
      <charset val="129"/>
    </font>
    <font>
      <sz val="11"/>
      <name val="ＭＳ Ｐゴシック"/>
      <family val="3"/>
      <charset val="128"/>
    </font>
    <font>
      <sz val="10"/>
      <name val="CG Times"/>
      <family val="1"/>
    </font>
    <font>
      <sz val="10"/>
      <color indexed="8"/>
      <name val="Times New Roman"/>
      <family val="1"/>
    </font>
    <font>
      <sz val="8"/>
      <name val="新細明體"/>
      <family val="2"/>
      <charset val="129"/>
      <scheme val="minor"/>
    </font>
    <font>
      <b/>
      <sz val="12"/>
      <color rgb="FF000000"/>
      <name val="Arial"/>
      <family val="2"/>
    </font>
    <font>
      <sz val="8"/>
      <name val="新細明體"/>
      <family val="3"/>
      <charset val="129"/>
      <scheme val="minor"/>
    </font>
    <font>
      <b/>
      <sz val="12"/>
      <name val="Arial"/>
      <family val="2"/>
    </font>
    <font>
      <sz val="10"/>
      <name val="FuturaA Bk BT"/>
      <family val="1"/>
    </font>
    <font>
      <sz val="12"/>
      <name val="Arial"/>
      <family val="2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8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theme="1"/>
      <name val="Arial"/>
      <family val="2"/>
    </font>
    <font>
      <b/>
      <sz val="8"/>
      <color theme="1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Arial"/>
      <family val="2"/>
    </font>
    <font>
      <sz val="12"/>
      <name val="Malgun Gothic Semilight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Arial"/>
      <family val="2"/>
    </font>
    <font>
      <sz val="12"/>
      <color rgb="FF242424"/>
      <name val="Arial"/>
      <family val="2"/>
    </font>
    <font>
      <u/>
      <sz val="12"/>
      <color theme="10"/>
      <name val="Arial"/>
      <family val="2"/>
    </font>
    <font>
      <b/>
      <u/>
      <sz val="9"/>
      <color indexed="81"/>
      <name val="Tahoma"/>
      <family val="2"/>
    </font>
    <font>
      <b/>
      <sz val="9"/>
      <name val="Arial"/>
      <family val="2"/>
    </font>
    <font>
      <b/>
      <sz val="18"/>
      <name val="宋体"/>
      <family val="3"/>
      <charset val="136"/>
    </font>
    <font>
      <sz val="9"/>
      <name val="宋体"/>
      <charset val="136"/>
    </font>
    <font>
      <b/>
      <u/>
      <sz val="12"/>
      <color theme="1"/>
      <name val="Arial"/>
      <family val="2"/>
    </font>
    <font>
      <b/>
      <sz val="13"/>
      <name val="Arial"/>
      <family val="2"/>
    </font>
    <font>
      <b/>
      <sz val="13"/>
      <color theme="1"/>
      <name val="新細明體"/>
      <family val="1"/>
      <charset val="136"/>
      <scheme val="minor"/>
    </font>
    <font>
      <b/>
      <sz val="13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b/>
      <sz val="12"/>
      <color rgb="FF0000FF"/>
      <name val="Arial"/>
      <family val="2"/>
    </font>
    <font>
      <b/>
      <sz val="14"/>
      <color rgb="FF0000FF"/>
      <name val="Arial"/>
      <family val="2"/>
    </font>
    <font>
      <sz val="12"/>
      <color rgb="FFFF0000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細明體"/>
      <family val="3"/>
      <charset val="136"/>
    </font>
    <font>
      <b/>
      <sz val="18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0" fillId="0" borderId="0"/>
    <xf numFmtId="40" fontId="44" fillId="0" borderId="0" applyFont="0" applyFill="0" applyBorder="0" applyAlignment="0" applyProtection="0">
      <alignment vertical="center"/>
    </xf>
    <xf numFmtId="0" fontId="45" fillId="0" borderId="0"/>
    <xf numFmtId="9" fontId="40" fillId="0" borderId="0" applyFont="0" applyFill="0" applyBorder="0" applyAlignment="0" applyProtection="0"/>
    <xf numFmtId="44" fontId="6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564">
    <xf numFmtId="0" fontId="0" fillId="0" borderId="0" xfId="0">
      <alignment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3" fontId="11" fillId="0" borderId="0" xfId="1" applyFont="1" applyFill="1" applyAlignment="1">
      <alignment vertical="center"/>
    </xf>
    <xf numFmtId="43" fontId="11" fillId="2" borderId="0" xfId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43" fontId="8" fillId="0" borderId="0" xfId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3" fontId="8" fillId="0" borderId="0" xfId="1" applyFont="1" applyAlignment="1">
      <alignment horizontal="right" vertical="center"/>
    </xf>
    <xf numFmtId="177" fontId="8" fillId="0" borderId="0" xfId="2" applyNumberFormat="1" applyFont="1" applyAlignment="1">
      <alignment horizontal="right" vertical="center"/>
    </xf>
    <xf numFmtId="176" fontId="8" fillId="0" borderId="0" xfId="1" applyNumberFormat="1" applyFont="1" applyAlignment="1">
      <alignment horizontal="center" vertical="center"/>
    </xf>
    <xf numFmtId="43" fontId="8" fillId="0" borderId="0" xfId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43" fontId="6" fillId="0" borderId="0" xfId="1" applyFont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43" fontId="11" fillId="5" borderId="0" xfId="1" applyFont="1" applyFill="1" applyAlignment="1">
      <alignment vertical="center"/>
    </xf>
    <xf numFmtId="43" fontId="8" fillId="5" borderId="0" xfId="1" applyFont="1" applyFill="1" applyAlignment="1">
      <alignment horizontal="right" vertical="center"/>
    </xf>
    <xf numFmtId="0" fontId="8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6" borderId="12" xfId="0" applyNumberFormat="1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4" fontId="6" fillId="6" borderId="1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14" fillId="6" borderId="12" xfId="0" applyNumberFormat="1" applyFont="1" applyFill="1" applyBorder="1" applyAlignment="1">
      <alignment horizontal="center" vertical="center"/>
    </xf>
    <xf numFmtId="43" fontId="8" fillId="0" borderId="0" xfId="1" applyFont="1" applyAlignment="1">
      <alignment horizontal="left" vertical="center"/>
    </xf>
    <xf numFmtId="43" fontId="10" fillId="0" borderId="0" xfId="1" applyFont="1" applyAlignment="1">
      <alignment horizontal="left" vertical="center"/>
    </xf>
    <xf numFmtId="43" fontId="8" fillId="0" borderId="0" xfId="1" applyFont="1" applyFill="1" applyAlignment="1">
      <alignment horizontal="right" vertical="center"/>
    </xf>
    <xf numFmtId="43" fontId="8" fillId="0" borderId="0" xfId="1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43" fontId="8" fillId="0" borderId="0" xfId="1" applyFont="1" applyFill="1" applyBorder="1" applyAlignment="1">
      <alignment horizontal="right" vertical="center"/>
    </xf>
    <xf numFmtId="177" fontId="8" fillId="0" borderId="0" xfId="2" applyNumberFormat="1" applyFont="1" applyFill="1" applyBorder="1" applyAlignment="1">
      <alignment horizontal="right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79" fontId="8" fillId="0" borderId="0" xfId="0" applyNumberFormat="1" applyFont="1" applyAlignment="1">
      <alignment horizontal="left" vertical="center"/>
    </xf>
    <xf numFmtId="176" fontId="8" fillId="0" borderId="0" xfId="1" applyNumberFormat="1" applyFont="1" applyFill="1" applyBorder="1" applyAlignment="1">
      <alignment horizontal="righ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1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43" fontId="16" fillId="0" borderId="0" xfId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43" fontId="17" fillId="0" borderId="0" xfId="1" applyFont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176" fontId="11" fillId="5" borderId="0" xfId="1" applyNumberFormat="1" applyFont="1" applyFill="1" applyAlignment="1">
      <alignment vertical="center"/>
    </xf>
    <xf numFmtId="177" fontId="8" fillId="0" borderId="0" xfId="2" applyNumberFormat="1" applyFont="1" applyFill="1" applyAlignment="1">
      <alignment horizontal="right" vertical="center"/>
    </xf>
    <xf numFmtId="176" fontId="8" fillId="5" borderId="0" xfId="1" applyNumberFormat="1" applyFont="1" applyFill="1" applyAlignment="1">
      <alignment vertical="center"/>
    </xf>
    <xf numFmtId="176" fontId="8" fillId="5" borderId="0" xfId="0" applyNumberFormat="1" applyFont="1" applyFill="1" applyAlignment="1">
      <alignment horizontal="right" vertical="center"/>
    </xf>
    <xf numFmtId="43" fontId="6" fillId="5" borderId="0" xfId="1" applyFont="1" applyFill="1" applyBorder="1" applyAlignment="1">
      <alignment horizontal="center" vertical="center"/>
    </xf>
    <xf numFmtId="176" fontId="11" fillId="3" borderId="0" xfId="1" applyNumberFormat="1" applyFont="1" applyFill="1" applyAlignment="1">
      <alignment vertical="center"/>
    </xf>
    <xf numFmtId="176" fontId="8" fillId="6" borderId="9" xfId="1" applyNumberFormat="1" applyFont="1" applyFill="1" applyBorder="1" applyAlignment="1">
      <alignment horizontal="right" vertical="center"/>
    </xf>
    <xf numFmtId="176" fontId="8" fillId="6" borderId="15" xfId="1" applyNumberFormat="1" applyFont="1" applyFill="1" applyBorder="1" applyAlignment="1">
      <alignment horizontal="right" vertical="center"/>
    </xf>
    <xf numFmtId="176" fontId="8" fillId="6" borderId="14" xfId="1" applyNumberFormat="1" applyFont="1" applyFill="1" applyBorder="1" applyAlignment="1">
      <alignment horizontal="right" vertical="center"/>
    </xf>
    <xf numFmtId="176" fontId="8" fillId="5" borderId="0" xfId="1" applyNumberFormat="1" applyFont="1" applyFill="1" applyAlignment="1">
      <alignment horizontal="right" vertical="center"/>
    </xf>
    <xf numFmtId="176" fontId="8" fillId="6" borderId="0" xfId="1" applyNumberFormat="1" applyFont="1" applyFill="1" applyBorder="1" applyAlignment="1">
      <alignment horizontal="right" vertical="center"/>
    </xf>
    <xf numFmtId="176" fontId="11" fillId="7" borderId="0" xfId="1" applyNumberFormat="1" applyFont="1" applyFill="1" applyAlignment="1">
      <alignment vertical="center"/>
    </xf>
    <xf numFmtId="176" fontId="6" fillId="6" borderId="0" xfId="1" applyNumberFormat="1" applyFont="1" applyFill="1" applyBorder="1" applyAlignment="1">
      <alignment horizontal="right" vertical="center"/>
    </xf>
    <xf numFmtId="176" fontId="11" fillId="2" borderId="0" xfId="1" applyNumberFormat="1" applyFont="1" applyFill="1" applyAlignment="1">
      <alignment vertical="center"/>
    </xf>
    <xf numFmtId="176" fontId="8" fillId="0" borderId="0" xfId="1" applyNumberFormat="1" applyFont="1" applyFill="1" applyAlignment="1">
      <alignment vertical="center"/>
    </xf>
    <xf numFmtId="176" fontId="11" fillId="0" borderId="0" xfId="1" applyNumberFormat="1" applyFont="1" applyFill="1" applyAlignment="1">
      <alignment vertical="center"/>
    </xf>
    <xf numFmtId="43" fontId="8" fillId="6" borderId="2" xfId="1" applyFont="1" applyFill="1" applyBorder="1" applyAlignment="1">
      <alignment horizontal="center" vertical="center"/>
    </xf>
    <xf numFmtId="0" fontId="18" fillId="0" borderId="0" xfId="3">
      <alignment vertical="center"/>
    </xf>
    <xf numFmtId="0" fontId="19" fillId="0" borderId="0" xfId="3" applyFont="1">
      <alignment vertical="center"/>
    </xf>
    <xf numFmtId="0" fontId="18" fillId="4" borderId="0" xfId="3" applyFill="1">
      <alignment vertical="center"/>
    </xf>
    <xf numFmtId="0" fontId="22" fillId="9" borderId="19" xfId="3" applyFont="1" applyFill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2" fillId="4" borderId="16" xfId="3" applyFont="1" applyFill="1" applyBorder="1" applyAlignment="1">
      <alignment horizontal="center" vertical="center" wrapText="1"/>
    </xf>
    <xf numFmtId="0" fontId="24" fillId="0" borderId="19" xfId="3" applyFont="1" applyBorder="1" applyAlignment="1">
      <alignment horizontal="center" vertical="center" wrapText="1"/>
    </xf>
    <xf numFmtId="0" fontId="25" fillId="5" borderId="19" xfId="3" applyFont="1" applyFill="1" applyBorder="1" applyAlignment="1">
      <alignment horizontal="center" vertical="center" wrapText="1"/>
    </xf>
    <xf numFmtId="0" fontId="25" fillId="0" borderId="19" xfId="3" applyFont="1" applyBorder="1" applyAlignment="1">
      <alignment horizontal="center" vertical="center" wrapText="1"/>
    </xf>
    <xf numFmtId="0" fontId="26" fillId="0" borderId="19" xfId="3" applyFont="1" applyBorder="1" applyAlignment="1">
      <alignment horizontal="center" vertical="center" wrapText="1"/>
    </xf>
    <xf numFmtId="3" fontId="22" fillId="10" borderId="19" xfId="3" applyNumberFormat="1" applyFont="1" applyFill="1" applyBorder="1" applyAlignment="1">
      <alignment horizontal="right" wrapText="1"/>
    </xf>
    <xf numFmtId="0" fontId="22" fillId="10" borderId="19" xfId="3" applyFont="1" applyFill="1" applyBorder="1" applyAlignment="1">
      <alignment horizontal="left" wrapText="1"/>
    </xf>
    <xf numFmtId="3" fontId="23" fillId="10" borderId="19" xfId="3" applyNumberFormat="1" applyFont="1" applyFill="1" applyBorder="1" applyAlignment="1">
      <alignment horizontal="right" wrapText="1"/>
    </xf>
    <xf numFmtId="4" fontId="22" fillId="4" borderId="16" xfId="3" applyNumberFormat="1" applyFont="1" applyFill="1" applyBorder="1" applyAlignment="1">
      <alignment horizontal="right" wrapText="1"/>
    </xf>
    <xf numFmtId="4" fontId="22" fillId="10" borderId="19" xfId="3" applyNumberFormat="1" applyFont="1" applyFill="1" applyBorder="1" applyAlignment="1">
      <alignment horizontal="right" wrapText="1"/>
    </xf>
    <xf numFmtId="4" fontId="22" fillId="0" borderId="19" xfId="3" applyNumberFormat="1" applyFont="1" applyBorder="1" applyAlignment="1">
      <alignment horizontal="right" wrapText="1"/>
    </xf>
    <xf numFmtId="0" fontId="22" fillId="10" borderId="19" xfId="3" applyFont="1" applyFill="1" applyBorder="1" applyAlignment="1">
      <alignment horizontal="left"/>
    </xf>
    <xf numFmtId="0" fontId="18" fillId="10" borderId="0" xfId="3" applyFill="1">
      <alignment vertical="center"/>
    </xf>
    <xf numFmtId="3" fontId="22" fillId="9" borderId="19" xfId="3" applyNumberFormat="1" applyFont="1" applyFill="1" applyBorder="1" applyAlignment="1">
      <alignment horizontal="right" wrapText="1"/>
    </xf>
    <xf numFmtId="0" fontId="22" fillId="9" borderId="19" xfId="3" applyFont="1" applyFill="1" applyBorder="1" applyAlignment="1">
      <alignment horizontal="left" wrapText="1"/>
    </xf>
    <xf numFmtId="3" fontId="23" fillId="0" borderId="19" xfId="3" applyNumberFormat="1" applyFont="1" applyBorder="1" applyAlignment="1">
      <alignment horizontal="right" wrapText="1"/>
    </xf>
    <xf numFmtId="0" fontId="22" fillId="0" borderId="19" xfId="3" applyFont="1" applyBorder="1" applyAlignment="1">
      <alignment horizontal="left" wrapText="1"/>
    </xf>
    <xf numFmtId="4" fontId="22" fillId="4" borderId="20" xfId="3" applyNumberFormat="1" applyFont="1" applyFill="1" applyBorder="1" applyAlignment="1">
      <alignment horizontal="right" wrapText="1"/>
    </xf>
    <xf numFmtId="0" fontId="22" fillId="9" borderId="19" xfId="3" applyFont="1" applyFill="1" applyBorder="1" applyAlignment="1">
      <alignment horizontal="left"/>
    </xf>
    <xf numFmtId="0" fontId="22" fillId="0" borderId="16" xfId="3" applyFont="1" applyBorder="1" applyAlignment="1">
      <alignment horizontal="left" wrapText="1"/>
    </xf>
    <xf numFmtId="4" fontId="22" fillId="4" borderId="2" xfId="3" applyNumberFormat="1" applyFont="1" applyFill="1" applyBorder="1" applyAlignment="1">
      <alignment horizontal="right" wrapText="1"/>
    </xf>
    <xf numFmtId="4" fontId="22" fillId="0" borderId="18" xfId="3" applyNumberFormat="1" applyFont="1" applyBorder="1" applyAlignment="1">
      <alignment horizontal="right" wrapText="1"/>
    </xf>
    <xf numFmtId="4" fontId="22" fillId="8" borderId="19" xfId="3" applyNumberFormat="1" applyFont="1" applyFill="1" applyBorder="1" applyAlignment="1">
      <alignment horizontal="right" wrapText="1"/>
    </xf>
    <xf numFmtId="4" fontId="22" fillId="2" borderId="19" xfId="3" applyNumberFormat="1" applyFont="1" applyFill="1" applyBorder="1" applyAlignment="1">
      <alignment horizontal="right" wrapText="1"/>
    </xf>
    <xf numFmtId="0" fontId="22" fillId="0" borderId="19" xfId="3" applyFont="1" applyBorder="1" applyAlignment="1">
      <alignment horizontal="left"/>
    </xf>
    <xf numFmtId="0" fontId="22" fillId="9" borderId="16" xfId="3" applyFont="1" applyFill="1" applyBorder="1" applyAlignment="1">
      <alignment horizontal="left" wrapText="1"/>
    </xf>
    <xf numFmtId="4" fontId="22" fillId="4" borderId="21" xfId="3" applyNumberFormat="1" applyFont="1" applyFill="1" applyBorder="1" applyAlignment="1">
      <alignment horizontal="right" wrapText="1"/>
    </xf>
    <xf numFmtId="4" fontId="23" fillId="4" borderId="20" xfId="3" applyNumberFormat="1" applyFont="1" applyFill="1" applyBorder="1" applyAlignment="1">
      <alignment horizontal="right" wrapText="1"/>
    </xf>
    <xf numFmtId="4" fontId="23" fillId="0" borderId="19" xfId="3" applyNumberFormat="1" applyFont="1" applyBorder="1" applyAlignment="1">
      <alignment horizontal="right" wrapText="1"/>
    </xf>
    <xf numFmtId="0" fontId="27" fillId="0" borderId="19" xfId="3" applyFont="1" applyBorder="1" applyAlignment="1">
      <alignment horizontal="left"/>
    </xf>
    <xf numFmtId="4" fontId="23" fillId="4" borderId="19" xfId="3" applyNumberFormat="1" applyFont="1" applyFill="1" applyBorder="1" applyAlignment="1">
      <alignment horizontal="right" wrapText="1"/>
    </xf>
    <xf numFmtId="0" fontId="27" fillId="0" borderId="18" xfId="3" applyFont="1" applyBorder="1" applyAlignment="1">
      <alignment horizontal="left"/>
    </xf>
    <xf numFmtId="4" fontId="28" fillId="4" borderId="0" xfId="3" applyNumberFormat="1" applyFont="1" applyFill="1">
      <alignment vertical="center"/>
    </xf>
    <xf numFmtId="4" fontId="29" fillId="2" borderId="19" xfId="3" applyNumberFormat="1" applyFont="1" applyFill="1" applyBorder="1" applyAlignment="1">
      <alignment horizontal="right" wrapText="1"/>
    </xf>
    <xf numFmtId="4" fontId="29" fillId="11" borderId="19" xfId="3" applyNumberFormat="1" applyFont="1" applyFill="1" applyBorder="1" applyAlignment="1">
      <alignment horizontal="right" wrapText="1"/>
    </xf>
    <xf numFmtId="4" fontId="29" fillId="0" borderId="19" xfId="3" applyNumberFormat="1" applyFont="1" applyBorder="1" applyAlignment="1">
      <alignment horizontal="right" wrapText="1"/>
    </xf>
    <xf numFmtId="43" fontId="0" fillId="0" borderId="0" xfId="1" applyFont="1">
      <alignment vertical="center"/>
    </xf>
    <xf numFmtId="43" fontId="30" fillId="0" borderId="0" xfId="1" applyFont="1" applyAlignment="1">
      <alignment horizontal="center" vertical="center"/>
    </xf>
    <xf numFmtId="43" fontId="30" fillId="0" borderId="0" xfId="1" applyFont="1">
      <alignment vertical="center"/>
    </xf>
    <xf numFmtId="43" fontId="30" fillId="11" borderId="0" xfId="1" applyFont="1" applyFill="1">
      <alignment vertical="center"/>
    </xf>
    <xf numFmtId="4" fontId="22" fillId="0" borderId="19" xfId="3" applyNumberFormat="1" applyFont="1" applyBorder="1" applyAlignment="1">
      <alignment horizontal="left"/>
    </xf>
    <xf numFmtId="180" fontId="18" fillId="0" borderId="0" xfId="3" applyNumberFormat="1">
      <alignment vertical="center"/>
    </xf>
    <xf numFmtId="0" fontId="8" fillId="12" borderId="0" xfId="0" applyFont="1" applyFill="1" applyAlignment="1">
      <alignment horizontal="center" vertical="center"/>
    </xf>
    <xf numFmtId="176" fontId="8" fillId="12" borderId="0" xfId="1" applyNumberFormat="1" applyFont="1" applyFill="1" applyAlignment="1">
      <alignment horizontal="center" vertical="center"/>
    </xf>
    <xf numFmtId="0" fontId="8" fillId="12" borderId="0" xfId="0" applyFont="1" applyFill="1" applyAlignment="1">
      <alignment horizontal="left" vertical="center"/>
    </xf>
    <xf numFmtId="49" fontId="8" fillId="12" borderId="2" xfId="1" applyNumberFormat="1" applyFont="1" applyFill="1" applyBorder="1" applyAlignment="1">
      <alignment horizontal="center" vertical="center"/>
    </xf>
    <xf numFmtId="43" fontId="8" fillId="12" borderId="2" xfId="1" applyFont="1" applyFill="1" applyBorder="1" applyAlignment="1">
      <alignment horizontal="righ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left" vertical="center"/>
    </xf>
    <xf numFmtId="177" fontId="8" fillId="12" borderId="2" xfId="2" applyNumberFormat="1" applyFont="1" applyFill="1" applyBorder="1" applyAlignment="1">
      <alignment horizontal="right" vertical="center"/>
    </xf>
    <xf numFmtId="14" fontId="8" fillId="12" borderId="2" xfId="0" applyNumberFormat="1" applyFont="1" applyFill="1" applyBorder="1" applyAlignment="1">
      <alignment horizontal="center" vertical="center"/>
    </xf>
    <xf numFmtId="43" fontId="8" fillId="12" borderId="2" xfId="1" applyFont="1" applyFill="1" applyBorder="1" applyAlignment="1">
      <alignment horizontal="center" vertical="center"/>
    </xf>
    <xf numFmtId="4" fontId="22" fillId="13" borderId="19" xfId="3" applyNumberFormat="1" applyFont="1" applyFill="1" applyBorder="1" applyAlignment="1">
      <alignment horizontal="right" wrapText="1"/>
    </xf>
    <xf numFmtId="4" fontId="27" fillId="13" borderId="19" xfId="3" applyNumberFormat="1" applyFont="1" applyFill="1" applyBorder="1" applyAlignment="1">
      <alignment horizontal="right" wrapText="1"/>
    </xf>
    <xf numFmtId="0" fontId="8" fillId="10" borderId="0" xfId="0" applyFont="1" applyFill="1" applyAlignment="1">
      <alignment horizontal="center" vertical="center"/>
    </xf>
    <xf numFmtId="176" fontId="8" fillId="10" borderId="0" xfId="1" applyNumberFormat="1" applyFont="1" applyFill="1" applyAlignment="1">
      <alignment horizontal="center" vertical="center"/>
    </xf>
    <xf numFmtId="49" fontId="8" fillId="10" borderId="2" xfId="1" applyNumberFormat="1" applyFont="1" applyFill="1" applyBorder="1" applyAlignment="1">
      <alignment horizontal="center" vertical="center"/>
    </xf>
    <xf numFmtId="43" fontId="8" fillId="10" borderId="2" xfId="1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left" vertical="center"/>
    </xf>
    <xf numFmtId="43" fontId="8" fillId="10" borderId="2" xfId="1" applyFont="1" applyFill="1" applyBorder="1" applyAlignment="1">
      <alignment horizontal="right" vertical="center"/>
    </xf>
    <xf numFmtId="177" fontId="8" fillId="10" borderId="2" xfId="2" applyNumberFormat="1" applyFont="1" applyFill="1" applyBorder="1" applyAlignment="1">
      <alignment horizontal="right" vertical="center"/>
    </xf>
    <xf numFmtId="14" fontId="8" fillId="10" borderId="2" xfId="0" applyNumberFormat="1" applyFont="1" applyFill="1" applyBorder="1" applyAlignment="1">
      <alignment horizontal="center" vertical="center"/>
    </xf>
    <xf numFmtId="43" fontId="8" fillId="10" borderId="2" xfId="1" applyFont="1" applyFill="1" applyBorder="1" applyAlignment="1">
      <alignment horizontal="center" vertical="center"/>
    </xf>
    <xf numFmtId="43" fontId="8" fillId="10" borderId="0" xfId="0" applyNumberFormat="1" applyFont="1" applyFill="1" applyAlignment="1">
      <alignment horizontal="center" vertical="center"/>
    </xf>
    <xf numFmtId="4" fontId="22" fillId="11" borderId="19" xfId="3" applyNumberFormat="1" applyFont="1" applyFill="1" applyBorder="1" applyAlignment="1">
      <alignment horizontal="right" wrapText="1"/>
    </xf>
    <xf numFmtId="43" fontId="8" fillId="6" borderId="2" xfId="1" applyFont="1" applyFill="1" applyBorder="1" applyAlignment="1">
      <alignment vertical="center"/>
    </xf>
    <xf numFmtId="49" fontId="8" fillId="6" borderId="2" xfId="1" applyNumberFormat="1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4" fontId="8" fillId="11" borderId="2" xfId="0" applyNumberFormat="1" applyFont="1" applyFill="1" applyBorder="1" applyAlignment="1">
      <alignment horizontal="left" vertical="center"/>
    </xf>
    <xf numFmtId="176" fontId="8" fillId="6" borderId="0" xfId="1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43" fontId="8" fillId="6" borderId="2" xfId="1" applyFont="1" applyFill="1" applyBorder="1" applyAlignment="1">
      <alignment horizontal="right" vertical="center"/>
    </xf>
    <xf numFmtId="177" fontId="8" fillId="6" borderId="2" xfId="2" applyNumberFormat="1" applyFont="1" applyFill="1" applyBorder="1" applyAlignment="1">
      <alignment horizontal="right" vertical="center"/>
    </xf>
    <xf numFmtId="0" fontId="8" fillId="6" borderId="2" xfId="0" applyFont="1" applyFill="1" applyBorder="1" applyAlignment="1">
      <alignment horizontal="center" vertical="center" wrapText="1"/>
    </xf>
    <xf numFmtId="4" fontId="27" fillId="0" borderId="19" xfId="3" applyNumberFormat="1" applyFont="1" applyBorder="1" applyAlignment="1">
      <alignment horizontal="right" wrapText="1"/>
    </xf>
    <xf numFmtId="4" fontId="33" fillId="0" borderId="0" xfId="3" applyNumberFormat="1" applyFont="1">
      <alignment vertical="center"/>
    </xf>
    <xf numFmtId="0" fontId="33" fillId="0" borderId="0" xfId="3" applyFont="1">
      <alignment vertical="center"/>
    </xf>
    <xf numFmtId="0" fontId="34" fillId="9" borderId="0" xfId="3" applyFont="1" applyFill="1" applyAlignment="1">
      <alignment horizontal="left" wrapText="1"/>
    </xf>
    <xf numFmtId="2" fontId="35" fillId="4" borderId="0" xfId="3" applyNumberFormat="1" applyFont="1" applyFill="1" applyAlignment="1">
      <alignment horizontal="right" wrapText="1"/>
    </xf>
    <xf numFmtId="0" fontId="36" fillId="0" borderId="0" xfId="3" applyFont="1">
      <alignment vertical="center"/>
    </xf>
    <xf numFmtId="4" fontId="36" fillId="0" borderId="0" xfId="3" applyNumberFormat="1" applyFont="1">
      <alignment vertical="center"/>
    </xf>
    <xf numFmtId="179" fontId="36" fillId="0" borderId="0" xfId="3" applyNumberFormat="1" applyFont="1">
      <alignment vertical="center"/>
    </xf>
    <xf numFmtId="0" fontId="36" fillId="0" borderId="0" xfId="3" applyFont="1" applyAlignment="1">
      <alignment horizontal="right" vertical="center" indent="1"/>
    </xf>
    <xf numFmtId="43" fontId="36" fillId="4" borderId="0" xfId="1" applyFont="1" applyFill="1">
      <alignment vertical="center"/>
    </xf>
    <xf numFmtId="0" fontId="38" fillId="0" borderId="0" xfId="3" applyFont="1">
      <alignment vertical="center"/>
    </xf>
    <xf numFmtId="0" fontId="39" fillId="0" borderId="0" xfId="3" applyFont="1">
      <alignment vertical="center"/>
    </xf>
    <xf numFmtId="4" fontId="22" fillId="4" borderId="19" xfId="3" applyNumberFormat="1" applyFont="1" applyFill="1" applyBorder="1" applyAlignment="1">
      <alignment horizontal="right" wrapText="1"/>
    </xf>
    <xf numFmtId="0" fontId="25" fillId="13" borderId="19" xfId="3" applyFont="1" applyFill="1" applyBorder="1" applyAlignment="1">
      <alignment horizontal="center" vertical="center" wrapText="1"/>
    </xf>
    <xf numFmtId="4" fontId="29" fillId="13" borderId="19" xfId="3" applyNumberFormat="1" applyFont="1" applyFill="1" applyBorder="1" applyAlignment="1">
      <alignment horizontal="right" wrapText="1"/>
    </xf>
    <xf numFmtId="0" fontId="25" fillId="0" borderId="19" xfId="3" applyFont="1" applyBorder="1" applyAlignment="1">
      <alignment horizontal="left" vertical="center" wrapText="1"/>
    </xf>
    <xf numFmtId="4" fontId="22" fillId="0" borderId="19" xfId="3" applyNumberFormat="1" applyFont="1" applyBorder="1" applyAlignment="1">
      <alignment horizontal="left" wrapText="1"/>
    </xf>
    <xf numFmtId="4" fontId="29" fillId="0" borderId="19" xfId="3" applyNumberFormat="1" applyFont="1" applyBorder="1" applyAlignment="1">
      <alignment horizontal="left" wrapText="1"/>
    </xf>
    <xf numFmtId="4" fontId="33" fillId="0" borderId="0" xfId="3" applyNumberFormat="1" applyFont="1" applyAlignment="1">
      <alignment horizontal="left" vertical="center"/>
    </xf>
    <xf numFmtId="0" fontId="36" fillId="0" borderId="0" xfId="3" applyFont="1" applyAlignment="1">
      <alignment horizontal="left" vertical="center"/>
    </xf>
    <xf numFmtId="0" fontId="18" fillId="0" borderId="0" xfId="3" applyAlignment="1">
      <alignment horizontal="left" vertical="center"/>
    </xf>
    <xf numFmtId="4" fontId="18" fillId="4" borderId="0" xfId="3" applyNumberFormat="1" applyFill="1">
      <alignment vertical="center"/>
    </xf>
    <xf numFmtId="4" fontId="22" fillId="10" borderId="16" xfId="3" applyNumberFormat="1" applyFont="1" applyFill="1" applyBorder="1" applyAlignment="1">
      <alignment horizontal="right" wrapText="1"/>
    </xf>
    <xf numFmtId="4" fontId="22" fillId="10" borderId="19" xfId="3" applyNumberFormat="1" applyFont="1" applyFill="1" applyBorder="1" applyAlignment="1">
      <alignment horizontal="left" wrapText="1"/>
    </xf>
    <xf numFmtId="0" fontId="27" fillId="10" borderId="19" xfId="3" applyFont="1" applyFill="1" applyBorder="1" applyAlignment="1">
      <alignment horizontal="left"/>
    </xf>
    <xf numFmtId="179" fontId="18" fillId="4" borderId="0" xfId="3" applyNumberFormat="1" applyFill="1">
      <alignment vertical="center"/>
    </xf>
    <xf numFmtId="0" fontId="41" fillId="0" borderId="0" xfId="4" applyFont="1"/>
    <xf numFmtId="0" fontId="40" fillId="0" borderId="0" xfId="4"/>
    <xf numFmtId="0" fontId="41" fillId="0" borderId="2" xfId="4" applyFont="1" applyBorder="1"/>
    <xf numFmtId="0" fontId="42" fillId="0" borderId="2" xfId="4" applyFont="1" applyBorder="1" applyAlignment="1">
      <alignment vertical="center" wrapText="1"/>
    </xf>
    <xf numFmtId="0" fontId="42" fillId="0" borderId="2" xfId="4" applyFont="1" applyBorder="1" applyAlignment="1">
      <alignment horizontal="center" vertical="center" wrapText="1"/>
    </xf>
    <xf numFmtId="0" fontId="42" fillId="0" borderId="2" xfId="4" applyFont="1" applyBorder="1"/>
    <xf numFmtId="9" fontId="42" fillId="0" borderId="2" xfId="4" applyNumberFormat="1" applyFont="1" applyBorder="1"/>
    <xf numFmtId="9" fontId="41" fillId="0" borderId="2" xfId="4" applyNumberFormat="1" applyFont="1" applyBorder="1"/>
    <xf numFmtId="181" fontId="42" fillId="0" borderId="2" xfId="5" applyNumberFormat="1" applyFont="1" applyBorder="1" applyAlignment="1"/>
    <xf numFmtId="181" fontId="42" fillId="0" borderId="2" xfId="5" applyNumberFormat="1" applyFont="1" applyBorder="1" applyAlignment="1">
      <alignment horizontal="left"/>
    </xf>
    <xf numFmtId="182" fontId="42" fillId="0" borderId="2" xfId="5" applyNumberFormat="1" applyFont="1" applyBorder="1" applyAlignment="1">
      <alignment horizontal="left"/>
    </xf>
    <xf numFmtId="0" fontId="42" fillId="0" borderId="0" xfId="4" applyFont="1"/>
    <xf numFmtId="183" fontId="46" fillId="15" borderId="2" xfId="6" applyNumberFormat="1" applyFont="1" applyFill="1" applyBorder="1" applyAlignment="1">
      <alignment horizontal="center" vertical="top" wrapText="1"/>
    </xf>
    <xf numFmtId="17" fontId="41" fillId="0" borderId="2" xfId="4" applyNumberFormat="1" applyFont="1" applyBorder="1"/>
    <xf numFmtId="181" fontId="41" fillId="0" borderId="2" xfId="5" applyNumberFormat="1" applyFont="1" applyFill="1" applyBorder="1" applyAlignment="1"/>
    <xf numFmtId="181" fontId="42" fillId="0" borderId="2" xfId="5" applyNumberFormat="1" applyFont="1" applyFill="1" applyBorder="1" applyAlignment="1">
      <alignment horizontal="left"/>
    </xf>
    <xf numFmtId="181" fontId="41" fillId="0" borderId="2" xfId="5" applyNumberFormat="1" applyFont="1" applyFill="1" applyBorder="1" applyAlignment="1">
      <alignment horizontal="left"/>
    </xf>
    <xf numFmtId="181" fontId="42" fillId="0" borderId="2" xfId="4" applyNumberFormat="1" applyFont="1" applyBorder="1" applyAlignment="1">
      <alignment horizontal="left"/>
    </xf>
    <xf numFmtId="182" fontId="41" fillId="0" borderId="2" xfId="5" applyNumberFormat="1" applyFont="1" applyFill="1" applyBorder="1" applyAlignment="1"/>
    <xf numFmtId="182" fontId="42" fillId="0" borderId="2" xfId="5" applyNumberFormat="1" applyFont="1" applyFill="1" applyBorder="1" applyAlignment="1"/>
    <xf numFmtId="37" fontId="42" fillId="0" borderId="2" xfId="4" applyNumberFormat="1" applyFont="1" applyBorder="1"/>
    <xf numFmtId="9" fontId="41" fillId="0" borderId="2" xfId="4" applyNumberFormat="1" applyFont="1" applyBorder="1" applyAlignment="1">
      <alignment horizontal="right"/>
    </xf>
    <xf numFmtId="182" fontId="41" fillId="0" borderId="2" xfId="5" applyNumberFormat="1" applyFont="1" applyBorder="1" applyAlignment="1"/>
    <xf numFmtId="182" fontId="42" fillId="0" borderId="2" xfId="5" applyNumberFormat="1" applyFont="1" applyBorder="1" applyAlignment="1"/>
    <xf numFmtId="37" fontId="41" fillId="0" borderId="0" xfId="4" applyNumberFormat="1" applyFont="1"/>
    <xf numFmtId="0" fontId="42" fillId="0" borderId="6" xfId="4" applyFont="1" applyBorder="1" applyAlignment="1">
      <alignment horizontal="center" vertical="center" wrapText="1"/>
    </xf>
    <xf numFmtId="0" fontId="50" fillId="0" borderId="2" xfId="4" applyFont="1" applyBorder="1" applyAlignment="1">
      <alignment horizontal="center" vertical="center"/>
    </xf>
    <xf numFmtId="0" fontId="50" fillId="0" borderId="2" xfId="4" applyFont="1" applyBorder="1" applyAlignment="1">
      <alignment horizontal="center" vertical="center" wrapText="1"/>
    </xf>
    <xf numFmtId="0" fontId="42" fillId="11" borderId="22" xfId="4" applyFont="1" applyFill="1" applyBorder="1" applyAlignment="1">
      <alignment horizontal="center" vertical="center" wrapText="1"/>
    </xf>
    <xf numFmtId="0" fontId="42" fillId="14" borderId="2" xfId="4" applyFont="1" applyFill="1" applyBorder="1" applyAlignment="1">
      <alignment horizontal="center" vertical="center"/>
    </xf>
    <xf numFmtId="0" fontId="42" fillId="2" borderId="2" xfId="4" applyFont="1" applyFill="1" applyBorder="1" applyAlignment="1">
      <alignment horizontal="center" vertical="center"/>
    </xf>
    <xf numFmtId="0" fontId="42" fillId="0" borderId="2" xfId="4" applyFont="1" applyBorder="1" applyAlignment="1">
      <alignment horizontal="center" vertical="center"/>
    </xf>
    <xf numFmtId="0" fontId="48" fillId="16" borderId="2" xfId="4" applyFont="1" applyFill="1" applyBorder="1" applyAlignment="1">
      <alignment horizontal="center" vertical="center"/>
    </xf>
    <xf numFmtId="0" fontId="41" fillId="0" borderId="2" xfId="4" applyFont="1" applyBorder="1" applyAlignment="1">
      <alignment horizontal="center"/>
    </xf>
    <xf numFmtId="184" fontId="42" fillId="11" borderId="2" xfId="7" applyNumberFormat="1" applyFont="1" applyFill="1" applyBorder="1" applyAlignment="1">
      <alignment horizontal="center"/>
    </xf>
    <xf numFmtId="40" fontId="41" fillId="14" borderId="2" xfId="5" applyFont="1" applyFill="1" applyBorder="1" applyAlignment="1"/>
    <xf numFmtId="40" fontId="42" fillId="14" borderId="2" xfId="5" applyFont="1" applyFill="1" applyBorder="1" applyAlignment="1"/>
    <xf numFmtId="40" fontId="41" fillId="2" borderId="2" xfId="5" applyFont="1" applyFill="1" applyBorder="1" applyAlignment="1"/>
    <xf numFmtId="40" fontId="42" fillId="2" borderId="2" xfId="5" applyFont="1" applyFill="1" applyBorder="1" applyAlignment="1"/>
    <xf numFmtId="40" fontId="41" fillId="0" borderId="2" xfId="5" applyFont="1" applyFill="1" applyBorder="1" applyAlignment="1"/>
    <xf numFmtId="40" fontId="42" fillId="0" borderId="2" xfId="5" applyFont="1" applyFill="1" applyBorder="1" applyAlignment="1"/>
    <xf numFmtId="40" fontId="48" fillId="16" borderId="2" xfId="5" applyFont="1" applyFill="1" applyBorder="1" applyAlignment="1"/>
    <xf numFmtId="40" fontId="52" fillId="14" borderId="2" xfId="5" applyFont="1" applyFill="1" applyBorder="1" applyAlignment="1"/>
    <xf numFmtId="0" fontId="41" fillId="17" borderId="2" xfId="4" applyFont="1" applyFill="1" applyBorder="1" applyAlignment="1">
      <alignment horizontal="center"/>
    </xf>
    <xf numFmtId="40" fontId="41" fillId="17" borderId="2" xfId="5" applyFont="1" applyFill="1" applyBorder="1" applyAlignment="1"/>
    <xf numFmtId="40" fontId="53" fillId="16" borderId="2" xfId="5" applyFont="1" applyFill="1" applyBorder="1" applyAlignment="1"/>
    <xf numFmtId="0" fontId="52" fillId="0" borderId="0" xfId="4" applyFont="1"/>
    <xf numFmtId="10" fontId="41" fillId="0" borderId="0" xfId="4" applyNumberFormat="1" applyFont="1"/>
    <xf numFmtId="185" fontId="41" fillId="0" borderId="0" xfId="4" applyNumberFormat="1" applyFont="1"/>
    <xf numFmtId="40" fontId="41" fillId="0" borderId="0" xfId="4" applyNumberFormat="1" applyFont="1"/>
    <xf numFmtId="186" fontId="41" fillId="0" borderId="0" xfId="4" applyNumberFormat="1" applyFont="1"/>
    <xf numFmtId="0" fontId="40" fillId="0" borderId="0" xfId="4" applyAlignment="1">
      <alignment horizontal="right"/>
    </xf>
    <xf numFmtId="0" fontId="41" fillId="4" borderId="0" xfId="4" applyFont="1" applyFill="1"/>
    <xf numFmtId="0" fontId="40" fillId="4" borderId="0" xfId="4" applyFill="1" applyAlignment="1">
      <alignment horizontal="right"/>
    </xf>
    <xf numFmtId="40" fontId="41" fillId="4" borderId="0" xfId="4" applyNumberFormat="1" applyFont="1" applyFill="1"/>
    <xf numFmtId="0" fontId="42" fillId="0" borderId="0" xfId="4" applyFont="1" applyAlignment="1">
      <alignment horizontal="right"/>
    </xf>
    <xf numFmtId="0" fontId="4" fillId="0" borderId="0" xfId="0" applyFont="1">
      <alignment vertical="center"/>
    </xf>
    <xf numFmtId="0" fontId="41" fillId="0" borderId="0" xfId="0" applyFont="1">
      <alignment vertical="center"/>
    </xf>
    <xf numFmtId="0" fontId="58" fillId="0" borderId="0" xfId="0" applyFont="1">
      <alignment vertical="center"/>
    </xf>
    <xf numFmtId="0" fontId="0" fillId="0" borderId="0" xfId="0" applyAlignment="1">
      <alignment horizontal="center" vertical="center"/>
    </xf>
    <xf numFmtId="0" fontId="60" fillId="0" borderId="0" xfId="0" applyFont="1">
      <alignment vertical="center"/>
    </xf>
    <xf numFmtId="0" fontId="30" fillId="0" borderId="0" xfId="0" applyFont="1">
      <alignment vertical="center"/>
    </xf>
    <xf numFmtId="0" fontId="42" fillId="0" borderId="2" xfId="0" applyFont="1" applyBorder="1" applyAlignment="1">
      <alignment horizontal="center" vertical="center" wrapText="1"/>
    </xf>
    <xf numFmtId="0" fontId="50" fillId="18" borderId="2" xfId="0" applyFont="1" applyFill="1" applyBorder="1" applyAlignment="1">
      <alignment horizontal="center" vertical="center"/>
    </xf>
    <xf numFmtId="9" fontId="50" fillId="18" borderId="2" xfId="2" applyFont="1" applyFill="1" applyBorder="1" applyAlignment="1">
      <alignment horizontal="center" vertical="center" wrapText="1"/>
    </xf>
    <xf numFmtId="187" fontId="50" fillId="18" borderId="2" xfId="2" applyNumberFormat="1" applyFont="1" applyFill="1" applyBorder="1" applyAlignment="1">
      <alignment horizontal="center" vertical="center" wrapText="1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176" fontId="58" fillId="0" borderId="2" xfId="0" applyNumberFormat="1" applyFont="1" applyBorder="1" applyAlignment="1">
      <alignment horizontal="right" vertical="center"/>
    </xf>
    <xf numFmtId="176" fontId="55" fillId="0" borderId="2" xfId="0" applyNumberFormat="1" applyFont="1" applyBorder="1" applyAlignment="1">
      <alignment horizontal="right" vertical="center"/>
    </xf>
    <xf numFmtId="176" fontId="55" fillId="0" borderId="2" xfId="2" applyNumberFormat="1" applyFont="1" applyFill="1" applyBorder="1" applyAlignment="1">
      <alignment horizontal="right" vertical="center" wrapText="1"/>
    </xf>
    <xf numFmtId="0" fontId="58" fillId="0" borderId="3" xfId="0" applyFont="1" applyBorder="1" applyAlignment="1">
      <alignment horizontal="center" vertical="center"/>
    </xf>
    <xf numFmtId="43" fontId="42" fillId="0" borderId="0" xfId="0" applyNumberFormat="1" applyFont="1">
      <alignment vertical="center"/>
    </xf>
    <xf numFmtId="0" fontId="42" fillId="0" borderId="1" xfId="0" applyFont="1" applyBorder="1" applyAlignment="1">
      <alignment horizontal="right" vertical="center"/>
    </xf>
    <xf numFmtId="176" fontId="42" fillId="0" borderId="1" xfId="0" applyNumberFormat="1" applyFont="1" applyBorder="1" applyAlignment="1">
      <alignment horizontal="right" vertical="center"/>
    </xf>
    <xf numFmtId="176" fontId="50" fillId="0" borderId="1" xfId="0" applyNumberFormat="1" applyFont="1" applyBorder="1" applyAlignment="1">
      <alignment horizontal="center" vertical="center"/>
    </xf>
    <xf numFmtId="176" fontId="52" fillId="0" borderId="1" xfId="0" applyNumberFormat="1" applyFont="1" applyBorder="1" applyAlignment="1">
      <alignment horizontal="right" vertical="center"/>
    </xf>
    <xf numFmtId="15" fontId="52" fillId="0" borderId="1" xfId="0" applyNumberFormat="1" applyFont="1" applyBorder="1" applyAlignment="1">
      <alignment wrapText="1"/>
    </xf>
    <xf numFmtId="43" fontId="60" fillId="0" borderId="0" xfId="0" applyNumberFormat="1" applyFont="1">
      <alignment vertical="center"/>
    </xf>
    <xf numFmtId="0" fontId="42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left" vertical="center"/>
    </xf>
    <xf numFmtId="0" fontId="42" fillId="21" borderId="3" xfId="0" applyFont="1" applyFill="1" applyBorder="1" applyAlignment="1">
      <alignment horizontal="center" vertical="center"/>
    </xf>
    <xf numFmtId="0" fontId="42" fillId="21" borderId="4" xfId="0" applyFont="1" applyFill="1" applyBorder="1" applyAlignment="1">
      <alignment horizontal="left" vertical="center"/>
    </xf>
    <xf numFmtId="0" fontId="58" fillId="0" borderId="23" xfId="0" applyFont="1" applyBorder="1" applyAlignment="1">
      <alignment horizontal="center" vertical="center"/>
    </xf>
    <xf numFmtId="3" fontId="52" fillId="0" borderId="1" xfId="0" applyNumberFormat="1" applyFont="1" applyBorder="1" applyAlignment="1">
      <alignment horizontal="center"/>
    </xf>
    <xf numFmtId="176" fontId="55" fillId="0" borderId="23" xfId="0" applyNumberFormat="1" applyFont="1" applyBorder="1" applyAlignment="1">
      <alignment horizontal="center" vertical="center"/>
    </xf>
    <xf numFmtId="0" fontId="42" fillId="21" borderId="4" xfId="0" applyFont="1" applyFill="1" applyBorder="1" applyAlignment="1">
      <alignment horizontal="center" vertical="center"/>
    </xf>
    <xf numFmtId="0" fontId="50" fillId="21" borderId="23" xfId="0" applyFont="1" applyFill="1" applyBorder="1" applyAlignment="1">
      <alignment horizontal="center" vertical="center"/>
    </xf>
    <xf numFmtId="0" fontId="50" fillId="21" borderId="2" xfId="0" applyFont="1" applyFill="1" applyBorder="1" applyAlignment="1">
      <alignment horizontal="center" vertical="center" wrapText="1"/>
    </xf>
    <xf numFmtId="0" fontId="50" fillId="18" borderId="23" xfId="0" applyFont="1" applyFill="1" applyBorder="1" applyAlignment="1">
      <alignment horizontal="center" vertical="center"/>
    </xf>
    <xf numFmtId="9" fontId="50" fillId="18" borderId="24" xfId="2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43" fontId="0" fillId="0" borderId="0" xfId="0" applyNumberFormat="1">
      <alignment vertical="center"/>
    </xf>
    <xf numFmtId="0" fontId="9" fillId="12" borderId="0" xfId="0" applyFont="1" applyFill="1" applyAlignment="1">
      <alignment horizontal="left" vertical="center"/>
    </xf>
    <xf numFmtId="0" fontId="64" fillId="22" borderId="2" xfId="9" applyFont="1" applyFill="1" applyBorder="1">
      <alignment vertical="center"/>
    </xf>
    <xf numFmtId="0" fontId="41" fillId="0" borderId="0" xfId="9" applyFont="1">
      <alignment vertical="center"/>
    </xf>
    <xf numFmtId="0" fontId="52" fillId="23" borderId="2" xfId="9" applyFont="1" applyFill="1" applyBorder="1">
      <alignment vertical="center"/>
    </xf>
    <xf numFmtId="0" fontId="52" fillId="2" borderId="2" xfId="9" applyFont="1" applyFill="1" applyBorder="1" applyAlignment="1">
      <alignment vertical="center" wrapText="1"/>
    </xf>
    <xf numFmtId="0" fontId="52" fillId="23" borderId="2" xfId="9" applyFont="1" applyFill="1" applyBorder="1" applyAlignment="1">
      <alignment vertical="center" wrapText="1"/>
    </xf>
    <xf numFmtId="0" fontId="67" fillId="23" borderId="2" xfId="10" applyFont="1" applyFill="1" applyBorder="1" applyAlignment="1">
      <alignment vertical="center" wrapText="1"/>
    </xf>
    <xf numFmtId="0" fontId="41" fillId="23" borderId="2" xfId="9" applyFont="1" applyFill="1" applyBorder="1">
      <alignment vertical="center"/>
    </xf>
    <xf numFmtId="0" fontId="68" fillId="23" borderId="2" xfId="9" applyFont="1" applyFill="1" applyBorder="1" applyAlignment="1">
      <alignment vertical="center" wrapText="1"/>
    </xf>
    <xf numFmtId="0" fontId="69" fillId="23" borderId="2" xfId="10" applyFont="1" applyFill="1" applyBorder="1" applyAlignment="1">
      <alignment vertical="center" wrapText="1"/>
    </xf>
    <xf numFmtId="2" fontId="37" fillId="0" borderId="0" xfId="3" applyNumberFormat="1" applyFont="1">
      <alignment vertical="center"/>
    </xf>
    <xf numFmtId="188" fontId="50" fillId="21" borderId="2" xfId="0" applyNumberFormat="1" applyFont="1" applyFill="1" applyBorder="1" applyAlignment="1">
      <alignment horizontal="center" vertical="center" wrapText="1"/>
    </xf>
    <xf numFmtId="38" fontId="50" fillId="21" borderId="2" xfId="0" applyNumberFormat="1" applyFont="1" applyFill="1" applyBorder="1" applyAlignment="1">
      <alignment horizontal="center" vertical="center" wrapText="1"/>
    </xf>
    <xf numFmtId="176" fontId="41" fillId="0" borderId="2" xfId="0" applyNumberFormat="1" applyFont="1" applyBorder="1" applyAlignment="1">
      <alignment horizontal="right" vertical="center"/>
    </xf>
    <xf numFmtId="176" fontId="41" fillId="0" borderId="2" xfId="0" applyNumberFormat="1" applyFont="1" applyBorder="1" applyAlignment="1">
      <alignment horizontal="left" vertical="center"/>
    </xf>
    <xf numFmtId="49" fontId="41" fillId="0" borderId="2" xfId="0" applyNumberFormat="1" applyFont="1" applyBorder="1" applyAlignment="1">
      <alignment horizontal="center" vertical="center"/>
    </xf>
    <xf numFmtId="176" fontId="42" fillId="0" borderId="10" xfId="0" applyNumberFormat="1" applyFont="1" applyBorder="1" applyAlignment="1">
      <alignment horizontal="right" vertical="center"/>
    </xf>
    <xf numFmtId="176" fontId="41" fillId="0" borderId="2" xfId="0" applyNumberFormat="1" applyFont="1" applyBorder="1" applyAlignment="1">
      <alignment horizontal="left" vertical="center" wrapText="1"/>
    </xf>
    <xf numFmtId="0" fontId="50" fillId="20" borderId="2" xfId="0" applyFont="1" applyFill="1" applyBorder="1" applyAlignment="1">
      <alignment horizontal="center" vertical="center" wrapText="1"/>
    </xf>
    <xf numFmtId="176" fontId="42" fillId="20" borderId="10" xfId="0" applyNumberFormat="1" applyFont="1" applyFill="1" applyBorder="1" applyAlignment="1">
      <alignment horizontal="right" vertical="center"/>
    </xf>
    <xf numFmtId="176" fontId="42" fillId="21" borderId="10" xfId="0" applyNumberFormat="1" applyFont="1" applyFill="1" applyBorder="1" applyAlignment="1">
      <alignment horizontal="right" vertical="center"/>
    </xf>
    <xf numFmtId="0" fontId="50" fillId="0" borderId="0" xfId="0" applyFont="1" applyAlignment="1">
      <alignment horizontal="center" vertical="center" wrapText="1"/>
    </xf>
    <xf numFmtId="0" fontId="52" fillId="0" borderId="0" xfId="0" applyFont="1" applyAlignment="1">
      <alignment horizontal="left" vertical="center"/>
    </xf>
    <xf numFmtId="176" fontId="30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52" fillId="0" borderId="0" xfId="0" applyFont="1" applyAlignment="1">
      <alignment horizontal="right" vertical="center" wrapText="1"/>
    </xf>
    <xf numFmtId="43" fontId="41" fillId="0" borderId="0" xfId="1" applyFont="1" applyBorder="1">
      <alignment vertical="center"/>
    </xf>
    <xf numFmtId="44" fontId="41" fillId="0" borderId="0" xfId="8" applyFont="1" applyBorder="1">
      <alignment vertical="center"/>
    </xf>
    <xf numFmtId="0" fontId="74" fillId="0" borderId="0" xfId="0" applyFont="1">
      <alignment vertical="center"/>
    </xf>
    <xf numFmtId="44" fontId="74" fillId="0" borderId="0" xfId="8" applyFont="1" applyBorder="1">
      <alignment vertical="center"/>
    </xf>
    <xf numFmtId="187" fontId="50" fillId="18" borderId="24" xfId="2" applyNumberFormat="1" applyFont="1" applyFill="1" applyBorder="1" applyAlignment="1">
      <alignment horizontal="center" vertical="center" wrapText="1"/>
    </xf>
    <xf numFmtId="15" fontId="52" fillId="21" borderId="24" xfId="0" applyNumberFormat="1" applyFont="1" applyFill="1" applyBorder="1" applyAlignment="1">
      <alignment horizontal="center" wrapText="1"/>
    </xf>
    <xf numFmtId="176" fontId="58" fillId="0" borderId="24" xfId="0" applyNumberFormat="1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0" fontId="58" fillId="0" borderId="10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4" xfId="0" applyFont="1" applyBorder="1" applyAlignment="1">
      <alignment horizontal="left" vertical="center"/>
    </xf>
    <xf numFmtId="188" fontId="71" fillId="0" borderId="3" xfId="0" applyNumberFormat="1" applyFont="1" applyBorder="1" applyAlignment="1">
      <alignment wrapText="1"/>
    </xf>
    <xf numFmtId="176" fontId="42" fillId="21" borderId="2" xfId="0" applyNumberFormat="1" applyFont="1" applyFill="1" applyBorder="1" applyAlignment="1">
      <alignment horizontal="right" vertical="center"/>
    </xf>
    <xf numFmtId="0" fontId="58" fillId="0" borderId="32" xfId="0" applyFont="1" applyBorder="1" applyAlignment="1">
      <alignment horizontal="center" vertical="center"/>
    </xf>
    <xf numFmtId="176" fontId="58" fillId="0" borderId="6" xfId="0" applyNumberFormat="1" applyFont="1" applyBorder="1" applyAlignment="1">
      <alignment horizontal="right" vertical="center"/>
    </xf>
    <xf numFmtId="0" fontId="58" fillId="0" borderId="36" xfId="0" applyFont="1" applyBorder="1" applyAlignment="1">
      <alignment horizontal="center" vertical="center"/>
    </xf>
    <xf numFmtId="176" fontId="58" fillId="0" borderId="7" xfId="0" applyNumberFormat="1" applyFont="1" applyBorder="1" applyAlignment="1">
      <alignment horizontal="right" vertical="center"/>
    </xf>
    <xf numFmtId="15" fontId="55" fillId="0" borderId="37" xfId="0" applyNumberFormat="1" applyFont="1" applyBorder="1" applyAlignment="1">
      <alignment horizontal="center" wrapText="1"/>
    </xf>
    <xf numFmtId="176" fontId="42" fillId="21" borderId="26" xfId="0" applyNumberFormat="1" applyFont="1" applyFill="1" applyBorder="1" applyAlignment="1">
      <alignment horizontal="right" vertical="center"/>
    </xf>
    <xf numFmtId="176" fontId="42" fillId="21" borderId="27" xfId="0" applyNumberFormat="1" applyFont="1" applyFill="1" applyBorder="1" applyAlignment="1">
      <alignment horizontal="right" vertical="center"/>
    </xf>
    <xf numFmtId="176" fontId="50" fillId="21" borderId="23" xfId="0" applyNumberFormat="1" applyFont="1" applyFill="1" applyBorder="1" applyAlignment="1">
      <alignment horizontal="center" vertical="center"/>
    </xf>
    <xf numFmtId="176" fontId="55" fillId="21" borderId="2" xfId="0" applyNumberFormat="1" applyFont="1" applyFill="1" applyBorder="1" applyAlignment="1">
      <alignment horizontal="right" vertical="center"/>
    </xf>
    <xf numFmtId="176" fontId="55" fillId="0" borderId="32" xfId="0" applyNumberFormat="1" applyFont="1" applyBorder="1" applyAlignment="1">
      <alignment horizontal="center"/>
    </xf>
    <xf numFmtId="176" fontId="55" fillId="0" borderId="6" xfId="0" applyNumberFormat="1" applyFont="1" applyBorder="1" applyAlignment="1">
      <alignment horizontal="right"/>
    </xf>
    <xf numFmtId="176" fontId="55" fillId="0" borderId="36" xfId="0" applyNumberFormat="1" applyFont="1" applyBorder="1" applyAlignment="1">
      <alignment horizontal="center"/>
    </xf>
    <xf numFmtId="176" fontId="55" fillId="0" borderId="7" xfId="0" applyNumberFormat="1" applyFont="1" applyBorder="1" applyAlignment="1">
      <alignment horizontal="right"/>
    </xf>
    <xf numFmtId="176" fontId="55" fillId="0" borderId="6" xfId="0" applyNumberFormat="1" applyFont="1" applyBorder="1" applyAlignment="1">
      <alignment horizontal="left"/>
    </xf>
    <xf numFmtId="176" fontId="55" fillId="0" borderId="7" xfId="0" applyNumberFormat="1" applyFont="1" applyBorder="1" applyAlignment="1">
      <alignment horizontal="left"/>
    </xf>
    <xf numFmtId="176" fontId="55" fillId="21" borderId="2" xfId="0" applyNumberFormat="1" applyFont="1" applyFill="1" applyBorder="1" applyAlignment="1">
      <alignment horizontal="left" vertical="center"/>
    </xf>
    <xf numFmtId="176" fontId="50" fillId="21" borderId="38" xfId="0" applyNumberFormat="1" applyFont="1" applyFill="1" applyBorder="1" applyAlignment="1">
      <alignment horizontal="center" vertical="center"/>
    </xf>
    <xf numFmtId="176" fontId="52" fillId="21" borderId="26" xfId="0" applyNumberFormat="1" applyFont="1" applyFill="1" applyBorder="1" applyAlignment="1">
      <alignment horizontal="right" vertical="center"/>
    </xf>
    <xf numFmtId="15" fontId="52" fillId="21" borderId="26" xfId="0" applyNumberFormat="1" applyFont="1" applyFill="1" applyBorder="1" applyAlignment="1">
      <alignment wrapText="1"/>
    </xf>
    <xf numFmtId="3" fontId="52" fillId="21" borderId="27" xfId="0" applyNumberFormat="1" applyFont="1" applyFill="1" applyBorder="1" applyAlignment="1">
      <alignment horizontal="center"/>
    </xf>
    <xf numFmtId="0" fontId="60" fillId="20" borderId="11" xfId="0" applyFont="1" applyFill="1" applyBorder="1" applyAlignment="1">
      <alignment horizontal="center" vertical="center"/>
    </xf>
    <xf numFmtId="0" fontId="60" fillId="20" borderId="1" xfId="0" applyFont="1" applyFill="1" applyBorder="1" applyAlignment="1">
      <alignment horizontal="center" vertical="center"/>
    </xf>
    <xf numFmtId="0" fontId="60" fillId="20" borderId="34" xfId="0" applyFont="1" applyFill="1" applyBorder="1" applyAlignment="1">
      <alignment horizontal="center" vertical="center"/>
    </xf>
    <xf numFmtId="176" fontId="60" fillId="20" borderId="8" xfId="0" applyNumberFormat="1" applyFont="1" applyFill="1" applyBorder="1" applyAlignment="1">
      <alignment horizontal="right" vertical="center"/>
    </xf>
    <xf numFmtId="176" fontId="55" fillId="20" borderId="34" xfId="0" applyNumberFormat="1" applyFont="1" applyFill="1" applyBorder="1" applyAlignment="1">
      <alignment horizontal="center"/>
    </xf>
    <xf numFmtId="176" fontId="57" fillId="20" borderId="8" xfId="0" applyNumberFormat="1" applyFont="1" applyFill="1" applyBorder="1" applyAlignment="1">
      <alignment horizontal="right"/>
    </xf>
    <xf numFmtId="3" fontId="57" fillId="20" borderId="35" xfId="0" applyNumberFormat="1" applyFont="1" applyFill="1" applyBorder="1" applyAlignment="1">
      <alignment horizontal="center"/>
    </xf>
    <xf numFmtId="176" fontId="57" fillId="20" borderId="8" xfId="0" applyNumberFormat="1" applyFont="1" applyFill="1" applyBorder="1" applyAlignment="1">
      <alignment horizontal="left"/>
    </xf>
    <xf numFmtId="0" fontId="62" fillId="0" borderId="7" xfId="0" applyFont="1" applyBorder="1">
      <alignment vertical="center"/>
    </xf>
    <xf numFmtId="176" fontId="60" fillId="20" borderId="35" xfId="0" applyNumberFormat="1" applyFont="1" applyFill="1" applyBorder="1" applyAlignment="1">
      <alignment horizontal="right" vertical="center"/>
    </xf>
    <xf numFmtId="0" fontId="42" fillId="21" borderId="38" xfId="0" applyFont="1" applyFill="1" applyBorder="1" applyAlignment="1">
      <alignment horizontal="center" vertical="center"/>
    </xf>
    <xf numFmtId="0" fontId="42" fillId="21" borderId="23" xfId="0" applyFont="1" applyFill="1" applyBorder="1" applyAlignment="1">
      <alignment horizontal="center" vertical="center"/>
    </xf>
    <xf numFmtId="15" fontId="55" fillId="0" borderId="33" xfId="0" applyNumberFormat="1" applyFont="1" applyBorder="1" applyAlignment="1">
      <alignment horizontal="center" vertical="center" wrapText="1"/>
    </xf>
    <xf numFmtId="15" fontId="55" fillId="0" borderId="37" xfId="0" applyNumberFormat="1" applyFont="1" applyBorder="1" applyAlignment="1">
      <alignment horizontal="center" vertical="center" wrapText="1"/>
    </xf>
    <xf numFmtId="15" fontId="57" fillId="20" borderId="35" xfId="0" applyNumberFormat="1" applyFont="1" applyFill="1" applyBorder="1" applyAlignment="1">
      <alignment horizontal="center" vertical="center" wrapText="1"/>
    </xf>
    <xf numFmtId="15" fontId="52" fillId="21" borderId="24" xfId="0" applyNumberFormat="1" applyFont="1" applyFill="1" applyBorder="1" applyAlignment="1">
      <alignment horizontal="center" vertical="center" wrapText="1"/>
    </xf>
    <xf numFmtId="15" fontId="55" fillId="0" borderId="2" xfId="0" applyNumberFormat="1" applyFont="1" applyBorder="1" applyAlignment="1">
      <alignment horizontal="center" vertical="center" wrapText="1"/>
    </xf>
    <xf numFmtId="15" fontId="52" fillId="21" borderId="2" xfId="0" applyNumberFormat="1" applyFont="1" applyFill="1" applyBorder="1" applyAlignment="1">
      <alignment horizontal="center" vertical="center" wrapText="1"/>
    </xf>
    <xf numFmtId="176" fontId="55" fillId="0" borderId="6" xfId="0" applyNumberFormat="1" applyFont="1" applyBorder="1" applyAlignment="1">
      <alignment horizontal="right" vertical="center"/>
    </xf>
    <xf numFmtId="15" fontId="55" fillId="0" borderId="6" xfId="0" applyNumberFormat="1" applyFont="1" applyBorder="1" applyAlignment="1">
      <alignment horizontal="center" vertical="center" wrapText="1"/>
    </xf>
    <xf numFmtId="176" fontId="55" fillId="0" borderId="7" xfId="0" applyNumberFormat="1" applyFont="1" applyBorder="1" applyAlignment="1">
      <alignment horizontal="right" vertical="center"/>
    </xf>
    <xf numFmtId="15" fontId="55" fillId="0" borderId="7" xfId="0" applyNumberFormat="1" applyFont="1" applyBorder="1" applyAlignment="1">
      <alignment horizontal="center" vertical="center" wrapText="1"/>
    </xf>
    <xf numFmtId="15" fontId="57" fillId="20" borderId="8" xfId="0" applyNumberFormat="1" applyFont="1" applyFill="1" applyBorder="1" applyAlignment="1">
      <alignment horizontal="center" vertical="center" wrapText="1"/>
    </xf>
    <xf numFmtId="15" fontId="55" fillId="0" borderId="6" xfId="0" applyNumberFormat="1" applyFont="1" applyBorder="1" applyAlignment="1">
      <alignment horizontal="center" vertical="center"/>
    </xf>
    <xf numFmtId="15" fontId="55" fillId="0" borderId="7" xfId="0" applyNumberFormat="1" applyFont="1" applyBorder="1" applyAlignment="1">
      <alignment horizontal="center" vertical="center"/>
    </xf>
    <xf numFmtId="176" fontId="55" fillId="0" borderId="6" xfId="0" applyNumberFormat="1" applyFont="1" applyBorder="1">
      <alignment vertical="center"/>
    </xf>
    <xf numFmtId="15" fontId="57" fillId="20" borderId="8" xfId="0" applyNumberFormat="1" applyFont="1" applyFill="1" applyBorder="1" applyAlignment="1">
      <alignment vertical="center" wrapText="1"/>
    </xf>
    <xf numFmtId="43" fontId="75" fillId="19" borderId="3" xfId="0" applyNumberFormat="1" applyFont="1" applyFill="1" applyBorder="1" applyAlignment="1">
      <alignment horizontal="center"/>
    </xf>
    <xf numFmtId="0" fontId="75" fillId="19" borderId="4" xfId="0" applyFont="1" applyFill="1" applyBorder="1" applyAlignment="1">
      <alignment horizontal="left"/>
    </xf>
    <xf numFmtId="176" fontId="75" fillId="19" borderId="4" xfId="0" applyNumberFormat="1" applyFont="1" applyFill="1" applyBorder="1" applyAlignment="1">
      <alignment horizontal="right"/>
    </xf>
    <xf numFmtId="176" fontId="75" fillId="19" borderId="4" xfId="0" quotePrefix="1" applyNumberFormat="1" applyFont="1" applyFill="1" applyBorder="1" applyAlignment="1">
      <alignment horizontal="right"/>
    </xf>
    <xf numFmtId="43" fontId="75" fillId="19" borderId="4" xfId="0" applyNumberFormat="1" applyFont="1" applyFill="1" applyBorder="1" applyAlignment="1">
      <alignment horizontal="center"/>
    </xf>
    <xf numFmtId="0" fontId="75" fillId="19" borderId="4" xfId="0" quotePrefix="1" applyFont="1" applyFill="1" applyBorder="1" applyAlignment="1">
      <alignment horizontal="center"/>
    </xf>
    <xf numFmtId="0" fontId="75" fillId="19" borderId="5" xfId="0" quotePrefix="1" applyFont="1" applyFill="1" applyBorder="1" applyAlignment="1"/>
    <xf numFmtId="0" fontId="76" fillId="0" borderId="0" xfId="0" applyFont="1">
      <alignment vertical="center"/>
    </xf>
    <xf numFmtId="43" fontId="75" fillId="19" borderId="2" xfId="0" applyNumberFormat="1" applyFont="1" applyFill="1" applyBorder="1" applyAlignment="1">
      <alignment horizontal="center"/>
    </xf>
    <xf numFmtId="0" fontId="77" fillId="0" borderId="0" xfId="0" applyFont="1">
      <alignment vertical="center"/>
    </xf>
    <xf numFmtId="3" fontId="55" fillId="0" borderId="24" xfId="0" applyNumberFormat="1" applyFont="1" applyBorder="1" applyAlignment="1">
      <alignment horizontal="center" vertical="center"/>
    </xf>
    <xf numFmtId="3" fontId="52" fillId="21" borderId="24" xfId="0" applyNumberFormat="1" applyFont="1" applyFill="1" applyBorder="1" applyAlignment="1">
      <alignment horizontal="center" vertical="center"/>
    </xf>
    <xf numFmtId="3" fontId="55" fillId="0" borderId="33" xfId="0" applyNumberFormat="1" applyFont="1" applyBorder="1" applyAlignment="1">
      <alignment horizontal="center" vertical="center"/>
    </xf>
    <xf numFmtId="3" fontId="55" fillId="0" borderId="37" xfId="0" applyNumberFormat="1" applyFont="1" applyBorder="1" applyAlignment="1">
      <alignment horizontal="center" vertical="center"/>
    </xf>
    <xf numFmtId="3" fontId="57" fillId="20" borderId="35" xfId="0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right" vertical="center"/>
    </xf>
    <xf numFmtId="43" fontId="10" fillId="0" borderId="0" xfId="1" applyFont="1" applyFill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176" fontId="8" fillId="5" borderId="0" xfId="1" applyNumberFormat="1" applyFont="1" applyFill="1" applyAlignment="1">
      <alignment horizontal="center" vertical="center"/>
    </xf>
    <xf numFmtId="49" fontId="8" fillId="5" borderId="2" xfId="0" applyNumberFormat="1" applyFont="1" applyFill="1" applyBorder="1" applyAlignment="1">
      <alignment horizontal="left" vertical="center"/>
    </xf>
    <xf numFmtId="43" fontId="8" fillId="5" borderId="2" xfId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43" fontId="8" fillId="5" borderId="2" xfId="1" applyFont="1" applyFill="1" applyBorder="1" applyAlignment="1">
      <alignment horizontal="right" vertical="center"/>
    </xf>
    <xf numFmtId="177" fontId="8" fillId="5" borderId="2" xfId="2" applyNumberFormat="1" applyFont="1" applyFill="1" applyBorder="1" applyAlignment="1">
      <alignment horizontal="right" vertical="center"/>
    </xf>
    <xf numFmtId="14" fontId="8" fillId="5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49" fontId="8" fillId="6" borderId="2" xfId="0" applyNumberFormat="1" applyFont="1" applyFill="1" applyBorder="1" applyAlignment="1">
      <alignment horizontal="left" vertical="center"/>
    </xf>
    <xf numFmtId="43" fontId="8" fillId="6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 vertical="center"/>
    </xf>
    <xf numFmtId="0" fontId="8" fillId="20" borderId="2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 vertical="center"/>
    </xf>
    <xf numFmtId="49" fontId="8" fillId="20" borderId="2" xfId="0" applyNumberFormat="1" applyFont="1" applyFill="1" applyBorder="1" applyAlignment="1">
      <alignment horizontal="left" vertical="center"/>
    </xf>
    <xf numFmtId="0" fontId="8" fillId="20" borderId="2" xfId="0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43" fontId="8" fillId="20" borderId="2" xfId="1" applyFont="1" applyFill="1" applyBorder="1" applyAlignment="1">
      <alignment horizontal="right" vertical="center"/>
    </xf>
    <xf numFmtId="0" fontId="10" fillId="20" borderId="2" xfId="0" applyFont="1" applyFill="1" applyBorder="1" applyAlignment="1">
      <alignment horizontal="left" vertical="center"/>
    </xf>
    <xf numFmtId="0" fontId="8" fillId="20" borderId="2" xfId="0" applyFont="1" applyFill="1" applyBorder="1" applyAlignment="1">
      <alignment horizontal="center" vertical="center" wrapText="1"/>
    </xf>
    <xf numFmtId="14" fontId="8" fillId="20" borderId="2" xfId="0" applyNumberFormat="1" applyFont="1" applyFill="1" applyBorder="1" applyAlignment="1">
      <alignment horizontal="left" vertical="center"/>
    </xf>
    <xf numFmtId="177" fontId="8" fillId="20" borderId="2" xfId="2" applyNumberFormat="1" applyFont="1" applyFill="1" applyBorder="1" applyAlignment="1">
      <alignment horizontal="right" vertical="center"/>
    </xf>
    <xf numFmtId="43" fontId="10" fillId="20" borderId="2" xfId="1" applyFont="1" applyFill="1" applyBorder="1" applyAlignment="1">
      <alignment horizontal="right" vertical="center"/>
    </xf>
    <xf numFmtId="14" fontId="9" fillId="6" borderId="2" xfId="0" applyNumberFormat="1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left" vertical="center"/>
    </xf>
    <xf numFmtId="176" fontId="58" fillId="0" borderId="6" xfId="0" applyNumberFormat="1" applyFont="1" applyBorder="1" applyAlignment="1">
      <alignment horizontal="left" vertical="center"/>
    </xf>
    <xf numFmtId="176" fontId="58" fillId="0" borderId="7" xfId="0" applyNumberFormat="1" applyFont="1" applyBorder="1" applyAlignment="1">
      <alignment horizontal="left" vertical="center"/>
    </xf>
    <xf numFmtId="176" fontId="55" fillId="0" borderId="7" xfId="0" applyNumberFormat="1" applyFont="1" applyBorder="1">
      <alignment vertical="center"/>
    </xf>
    <xf numFmtId="0" fontId="78" fillId="0" borderId="0" xfId="0" applyFont="1">
      <alignment vertical="center"/>
    </xf>
    <xf numFmtId="0" fontId="41" fillId="0" borderId="0" xfId="0" applyFont="1" applyAlignment="1">
      <alignment horizontal="center"/>
    </xf>
    <xf numFmtId="0" fontId="48" fillId="0" borderId="2" xfId="3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left" vertical="top" wrapText="1"/>
    </xf>
    <xf numFmtId="43" fontId="53" fillId="0" borderId="2" xfId="1" applyFont="1" applyBorder="1" applyAlignment="1">
      <alignment horizontal="center" vertical="center" wrapText="1"/>
    </xf>
    <xf numFmtId="176" fontId="48" fillId="0" borderId="2" xfId="11" applyNumberFormat="1" applyFont="1" applyBorder="1" applyAlignment="1">
      <alignment horizontal="right" vertical="center" wrapText="1"/>
    </xf>
    <xf numFmtId="43" fontId="48" fillId="0" borderId="2" xfId="11" applyFont="1" applyBorder="1" applyAlignment="1">
      <alignment horizontal="right" vertical="center" wrapText="1"/>
    </xf>
    <xf numFmtId="0" fontId="41" fillId="0" borderId="2" xfId="0" applyFont="1" applyBorder="1" applyAlignment="1">
      <alignment horizontal="center" vertical="center"/>
    </xf>
    <xf numFmtId="0" fontId="41" fillId="0" borderId="2" xfId="3" applyFont="1" applyBorder="1">
      <alignment vertical="center"/>
    </xf>
    <xf numFmtId="49" fontId="53" fillId="0" borderId="2" xfId="0" applyNumberFormat="1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44" fontId="81" fillId="2" borderId="41" xfId="8" applyFont="1" applyFill="1" applyBorder="1" applyAlignment="1">
      <alignment horizontal="center" vertical="center" wrapText="1"/>
    </xf>
    <xf numFmtId="4" fontId="80" fillId="0" borderId="10" xfId="3" applyNumberFormat="1" applyFont="1" applyBorder="1" applyAlignment="1">
      <alignment horizontal="right" vertical="center" wrapText="1"/>
    </xf>
    <xf numFmtId="0" fontId="41" fillId="0" borderId="2" xfId="0" applyFont="1" applyBorder="1" applyAlignment="1">
      <alignment horizontal="left" vertical="center"/>
    </xf>
    <xf numFmtId="0" fontId="53" fillId="0" borderId="2" xfId="0" applyFont="1" applyBorder="1" applyAlignment="1">
      <alignment horizontal="left" vertical="center"/>
    </xf>
    <xf numFmtId="0" fontId="82" fillId="0" borderId="0" xfId="0" applyFo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176" fontId="8" fillId="5" borderId="2" xfId="1" applyNumberFormat="1" applyFont="1" applyFill="1" applyBorder="1" applyAlignment="1">
      <alignment horizontal="right" vertical="center"/>
    </xf>
    <xf numFmtId="176" fontId="8" fillId="20" borderId="2" xfId="1" applyNumberFormat="1" applyFont="1" applyFill="1" applyBorder="1" applyAlignment="1">
      <alignment vertical="center"/>
    </xf>
    <xf numFmtId="176" fontId="8" fillId="20" borderId="2" xfId="1" applyNumberFormat="1" applyFont="1" applyFill="1" applyBorder="1" applyAlignment="1">
      <alignment horizontal="center" vertical="center"/>
    </xf>
    <xf numFmtId="189" fontId="8" fillId="20" borderId="2" xfId="2" applyNumberFormat="1" applyFont="1" applyFill="1" applyBorder="1" applyAlignment="1">
      <alignment horizontal="right" vertical="center"/>
    </xf>
    <xf numFmtId="43" fontId="8" fillId="20" borderId="2" xfId="1" applyFont="1" applyFill="1" applyBorder="1" applyAlignment="1">
      <alignment horizontal="center" vertical="center"/>
    </xf>
    <xf numFmtId="14" fontId="8" fillId="20" borderId="2" xfId="0" applyNumberFormat="1" applyFont="1" applyFill="1" applyBorder="1" applyAlignment="1">
      <alignment horizontal="center" vertical="center"/>
    </xf>
    <xf numFmtId="0" fontId="8" fillId="10" borderId="0" xfId="0" applyFont="1" applyFill="1" applyAlignment="1">
      <alignment horizontal="left" vertical="center"/>
    </xf>
    <xf numFmtId="0" fontId="8" fillId="10" borderId="2" xfId="1" applyNumberFormat="1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49" fontId="8" fillId="10" borderId="2" xfId="1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7" fontId="6" fillId="0" borderId="2" xfId="2" applyNumberFormat="1" applyFont="1" applyFill="1" applyBorder="1" applyAlignment="1">
      <alignment horizontal="center" vertical="center" wrapText="1"/>
    </xf>
    <xf numFmtId="43" fontId="6" fillId="2" borderId="2" xfId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center" vertical="center" wrapText="1"/>
    </xf>
    <xf numFmtId="176" fontId="8" fillId="10" borderId="2" xfId="0" applyNumberFormat="1" applyFont="1" applyFill="1" applyBorder="1" applyAlignment="1">
      <alignment horizontal="center" vertical="center"/>
    </xf>
    <xf numFmtId="43" fontId="8" fillId="12" borderId="2" xfId="1" applyFont="1" applyFill="1" applyBorder="1" applyAlignment="1">
      <alignment vertical="center"/>
    </xf>
    <xf numFmtId="176" fontId="8" fillId="12" borderId="2" xfId="0" applyNumberFormat="1" applyFont="1" applyFill="1" applyBorder="1" applyAlignment="1">
      <alignment horizontal="center" vertical="center"/>
    </xf>
    <xf numFmtId="43" fontId="8" fillId="11" borderId="2" xfId="1" applyFont="1" applyFill="1" applyBorder="1" applyAlignment="1">
      <alignment horizontal="center" vertical="center"/>
    </xf>
    <xf numFmtId="176" fontId="8" fillId="6" borderId="2" xfId="1" applyNumberFormat="1" applyFont="1" applyFill="1" applyBorder="1" applyAlignment="1">
      <alignment horizontal="right" vertical="center"/>
    </xf>
    <xf numFmtId="176" fontId="8" fillId="6" borderId="2" xfId="0" applyNumberFormat="1" applyFont="1" applyFill="1" applyBorder="1" applyAlignment="1">
      <alignment horizontal="center" vertical="center"/>
    </xf>
    <xf numFmtId="14" fontId="15" fillId="10" borderId="2" xfId="0" applyNumberFormat="1" applyFont="1" applyFill="1" applyBorder="1" applyAlignment="1">
      <alignment horizontal="center" vertical="center"/>
    </xf>
    <xf numFmtId="14" fontId="10" fillId="10" borderId="2" xfId="0" applyNumberFormat="1" applyFont="1" applyFill="1" applyBorder="1" applyAlignment="1">
      <alignment horizontal="center" vertical="center"/>
    </xf>
    <xf numFmtId="14" fontId="10" fillId="5" borderId="2" xfId="0" applyNumberFormat="1" applyFont="1" applyFill="1" applyBorder="1" applyAlignment="1">
      <alignment horizontal="center" vertical="center"/>
    </xf>
    <xf numFmtId="176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14" fontId="10" fillId="6" borderId="2" xfId="0" applyNumberFormat="1" applyFont="1" applyFill="1" applyBorder="1" applyAlignment="1">
      <alignment horizontal="center" vertical="center"/>
    </xf>
    <xf numFmtId="176" fontId="8" fillId="20" borderId="2" xfId="0" applyNumberFormat="1" applyFont="1" applyFill="1" applyBorder="1" applyAlignment="1">
      <alignment horizontal="center" vertical="center"/>
    </xf>
    <xf numFmtId="176" fontId="10" fillId="20" borderId="2" xfId="1" applyNumberFormat="1" applyFont="1" applyFill="1" applyBorder="1" applyAlignment="1">
      <alignment horizontal="right" vertical="center"/>
    </xf>
    <xf numFmtId="14" fontId="10" fillId="20" borderId="2" xfId="0" applyNumberFormat="1" applyFont="1" applyFill="1" applyBorder="1">
      <alignment vertical="center"/>
    </xf>
    <xf numFmtId="0" fontId="8" fillId="20" borderId="10" xfId="0" applyFont="1" applyFill="1" applyBorder="1" applyAlignment="1">
      <alignment horizontal="center" vertical="center"/>
    </xf>
    <xf numFmtId="178" fontId="8" fillId="10" borderId="2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49" fontId="8" fillId="10" borderId="2" xfId="0" applyNumberFormat="1" applyFont="1" applyFill="1" applyBorder="1" applyAlignment="1">
      <alignment horizontal="left" vertical="center"/>
    </xf>
    <xf numFmtId="43" fontId="8" fillId="4" borderId="2" xfId="1" applyFont="1" applyFill="1" applyBorder="1" applyAlignment="1">
      <alignment horizontal="center" vertical="center"/>
    </xf>
    <xf numFmtId="14" fontId="9" fillId="24" borderId="2" xfId="0" applyNumberFormat="1" applyFont="1" applyFill="1" applyBorder="1" applyAlignment="1">
      <alignment horizontal="left" vertical="center"/>
    </xf>
    <xf numFmtId="43" fontId="8" fillId="24" borderId="2" xfId="1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left" vertical="center"/>
    </xf>
    <xf numFmtId="14" fontId="15" fillId="6" borderId="2" xfId="0" applyNumberFormat="1" applyFont="1" applyFill="1" applyBorder="1" applyAlignment="1">
      <alignment horizontal="center" vertical="center"/>
    </xf>
    <xf numFmtId="43" fontId="8" fillId="2" borderId="2" xfId="1" applyFont="1" applyFill="1" applyBorder="1" applyAlignment="1">
      <alignment horizontal="center" vertical="center"/>
    </xf>
    <xf numFmtId="43" fontId="8" fillId="2" borderId="2" xfId="1" applyFont="1" applyFill="1" applyBorder="1" applyAlignment="1">
      <alignment horizontal="right" vertical="center"/>
    </xf>
    <xf numFmtId="43" fontId="8" fillId="4" borderId="2" xfId="1" applyFont="1" applyFill="1" applyBorder="1" applyAlignment="1">
      <alignment horizontal="right" vertical="center"/>
    </xf>
    <xf numFmtId="0" fontId="50" fillId="20" borderId="2" xfId="0" applyFont="1" applyFill="1" applyBorder="1" applyAlignment="1">
      <alignment horizontal="center" vertical="center" wrapText="1"/>
    </xf>
    <xf numFmtId="0" fontId="50" fillId="21" borderId="2" xfId="0" applyFont="1" applyFill="1" applyBorder="1" applyAlignment="1">
      <alignment horizontal="center" vertical="center" wrapText="1"/>
    </xf>
    <xf numFmtId="9" fontId="50" fillId="18" borderId="31" xfId="2" applyFont="1" applyFill="1" applyBorder="1" applyAlignment="1">
      <alignment horizontal="center" vertical="center" wrapText="1"/>
    </xf>
    <xf numFmtId="9" fontId="50" fillId="18" borderId="22" xfId="2" applyFont="1" applyFill="1" applyBorder="1" applyAlignment="1">
      <alignment horizontal="center" vertical="center" wrapText="1"/>
    </xf>
    <xf numFmtId="9" fontId="50" fillId="18" borderId="25" xfId="2" applyFont="1" applyFill="1" applyBorder="1" applyAlignment="1">
      <alignment horizontal="center" vertical="center" wrapText="1"/>
    </xf>
    <xf numFmtId="0" fontId="50" fillId="21" borderId="28" xfId="0" applyFont="1" applyFill="1" applyBorder="1" applyAlignment="1">
      <alignment horizontal="center" vertical="center"/>
    </xf>
    <xf numFmtId="0" fontId="50" fillId="21" borderId="29" xfId="0" applyFont="1" applyFill="1" applyBorder="1" applyAlignment="1">
      <alignment horizontal="center" vertical="center"/>
    </xf>
    <xf numFmtId="0" fontId="50" fillId="21" borderId="30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4" fontId="8" fillId="20" borderId="6" xfId="0" applyNumberFormat="1" applyFont="1" applyFill="1" applyBorder="1" applyAlignment="1">
      <alignment horizontal="center" vertical="center"/>
    </xf>
    <xf numFmtId="14" fontId="8" fillId="20" borderId="7" xfId="0" applyNumberFormat="1" applyFont="1" applyFill="1" applyBorder="1" applyAlignment="1">
      <alignment horizontal="center" vertical="center"/>
    </xf>
    <xf numFmtId="14" fontId="8" fillId="20" borderId="8" xfId="0" applyNumberFormat="1" applyFont="1" applyFill="1" applyBorder="1" applyAlignment="1">
      <alignment horizontal="center" vertical="center"/>
    </xf>
    <xf numFmtId="14" fontId="8" fillId="10" borderId="2" xfId="0" applyNumberFormat="1" applyFont="1" applyFill="1" applyBorder="1" applyAlignment="1">
      <alignment horizontal="center" vertical="center"/>
    </xf>
    <xf numFmtId="14" fontId="8" fillId="12" borderId="2" xfId="0" applyNumberFormat="1" applyFont="1" applyFill="1" applyBorder="1" applyAlignment="1">
      <alignment horizontal="center" vertical="center"/>
    </xf>
    <xf numFmtId="179" fontId="8" fillId="6" borderId="2" xfId="0" applyNumberFormat="1" applyFont="1" applyFill="1" applyBorder="1" applyAlignment="1">
      <alignment horizontal="left" vertical="center"/>
    </xf>
    <xf numFmtId="179" fontId="8" fillId="20" borderId="2" xfId="0" applyNumberFormat="1" applyFont="1" applyFill="1" applyBorder="1" applyAlignment="1">
      <alignment horizontal="left" vertical="center"/>
    </xf>
    <xf numFmtId="14" fontId="8" fillId="5" borderId="2" xfId="0" applyNumberFormat="1" applyFont="1" applyFill="1" applyBorder="1" applyAlignment="1">
      <alignment horizontal="center" vertical="center"/>
    </xf>
    <xf numFmtId="14" fontId="8" fillId="20" borderId="2" xfId="0" applyNumberFormat="1" applyFont="1" applyFill="1" applyBorder="1" applyAlignment="1">
      <alignment horizontal="center" vertical="center"/>
    </xf>
    <xf numFmtId="14" fontId="10" fillId="20" borderId="2" xfId="0" applyNumberFormat="1" applyFont="1" applyFill="1" applyBorder="1" applyAlignment="1">
      <alignment horizontal="center" vertical="center"/>
    </xf>
    <xf numFmtId="14" fontId="8" fillId="10" borderId="2" xfId="0" applyNumberFormat="1" applyFont="1" applyFill="1" applyBorder="1" applyAlignment="1">
      <alignment horizontal="left" vertical="center"/>
    </xf>
    <xf numFmtId="14" fontId="8" fillId="12" borderId="2" xfId="0" applyNumberFormat="1" applyFont="1" applyFill="1" applyBorder="1" applyAlignment="1">
      <alignment horizontal="left" vertical="center"/>
    </xf>
    <xf numFmtId="14" fontId="85" fillId="0" borderId="3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8" fillId="10" borderId="6" xfId="1" applyNumberFormat="1" applyFont="1" applyFill="1" applyBorder="1" applyAlignment="1">
      <alignment horizontal="left" vertical="center" wrapText="1"/>
    </xf>
    <xf numFmtId="176" fontId="8" fillId="10" borderId="7" xfId="1" applyNumberFormat="1" applyFont="1" applyFill="1" applyBorder="1" applyAlignment="1">
      <alignment horizontal="left" vertical="center" wrapText="1"/>
    </xf>
    <xf numFmtId="176" fontId="8" fillId="10" borderId="8" xfId="1" applyNumberFormat="1" applyFont="1" applyFill="1" applyBorder="1" applyAlignment="1">
      <alignment horizontal="left" vertical="center" wrapText="1"/>
    </xf>
    <xf numFmtId="176" fontId="8" fillId="10" borderId="6" xfId="1" applyNumberFormat="1" applyFont="1" applyFill="1" applyBorder="1" applyAlignment="1">
      <alignment horizontal="center" vertical="center"/>
    </xf>
    <xf numFmtId="176" fontId="8" fillId="10" borderId="7" xfId="1" applyNumberFormat="1" applyFont="1" applyFill="1" applyBorder="1" applyAlignment="1">
      <alignment horizontal="center" vertical="center"/>
    </xf>
    <xf numFmtId="176" fontId="8" fillId="10" borderId="8" xfId="1" applyNumberFormat="1" applyFont="1" applyFill="1" applyBorder="1" applyAlignment="1">
      <alignment horizontal="center" vertical="center"/>
    </xf>
    <xf numFmtId="176" fontId="8" fillId="12" borderId="6" xfId="1" applyNumberFormat="1" applyFont="1" applyFill="1" applyBorder="1" applyAlignment="1">
      <alignment horizontal="center" vertical="center"/>
    </xf>
    <xf numFmtId="176" fontId="8" fillId="12" borderId="7" xfId="1" applyNumberFormat="1" applyFont="1" applyFill="1" applyBorder="1" applyAlignment="1">
      <alignment horizontal="center" vertical="center"/>
    </xf>
    <xf numFmtId="176" fontId="8" fillId="12" borderId="8" xfId="1" applyNumberFormat="1" applyFont="1" applyFill="1" applyBorder="1" applyAlignment="1">
      <alignment horizontal="center" vertical="center"/>
    </xf>
    <xf numFmtId="176" fontId="8" fillId="10" borderId="6" xfId="1" applyNumberFormat="1" applyFont="1" applyFill="1" applyBorder="1" applyAlignment="1">
      <alignment horizontal="center" vertical="center" wrapText="1"/>
    </xf>
    <xf numFmtId="176" fontId="8" fillId="10" borderId="7" xfId="1" applyNumberFormat="1" applyFont="1" applyFill="1" applyBorder="1" applyAlignment="1">
      <alignment horizontal="center" vertical="center" wrapText="1"/>
    </xf>
    <xf numFmtId="176" fontId="8" fillId="10" borderId="8" xfId="1" applyNumberFormat="1" applyFont="1" applyFill="1" applyBorder="1" applyAlignment="1">
      <alignment horizontal="center" vertical="center" wrapText="1"/>
    </xf>
    <xf numFmtId="176" fontId="8" fillId="10" borderId="6" xfId="1" applyNumberFormat="1" applyFont="1" applyFill="1" applyBorder="1" applyAlignment="1">
      <alignment horizontal="left" vertical="center"/>
    </xf>
    <xf numFmtId="176" fontId="8" fillId="10" borderId="7" xfId="1" applyNumberFormat="1" applyFont="1" applyFill="1" applyBorder="1" applyAlignment="1">
      <alignment horizontal="left" vertical="center"/>
    </xf>
    <xf numFmtId="176" fontId="8" fillId="10" borderId="8" xfId="1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 wrapText="1"/>
    </xf>
    <xf numFmtId="43" fontId="8" fillId="6" borderId="2" xfId="1" applyFont="1" applyFill="1" applyBorder="1" applyAlignment="1">
      <alignment horizontal="center" vertical="center"/>
    </xf>
    <xf numFmtId="176" fontId="8" fillId="6" borderId="2" xfId="1" applyNumberFormat="1" applyFont="1" applyFill="1" applyBorder="1" applyAlignment="1">
      <alignment horizontal="right" vertical="center"/>
    </xf>
    <xf numFmtId="0" fontId="8" fillId="20" borderId="2" xfId="0" applyFont="1" applyFill="1" applyBorder="1" applyAlignment="1">
      <alignment horizontal="center" vertical="center" wrapText="1"/>
    </xf>
    <xf numFmtId="176" fontId="8" fillId="20" borderId="2" xfId="1" applyNumberFormat="1" applyFont="1" applyFill="1" applyBorder="1" applyAlignment="1">
      <alignment horizontal="right" vertical="center"/>
    </xf>
    <xf numFmtId="14" fontId="8" fillId="6" borderId="2" xfId="0" applyNumberFormat="1" applyFont="1" applyFill="1" applyBorder="1" applyAlignment="1">
      <alignment horizontal="left" vertical="center"/>
    </xf>
    <xf numFmtId="14" fontId="8" fillId="20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 wrapText="1"/>
    </xf>
    <xf numFmtId="43" fontId="8" fillId="5" borderId="2" xfId="1" applyFont="1" applyFill="1" applyBorder="1" applyAlignment="1">
      <alignment horizontal="center" vertical="center"/>
    </xf>
    <xf numFmtId="176" fontId="8" fillId="5" borderId="2" xfId="1" applyNumberFormat="1" applyFont="1" applyFill="1" applyBorder="1" applyAlignment="1">
      <alignment horizontal="right" vertical="center"/>
    </xf>
    <xf numFmtId="14" fontId="8" fillId="5" borderId="2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 wrapText="1"/>
    </xf>
    <xf numFmtId="43" fontId="8" fillId="10" borderId="2" xfId="1" applyFont="1" applyFill="1" applyBorder="1" applyAlignment="1">
      <alignment horizontal="right" vertical="center"/>
    </xf>
    <xf numFmtId="176" fontId="8" fillId="10" borderId="2" xfId="1" applyNumberFormat="1" applyFont="1" applyFill="1" applyBorder="1" applyAlignment="1">
      <alignment horizontal="right" vertical="center"/>
    </xf>
    <xf numFmtId="43" fontId="8" fillId="10" borderId="2" xfId="1" applyFont="1" applyFill="1" applyBorder="1" applyAlignment="1">
      <alignment horizontal="center" vertical="center"/>
    </xf>
    <xf numFmtId="176" fontId="8" fillId="1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85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43" fontId="8" fillId="12" borderId="2" xfId="1" applyFont="1" applyFill="1" applyBorder="1" applyAlignment="1">
      <alignment horizontal="center" vertical="center"/>
    </xf>
    <xf numFmtId="176" fontId="8" fillId="12" borderId="2" xfId="1" applyNumberFormat="1" applyFont="1" applyFill="1" applyBorder="1" applyAlignment="1">
      <alignment horizontal="right" vertical="center"/>
    </xf>
    <xf numFmtId="176" fontId="8" fillId="20" borderId="2" xfId="1" applyNumberFormat="1" applyFont="1" applyFill="1" applyBorder="1" applyAlignment="1">
      <alignment horizontal="center" vertical="center" wrapText="1"/>
    </xf>
    <xf numFmtId="176" fontId="8" fillId="5" borderId="2" xfId="1" applyNumberFormat="1" applyFont="1" applyFill="1" applyBorder="1" applyAlignment="1">
      <alignment vertical="center" wrapText="1"/>
    </xf>
    <xf numFmtId="176" fontId="8" fillId="6" borderId="2" xfId="1" applyNumberFormat="1" applyFont="1" applyFill="1" applyBorder="1" applyAlignment="1">
      <alignment vertical="center" wrapText="1"/>
    </xf>
    <xf numFmtId="176" fontId="8" fillId="6" borderId="2" xfId="1" applyNumberFormat="1" applyFont="1" applyFill="1" applyBorder="1" applyAlignment="1">
      <alignment vertical="center"/>
    </xf>
    <xf numFmtId="176" fontId="8" fillId="20" borderId="2" xfId="1" applyNumberFormat="1" applyFont="1" applyFill="1" applyBorder="1" applyAlignment="1">
      <alignment vertical="center" wrapText="1"/>
    </xf>
    <xf numFmtId="0" fontId="8" fillId="20" borderId="2" xfId="0" applyFont="1" applyFill="1" applyBorder="1" applyAlignment="1">
      <alignment horizontal="center" vertical="center"/>
    </xf>
    <xf numFmtId="43" fontId="8" fillId="20" borderId="2" xfId="1" applyFont="1" applyFill="1" applyBorder="1" applyAlignment="1">
      <alignment horizontal="center" vertical="center"/>
    </xf>
    <xf numFmtId="0" fontId="80" fillId="0" borderId="10" xfId="3" applyFont="1" applyBorder="1" applyAlignment="1">
      <alignment horizontal="right" vertical="center" wrapText="1"/>
    </xf>
    <xf numFmtId="0" fontId="81" fillId="2" borderId="39" xfId="3" applyFont="1" applyFill="1" applyBorder="1" applyAlignment="1">
      <alignment horizontal="center" vertical="center"/>
    </xf>
    <xf numFmtId="0" fontId="81" fillId="2" borderId="40" xfId="3" applyFont="1" applyFill="1" applyBorder="1" applyAlignment="1">
      <alignment horizontal="center" vertical="center"/>
    </xf>
    <xf numFmtId="0" fontId="20" fillId="13" borderId="16" xfId="3" applyFont="1" applyFill="1" applyBorder="1" applyAlignment="1">
      <alignment horizontal="center" vertical="center"/>
    </xf>
    <xf numFmtId="0" fontId="20" fillId="13" borderId="17" xfId="3" applyFont="1" applyFill="1" applyBorder="1" applyAlignment="1">
      <alignment horizontal="center" vertical="center"/>
    </xf>
    <xf numFmtId="0" fontId="20" fillId="13" borderId="18" xfId="3" applyFont="1" applyFill="1" applyBorder="1" applyAlignment="1">
      <alignment horizontal="center" vertical="center"/>
    </xf>
    <xf numFmtId="0" fontId="20" fillId="5" borderId="19" xfId="3" applyFont="1" applyFill="1" applyBorder="1" applyAlignment="1">
      <alignment horizontal="center" vertical="center"/>
    </xf>
    <xf numFmtId="0" fontId="20" fillId="5" borderId="16" xfId="3" applyFont="1" applyFill="1" applyBorder="1" applyAlignment="1">
      <alignment horizontal="center" vertical="center"/>
    </xf>
    <xf numFmtId="0" fontId="20" fillId="5" borderId="17" xfId="3" applyFont="1" applyFill="1" applyBorder="1" applyAlignment="1">
      <alignment horizontal="center" vertical="center"/>
    </xf>
    <xf numFmtId="0" fontId="20" fillId="5" borderId="18" xfId="3" applyFont="1" applyFill="1" applyBorder="1" applyAlignment="1">
      <alignment horizontal="center" vertical="center"/>
    </xf>
    <xf numFmtId="0" fontId="48" fillId="16" borderId="4" xfId="4" applyFont="1" applyFill="1" applyBorder="1" applyAlignment="1">
      <alignment horizontal="center" vertical="center" wrapText="1"/>
    </xf>
    <xf numFmtId="0" fontId="48" fillId="16" borderId="4" xfId="4" applyFont="1" applyFill="1" applyBorder="1" applyAlignment="1">
      <alignment horizontal="center" vertical="center"/>
    </xf>
    <xf numFmtId="0" fontId="48" fillId="16" borderId="5" xfId="4" applyFont="1" applyFill="1" applyBorder="1" applyAlignment="1">
      <alignment horizontal="center" vertical="center"/>
    </xf>
    <xf numFmtId="0" fontId="50" fillId="0" borderId="2" xfId="4" applyFont="1" applyBorder="1" applyAlignment="1">
      <alignment horizontal="center"/>
    </xf>
    <xf numFmtId="0" fontId="42" fillId="14" borderId="3" xfId="4" applyFont="1" applyFill="1" applyBorder="1" applyAlignment="1">
      <alignment horizontal="center" vertical="center"/>
    </xf>
    <xf numFmtId="0" fontId="42" fillId="14" borderId="4" xfId="4" applyFont="1" applyFill="1" applyBorder="1" applyAlignment="1">
      <alignment horizontal="center" vertical="center"/>
    </xf>
    <xf numFmtId="0" fontId="42" fillId="14" borderId="5" xfId="4" applyFont="1" applyFill="1" applyBorder="1" applyAlignment="1">
      <alignment horizontal="center" vertical="center"/>
    </xf>
    <xf numFmtId="0" fontId="42" fillId="14" borderId="3" xfId="4" applyFont="1" applyFill="1" applyBorder="1" applyAlignment="1">
      <alignment horizontal="center" vertical="center" wrapText="1"/>
    </xf>
    <xf numFmtId="0" fontId="42" fillId="14" borderId="4" xfId="4" applyFont="1" applyFill="1" applyBorder="1" applyAlignment="1">
      <alignment horizontal="center" vertical="center" wrapText="1"/>
    </xf>
    <xf numFmtId="0" fontId="42" fillId="2" borderId="3" xfId="4" applyFont="1" applyFill="1" applyBorder="1" applyAlignment="1">
      <alignment horizontal="center" vertical="center" wrapText="1"/>
    </xf>
    <xf numFmtId="0" fontId="42" fillId="2" borderId="4" xfId="4" applyFont="1" applyFill="1" applyBorder="1" applyAlignment="1">
      <alignment horizontal="center" vertical="center" wrapText="1"/>
    </xf>
    <xf numFmtId="0" fontId="42" fillId="2" borderId="4" xfId="4" applyFont="1" applyFill="1" applyBorder="1" applyAlignment="1">
      <alignment horizontal="center" vertical="center"/>
    </xf>
    <xf numFmtId="0" fontId="42" fillId="2" borderId="5" xfId="4" applyFont="1" applyFill="1" applyBorder="1" applyAlignment="1">
      <alignment horizontal="center" vertical="center"/>
    </xf>
    <xf numFmtId="0" fontId="42" fillId="0" borderId="3" xfId="4" applyFont="1" applyBorder="1" applyAlignment="1">
      <alignment horizontal="center" vertical="center" wrapText="1"/>
    </xf>
    <xf numFmtId="0" fontId="42" fillId="0" borderId="4" xfId="4" applyFont="1" applyBorder="1" applyAlignment="1">
      <alignment horizontal="center" vertical="center" wrapText="1"/>
    </xf>
    <xf numFmtId="0" fontId="42" fillId="0" borderId="5" xfId="4" applyFont="1" applyBorder="1" applyAlignment="1">
      <alignment horizontal="center" vertical="center" wrapText="1"/>
    </xf>
  </cellXfs>
  <cellStyles count="12">
    <cellStyle name="Comma 2" xfId="5" xr:uid="{00000000-0005-0000-0000-000000000000}"/>
    <cellStyle name="Normal 6" xfId="4" xr:uid="{00000000-0005-0000-0000-000001000000}"/>
    <cellStyle name="Percent 3" xfId="7" xr:uid="{00000000-0005-0000-0000-000002000000}"/>
    <cellStyle name="一般" xfId="0" builtinId="0"/>
    <cellStyle name="一般 2" xfId="3" xr:uid="{00000000-0005-0000-0000-000004000000}"/>
    <cellStyle name="一般 3" xfId="9" xr:uid="{00000000-0005-0000-0000-000005000000}"/>
    <cellStyle name="一般_APCN2 Billing Forecast - PG2" xfId="6" xr:uid="{00000000-0005-0000-0000-000006000000}"/>
    <cellStyle name="千分位" xfId="1" builtinId="3"/>
    <cellStyle name="千分位 2" xfId="11" xr:uid="{00000000-0005-0000-0000-000008000000}"/>
    <cellStyle name="百分比" xfId="2" builtinId="5"/>
    <cellStyle name="貨幣" xfId="8" builtinId="4"/>
    <cellStyle name="超連結" xfId="10" builtinId="8"/>
  </cellStyles>
  <dxfs count="0"/>
  <tableStyles count="0" defaultTableStyle="TableStyleMedium2" defaultPivotStyle="PivotStyleLight16"/>
  <colors>
    <mruColors>
      <color rgb="FFFFFFCC"/>
      <color rgb="FF0000FF"/>
      <color rgb="FF0066FF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wangkai@chinaunicom.cn" TargetMode="External"/><Relationship Id="rId2" Type="http://schemas.openxmlformats.org/officeDocument/2006/relationships/hyperlink" Target="mailto:seungdeok.han@kt.com" TargetMode="External"/><Relationship Id="rId1" Type="http://schemas.openxmlformats.org/officeDocument/2006/relationships/hyperlink" Target="mailto:chupk@chinatelecomglobal.com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15"/>
  <sheetViews>
    <sheetView showGridLines="0" zoomScale="80" zoomScaleNormal="80" workbookViewId="0">
      <selection activeCell="C14" sqref="C14"/>
    </sheetView>
  </sheetViews>
  <sheetFormatPr defaultRowHeight="16.5"/>
  <cols>
    <col min="1" max="1" width="8.25" customWidth="1"/>
    <col min="2" max="2" width="30.875" customWidth="1"/>
    <col min="3" max="8" width="18.125" customWidth="1"/>
    <col min="9" max="9" width="12.75" customWidth="1"/>
  </cols>
  <sheetData>
    <row r="1" spans="1:9" ht="39.950000000000003" customHeight="1">
      <c r="A1" s="232" t="s">
        <v>0</v>
      </c>
      <c r="H1" s="294" t="s">
        <v>1</v>
      </c>
    </row>
    <row r="2" spans="1:9" ht="23.1" customHeight="1">
      <c r="A2" s="232"/>
      <c r="C2" s="468" t="s">
        <v>2</v>
      </c>
      <c r="D2" s="468"/>
      <c r="E2" s="468"/>
      <c r="F2" s="469" t="s">
        <v>3</v>
      </c>
      <c r="G2" s="469"/>
      <c r="H2" s="469"/>
    </row>
    <row r="3" spans="1:9" ht="31.5">
      <c r="A3" s="238" t="s">
        <v>4</v>
      </c>
      <c r="B3" s="238" t="s">
        <v>5</v>
      </c>
      <c r="C3" s="287" t="s">
        <v>6</v>
      </c>
      <c r="D3" s="287" t="s">
        <v>7</v>
      </c>
      <c r="E3" s="287" t="s">
        <v>8</v>
      </c>
      <c r="F3" s="264" t="s">
        <v>6</v>
      </c>
      <c r="G3" s="264" t="s">
        <v>9</v>
      </c>
      <c r="H3" s="264" t="s">
        <v>8</v>
      </c>
      <c r="I3" s="290" t="s">
        <v>10</v>
      </c>
    </row>
    <row r="4" spans="1:9" ht="36.6" customHeight="1">
      <c r="A4" s="284">
        <v>9</v>
      </c>
      <c r="B4" s="286" t="s">
        <v>11</v>
      </c>
      <c r="C4" s="282" t="s">
        <v>12</v>
      </c>
      <c r="D4" s="282" t="s">
        <v>12</v>
      </c>
      <c r="E4" s="282" t="s">
        <v>12</v>
      </c>
      <c r="F4" s="282" t="e">
        <f>'Report_MC#18'!J4</f>
        <v>#REF!</v>
      </c>
      <c r="G4" s="282">
        <f>'Report_MC#18'!K5</f>
        <v>39892.129999999997</v>
      </c>
      <c r="H4" s="282" t="e">
        <f>G4-F4</f>
        <v>#REF!</v>
      </c>
      <c r="I4" s="291" t="s">
        <v>13</v>
      </c>
    </row>
    <row r="5" spans="1:9" ht="36.6" customHeight="1">
      <c r="A5" s="284">
        <v>10</v>
      </c>
      <c r="B5" s="283" t="s">
        <v>14</v>
      </c>
      <c r="C5" s="282">
        <f>'Report_MC#18'!D18</f>
        <v>998554.56</v>
      </c>
      <c r="D5" s="282">
        <f>'Report_MC#18'!E18</f>
        <v>998554.56</v>
      </c>
      <c r="E5" s="282">
        <f>D5-C5</f>
        <v>0</v>
      </c>
      <c r="F5" s="282">
        <f>'Report_MC#18'!J18</f>
        <v>998554.55999999994</v>
      </c>
      <c r="G5" s="282">
        <f>'Report_MC#18'!K18</f>
        <v>1031718.2488056</v>
      </c>
      <c r="H5" s="282">
        <f>G5-F5</f>
        <v>33163.688805600046</v>
      </c>
      <c r="I5" s="291" t="s">
        <v>15</v>
      </c>
    </row>
    <row r="6" spans="1:9" ht="36.6" customHeight="1">
      <c r="A6" s="284">
        <v>11</v>
      </c>
      <c r="B6" s="283" t="s">
        <v>16</v>
      </c>
      <c r="C6" s="282">
        <f>'Report_MC#18'!D22</f>
        <v>59620</v>
      </c>
      <c r="D6" s="282">
        <f>'Report_MC#18'!E22</f>
        <v>59620</v>
      </c>
      <c r="E6" s="282">
        <f t="shared" ref="E6:E8" si="0">D6-C6</f>
        <v>0</v>
      </c>
      <c r="F6" s="282">
        <f>'Report_MC#18'!J22</f>
        <v>59620</v>
      </c>
      <c r="G6" s="282">
        <f>'Report_MC#18'!K22</f>
        <v>59620</v>
      </c>
      <c r="H6" s="282">
        <f t="shared" ref="H6:H8" si="1">G6-F6</f>
        <v>0</v>
      </c>
    </row>
    <row r="7" spans="1:9" ht="36.6" customHeight="1">
      <c r="A7" s="284">
        <v>11</v>
      </c>
      <c r="B7" s="283" t="s">
        <v>17</v>
      </c>
      <c r="C7" s="282">
        <f>SUM('Report_MC#18'!D26,'Report_MC#18'!D30)</f>
        <v>440964</v>
      </c>
      <c r="D7" s="282">
        <f>SUM('Report_MC#18'!E26,'Report_MC#18'!E30)</f>
        <v>0</v>
      </c>
      <c r="E7" s="282">
        <f t="shared" si="0"/>
        <v>-440964</v>
      </c>
      <c r="F7" s="282">
        <f>SUM('Report_MC#18'!J26,'Report_MC#18'!J30)</f>
        <v>440964</v>
      </c>
      <c r="G7" s="282">
        <f>SUM('Report_MC#18'!K26,'Report_MC#18'!K30)</f>
        <v>90563.02</v>
      </c>
      <c r="H7" s="282">
        <f t="shared" si="1"/>
        <v>-350400.98</v>
      </c>
      <c r="I7" s="291" t="s">
        <v>18</v>
      </c>
    </row>
    <row r="8" spans="1:9" ht="36.6" customHeight="1">
      <c r="A8" s="284">
        <v>12</v>
      </c>
      <c r="B8" s="283" t="s">
        <v>16</v>
      </c>
      <c r="C8" s="282">
        <f>'Report_MC#18'!D35</f>
        <v>214378.6</v>
      </c>
      <c r="D8" s="282">
        <f>'Report_MC#18'!E35</f>
        <v>0</v>
      </c>
      <c r="E8" s="282">
        <f t="shared" si="0"/>
        <v>-214378.6</v>
      </c>
      <c r="F8" s="282">
        <f>'Report_MC#18'!J35</f>
        <v>214378.60999999996</v>
      </c>
      <c r="G8" s="282">
        <f>'Report_MC#18'!K35</f>
        <v>162991.05999999997</v>
      </c>
      <c r="H8" s="282">
        <f t="shared" si="1"/>
        <v>-51387.549999999988</v>
      </c>
      <c r="I8" s="291" t="s">
        <v>19</v>
      </c>
    </row>
    <row r="9" spans="1:9" s="237" customFormat="1" ht="32.450000000000003" customHeight="1">
      <c r="A9" s="285"/>
      <c r="B9" s="285" t="s">
        <v>20</v>
      </c>
      <c r="C9" s="288">
        <f>SUM(C4:C8)</f>
        <v>1713517.1600000001</v>
      </c>
      <c r="D9" s="288">
        <f t="shared" ref="D9:H9" si="2">SUM(D4:D8)</f>
        <v>1058174.56</v>
      </c>
      <c r="E9" s="288">
        <f t="shared" si="2"/>
        <v>-655342.6</v>
      </c>
      <c r="F9" s="289" t="e">
        <f t="shared" si="2"/>
        <v>#REF!</v>
      </c>
      <c r="G9" s="289">
        <f t="shared" si="2"/>
        <v>1384784.4588055999</v>
      </c>
      <c r="H9" s="289" t="e">
        <f t="shared" si="2"/>
        <v>#REF!</v>
      </c>
    </row>
    <row r="12" spans="1:9">
      <c r="D12" s="292"/>
    </row>
    <row r="13" spans="1:9">
      <c r="D13" s="293"/>
    </row>
    <row r="14" spans="1:9">
      <c r="D14" s="293"/>
    </row>
    <row r="15" spans="1:9">
      <c r="D15" s="293"/>
    </row>
  </sheetData>
  <mergeCells count="2">
    <mergeCell ref="C2:E2"/>
    <mergeCell ref="F2:H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R40"/>
  <sheetViews>
    <sheetView showGridLines="0" zoomScale="75" zoomScaleNormal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3" sqref="J23"/>
    </sheetView>
  </sheetViews>
  <sheetFormatPr defaultRowHeight="16.5" outlineLevelRow="1"/>
  <cols>
    <col min="1" max="1" width="8.875" bestFit="1" customWidth="1"/>
    <col min="2" max="2" width="9.875" bestFit="1" customWidth="1"/>
    <col min="3" max="3" width="13.75" customWidth="1"/>
    <col min="4" max="5" width="16.5" customWidth="1"/>
    <col min="6" max="7" width="16.625" customWidth="1"/>
    <col min="8" max="8" width="7.75" style="235" bestFit="1" customWidth="1"/>
    <col min="9" max="9" width="16.5" customWidth="1"/>
    <col min="10" max="10" width="14.5" bestFit="1" customWidth="1"/>
    <col min="11" max="11" width="18.625" bestFit="1" customWidth="1"/>
    <col min="12" max="12" width="16.375" customWidth="1"/>
    <col min="13" max="14" width="11.875" customWidth="1"/>
    <col min="15" max="15" width="13.375" customWidth="1"/>
    <col min="16" max="16" width="2" customWidth="1"/>
    <col min="17" max="17" width="17.125" style="237" bestFit="1" customWidth="1"/>
    <col min="18" max="18" width="8.75" style="233"/>
  </cols>
  <sheetData>
    <row r="1" spans="1:18" ht="38.1" customHeight="1" thickBot="1">
      <c r="A1" s="232" t="s">
        <v>0</v>
      </c>
      <c r="O1" s="294" t="s">
        <v>1</v>
      </c>
    </row>
    <row r="2" spans="1:18" ht="28.5" customHeight="1">
      <c r="C2" s="473" t="s">
        <v>21</v>
      </c>
      <c r="D2" s="474"/>
      <c r="E2" s="474"/>
      <c r="F2" s="474"/>
      <c r="G2" s="475"/>
      <c r="H2" s="470" t="s">
        <v>22</v>
      </c>
      <c r="I2" s="471"/>
      <c r="J2" s="471"/>
      <c r="K2" s="471"/>
      <c r="L2" s="471"/>
      <c r="M2" s="471"/>
      <c r="N2" s="471"/>
      <c r="O2" s="472"/>
    </row>
    <row r="3" spans="1:18" s="237" customFormat="1" ht="44.1" customHeight="1">
      <c r="A3" s="238" t="s">
        <v>4</v>
      </c>
      <c r="B3" s="307" t="s">
        <v>23</v>
      </c>
      <c r="C3" s="263" t="s">
        <v>24</v>
      </c>
      <c r="D3" s="280" t="s">
        <v>25</v>
      </c>
      <c r="E3" s="281" t="s">
        <v>26</v>
      </c>
      <c r="F3" s="264" t="s">
        <v>27</v>
      </c>
      <c r="G3" s="299" t="s">
        <v>28</v>
      </c>
      <c r="H3" s="265" t="s">
        <v>29</v>
      </c>
      <c r="I3" s="239" t="s">
        <v>30</v>
      </c>
      <c r="J3" s="240" t="s">
        <v>31</v>
      </c>
      <c r="K3" s="240" t="s">
        <v>32</v>
      </c>
      <c r="L3" s="240" t="s">
        <v>33</v>
      </c>
      <c r="M3" s="241" t="s">
        <v>28</v>
      </c>
      <c r="N3" s="240" t="s">
        <v>34</v>
      </c>
      <c r="O3" s="266" t="s">
        <v>35</v>
      </c>
      <c r="Q3" s="248" t="s">
        <v>36</v>
      </c>
      <c r="R3" s="267"/>
    </row>
    <row r="4" spans="1:18" s="234" customFormat="1" ht="18.600000000000001" customHeight="1" outlineLevel="1">
      <c r="A4" s="247">
        <v>9</v>
      </c>
      <c r="B4" s="306" t="s">
        <v>11</v>
      </c>
      <c r="C4" s="259" t="s">
        <v>37</v>
      </c>
      <c r="D4" s="244"/>
      <c r="E4" s="244"/>
      <c r="F4" s="244"/>
      <c r="G4" s="301" t="s">
        <v>38</v>
      </c>
      <c r="H4" s="261" t="s">
        <v>39</v>
      </c>
      <c r="I4" s="245"/>
      <c r="J4" s="246" t="e">
        <f>SUM('theCBP books'!#REF!)</f>
        <v>#REF!</v>
      </c>
      <c r="K4" s="246">
        <f>SUM('theCBP books'!U11:U14)</f>
        <v>39892.129999999997</v>
      </c>
      <c r="L4" s="245" t="e">
        <f>K4-J4</f>
        <v>#REF!</v>
      </c>
      <c r="M4" s="345">
        <v>44126</v>
      </c>
      <c r="N4" s="345">
        <v>44126</v>
      </c>
      <c r="O4" s="366">
        <f>-DATEDIF(N4,M4,"d")</f>
        <v>0</v>
      </c>
      <c r="Q4" s="236"/>
    </row>
    <row r="5" spans="1:18" s="234" customFormat="1" ht="23.1" customHeight="1">
      <c r="A5" s="257">
        <v>9</v>
      </c>
      <c r="B5" s="258" t="s">
        <v>40</v>
      </c>
      <c r="C5" s="340" t="s">
        <v>41</v>
      </c>
      <c r="D5" s="308">
        <f>SUBTOTAL(9,D4)</f>
        <v>0</v>
      </c>
      <c r="E5" s="308">
        <v>0</v>
      </c>
      <c r="F5" s="308">
        <f>E5-D5</f>
        <v>0</v>
      </c>
      <c r="G5" s="300"/>
      <c r="H5" s="316"/>
      <c r="I5" s="317"/>
      <c r="J5" s="308" t="e">
        <f>SUBTOTAL(9,J4)</f>
        <v>#REF!</v>
      </c>
      <c r="K5" s="308">
        <f>SUBTOTAL(9,K4)</f>
        <v>39892.129999999997</v>
      </c>
      <c r="L5" s="308" t="e">
        <f>SUBTOTAL(9,L4)</f>
        <v>#REF!</v>
      </c>
      <c r="M5" s="346"/>
      <c r="N5" s="346"/>
      <c r="O5" s="367"/>
      <c r="Q5" s="248">
        <f>K5-E5</f>
        <v>39892.129999999997</v>
      </c>
      <c r="R5" s="234" t="s">
        <v>42</v>
      </c>
    </row>
    <row r="6" spans="1:18" s="234" customFormat="1" ht="18.600000000000001" customHeight="1" outlineLevel="1">
      <c r="A6" s="302">
        <v>10</v>
      </c>
      <c r="B6" s="303" t="s">
        <v>16</v>
      </c>
      <c r="C6" s="309" t="s">
        <v>43</v>
      </c>
      <c r="D6" s="310">
        <f>'theCBP books'!F15</f>
        <v>103311</v>
      </c>
      <c r="E6" s="310">
        <f>D6</f>
        <v>103311</v>
      </c>
      <c r="F6" s="310">
        <f>E6-D6</f>
        <v>0</v>
      </c>
      <c r="G6" s="341">
        <v>44404</v>
      </c>
      <c r="H6" s="318" t="s">
        <v>44</v>
      </c>
      <c r="I6" s="319" t="s">
        <v>45</v>
      </c>
      <c r="J6" s="347">
        <f>SUM('theCBP books'!N15:N18)</f>
        <v>60765.766277999996</v>
      </c>
      <c r="K6" s="347">
        <f>J6</f>
        <v>60765.766277999996</v>
      </c>
      <c r="L6" s="347">
        <f>K6-J6</f>
        <v>0</v>
      </c>
      <c r="M6" s="348">
        <v>44337</v>
      </c>
      <c r="N6" s="348">
        <v>44337</v>
      </c>
      <c r="O6" s="368">
        <f>-DATEDIF(N6,M6,"d")</f>
        <v>0</v>
      </c>
      <c r="Q6" s="236"/>
    </row>
    <row r="7" spans="1:18" s="234" customFormat="1" ht="18.600000000000001" customHeight="1" outlineLevel="1">
      <c r="A7" s="304">
        <v>10</v>
      </c>
      <c r="B7" s="305" t="s">
        <v>16</v>
      </c>
      <c r="C7" s="311" t="s">
        <v>46</v>
      </c>
      <c r="D7" s="312">
        <f>'theCBP books'!F18</f>
        <v>6000</v>
      </c>
      <c r="E7" s="312">
        <f>D7</f>
        <v>6000</v>
      </c>
      <c r="F7" s="312">
        <f>E7-D7</f>
        <v>0</v>
      </c>
      <c r="G7" s="342">
        <v>44404</v>
      </c>
      <c r="H7" s="320" t="s">
        <v>47</v>
      </c>
      <c r="I7" s="323" t="s">
        <v>48</v>
      </c>
      <c r="J7" s="349">
        <f>SUM('theCBP books'!N19:N22)</f>
        <v>48545.233722000012</v>
      </c>
      <c r="K7" s="349">
        <f t="shared" ref="K7:K13" si="0">J7</f>
        <v>48545.233722000012</v>
      </c>
      <c r="L7" s="349">
        <f t="shared" ref="L7:L16" si="1">K7-J7</f>
        <v>0</v>
      </c>
      <c r="M7" s="350">
        <v>44337</v>
      </c>
      <c r="N7" s="350">
        <v>44337</v>
      </c>
      <c r="O7" s="369">
        <f t="shared" ref="O7:O16" si="2">-DATEDIF(N7,M7,"d")</f>
        <v>0</v>
      </c>
      <c r="Q7" s="236"/>
    </row>
    <row r="8" spans="1:18" s="236" customFormat="1" ht="18.600000000000001" customHeight="1" outlineLevel="1">
      <c r="A8" s="329">
        <v>10</v>
      </c>
      <c r="B8" s="330" t="s">
        <v>16</v>
      </c>
      <c r="C8" s="331" t="s">
        <v>49</v>
      </c>
      <c r="D8" s="332">
        <f>SUBTOTAL(9,D6:D7)</f>
        <v>109311</v>
      </c>
      <c r="E8" s="332">
        <f>SUBTOTAL(9,E6:E7)</f>
        <v>109311</v>
      </c>
      <c r="F8" s="332">
        <f>SUBTOTAL(9,F6:F7)</f>
        <v>0</v>
      </c>
      <c r="G8" s="343"/>
      <c r="H8" s="333"/>
      <c r="I8" s="336"/>
      <c r="J8" s="332">
        <f>SUBTOTAL(9,J6:J7)</f>
        <v>109311</v>
      </c>
      <c r="K8" s="332">
        <f>SUBTOTAL(9,K6:K7)</f>
        <v>109311</v>
      </c>
      <c r="L8" s="332">
        <f>SUBTOTAL(9,L6:L7)</f>
        <v>0</v>
      </c>
      <c r="M8" s="351"/>
      <c r="N8" s="351"/>
      <c r="O8" s="370"/>
    </row>
    <row r="9" spans="1:18" s="234" customFormat="1" ht="18.600000000000001" customHeight="1" outlineLevel="1">
      <c r="A9" s="302">
        <v>10</v>
      </c>
      <c r="B9" s="303" t="s">
        <v>50</v>
      </c>
      <c r="C9" s="309" t="s">
        <v>43</v>
      </c>
      <c r="D9" s="310">
        <f>SUM('theCBP books'!F23:F26)</f>
        <v>414336.76</v>
      </c>
      <c r="E9" s="310">
        <f>D9</f>
        <v>414336.76</v>
      </c>
      <c r="F9" s="310">
        <f t="shared" ref="F9:F20" si="3">E9-D9</f>
        <v>0</v>
      </c>
      <c r="G9" s="341">
        <v>44497</v>
      </c>
      <c r="H9" s="318" t="s">
        <v>44</v>
      </c>
      <c r="I9" s="322" t="s">
        <v>51</v>
      </c>
      <c r="J9" s="347">
        <f>SUM('theCBP books'!N23:N28)</f>
        <v>234149.661112</v>
      </c>
      <c r="K9" s="347">
        <f t="shared" si="0"/>
        <v>234149.661112</v>
      </c>
      <c r="L9" s="347">
        <f t="shared" si="1"/>
        <v>0</v>
      </c>
      <c r="M9" s="348">
        <v>44499</v>
      </c>
      <c r="N9" s="348">
        <v>44470</v>
      </c>
      <c r="O9" s="368">
        <f t="shared" si="2"/>
        <v>-29</v>
      </c>
      <c r="Q9" s="236"/>
    </row>
    <row r="10" spans="1:18" s="234" customFormat="1" ht="18.600000000000001" customHeight="1" outlineLevel="1">
      <c r="A10" s="304">
        <v>10</v>
      </c>
      <c r="B10" s="305" t="s">
        <v>50</v>
      </c>
      <c r="C10" s="311" t="s">
        <v>46</v>
      </c>
      <c r="D10" s="312">
        <f>'theCBP books'!F28</f>
        <v>6000</v>
      </c>
      <c r="E10" s="312">
        <f>D10</f>
        <v>6000</v>
      </c>
      <c r="F10" s="312">
        <f t="shared" si="3"/>
        <v>0</v>
      </c>
      <c r="G10" s="342">
        <v>44497</v>
      </c>
      <c r="H10" s="320" t="s">
        <v>47</v>
      </c>
      <c r="I10" s="323" t="s">
        <v>52</v>
      </c>
      <c r="J10" s="349">
        <f>SUM('theCBP books'!N29:N33)</f>
        <v>186187.09888800004</v>
      </c>
      <c r="K10" s="349">
        <f t="shared" si="0"/>
        <v>186187.09888800004</v>
      </c>
      <c r="L10" s="349">
        <f t="shared" si="1"/>
        <v>0</v>
      </c>
      <c r="M10" s="350">
        <v>44499</v>
      </c>
      <c r="N10" s="350">
        <v>44490</v>
      </c>
      <c r="O10" s="369">
        <f t="shared" si="2"/>
        <v>-9</v>
      </c>
      <c r="Q10" s="236"/>
    </row>
    <row r="11" spans="1:18" s="236" customFormat="1" ht="18.600000000000001" customHeight="1" outlineLevel="1">
      <c r="A11" s="329">
        <v>10</v>
      </c>
      <c r="B11" s="330" t="s">
        <v>50</v>
      </c>
      <c r="C11" s="331" t="s">
        <v>49</v>
      </c>
      <c r="D11" s="332">
        <f>SUBTOTAL(9,D9:D10)</f>
        <v>420336.76</v>
      </c>
      <c r="E11" s="332">
        <f>SUBTOTAL(9,E9:E10)</f>
        <v>420336.76</v>
      </c>
      <c r="F11" s="332">
        <f t="shared" si="3"/>
        <v>0</v>
      </c>
      <c r="G11" s="343"/>
      <c r="H11" s="333"/>
      <c r="I11" s="336"/>
      <c r="J11" s="332">
        <f>SUBTOTAL(9,J9:J10)</f>
        <v>420336.76</v>
      </c>
      <c r="K11" s="332">
        <f>SUBTOTAL(9,K9:K10)</f>
        <v>420336.76</v>
      </c>
      <c r="L11" s="332">
        <f>SUBTOTAL(9,L9:L10)</f>
        <v>0</v>
      </c>
      <c r="M11" s="351"/>
      <c r="N11" s="351"/>
      <c r="O11" s="370"/>
    </row>
    <row r="12" spans="1:18" s="234" customFormat="1" ht="18.600000000000001" customHeight="1" outlineLevel="1">
      <c r="A12" s="302">
        <v>10</v>
      </c>
      <c r="B12" s="303" t="s">
        <v>53</v>
      </c>
      <c r="C12" s="309" t="s">
        <v>43</v>
      </c>
      <c r="D12" s="310">
        <f>'theCBP books'!F34</f>
        <v>413244</v>
      </c>
      <c r="E12" s="310">
        <f>D12</f>
        <v>413244</v>
      </c>
      <c r="F12" s="310">
        <f t="shared" si="3"/>
        <v>0</v>
      </c>
      <c r="G12" s="341">
        <v>44537</v>
      </c>
      <c r="H12" s="318" t="s">
        <v>44</v>
      </c>
      <c r="I12" s="322" t="s">
        <v>54</v>
      </c>
      <c r="J12" s="347">
        <f>SUM('theCBP books'!N34:N38)</f>
        <v>233056.90111199999</v>
      </c>
      <c r="K12" s="347">
        <f t="shared" si="0"/>
        <v>233056.90111199999</v>
      </c>
      <c r="L12" s="347">
        <f t="shared" si="1"/>
        <v>0</v>
      </c>
      <c r="M12" s="348">
        <v>44548</v>
      </c>
      <c r="N12" s="348">
        <v>44519</v>
      </c>
      <c r="O12" s="368">
        <f>-DATEDIF(N12,M12,"d")</f>
        <v>-29</v>
      </c>
      <c r="Q12" s="236"/>
    </row>
    <row r="13" spans="1:18" s="234" customFormat="1" ht="18.600000000000001" customHeight="1" outlineLevel="1">
      <c r="A13" s="304">
        <v>10</v>
      </c>
      <c r="B13" s="305" t="s">
        <v>53</v>
      </c>
      <c r="C13" s="311" t="s">
        <v>46</v>
      </c>
      <c r="D13" s="312">
        <f>'theCBP books'!F38</f>
        <v>6000</v>
      </c>
      <c r="E13" s="312">
        <f>D13</f>
        <v>6000</v>
      </c>
      <c r="F13" s="312">
        <f t="shared" si="3"/>
        <v>0</v>
      </c>
      <c r="G13" s="342">
        <v>44537</v>
      </c>
      <c r="H13" s="320" t="s">
        <v>47</v>
      </c>
      <c r="I13" s="323" t="s">
        <v>55</v>
      </c>
      <c r="J13" s="349">
        <f>SUM('theCBP books'!N39:N43)</f>
        <v>186187.09888800004</v>
      </c>
      <c r="K13" s="349">
        <f t="shared" si="0"/>
        <v>186187.09888800004</v>
      </c>
      <c r="L13" s="349">
        <f t="shared" si="1"/>
        <v>0</v>
      </c>
      <c r="M13" s="350">
        <v>44548</v>
      </c>
      <c r="N13" s="350">
        <v>44525</v>
      </c>
      <c r="O13" s="369">
        <f t="shared" si="2"/>
        <v>-23</v>
      </c>
      <c r="Q13" s="236"/>
    </row>
    <row r="14" spans="1:18" s="236" customFormat="1" ht="18.600000000000001" customHeight="1" outlineLevel="1">
      <c r="A14" s="329">
        <v>10</v>
      </c>
      <c r="B14" s="330" t="s">
        <v>53</v>
      </c>
      <c r="C14" s="331" t="s">
        <v>49</v>
      </c>
      <c r="D14" s="332">
        <f>SUBTOTAL(9,D12:D13)</f>
        <v>419244</v>
      </c>
      <c r="E14" s="332">
        <f>SUBTOTAL(9,E12:E13)</f>
        <v>419244</v>
      </c>
      <c r="F14" s="332">
        <f t="shared" si="3"/>
        <v>0</v>
      </c>
      <c r="G14" s="343"/>
      <c r="H14" s="333"/>
      <c r="I14" s="336"/>
      <c r="J14" s="332">
        <f>SUBTOTAL(9,J12:J13)</f>
        <v>419244</v>
      </c>
      <c r="K14" s="332">
        <f>SUBTOTAL(9,K12:K13)</f>
        <v>419244</v>
      </c>
      <c r="L14" s="332">
        <f>SUBTOTAL(9,L12:L13)</f>
        <v>0</v>
      </c>
      <c r="M14" s="351"/>
      <c r="N14" s="351"/>
      <c r="O14" s="370"/>
    </row>
    <row r="15" spans="1:18" s="234" customFormat="1" ht="18.600000000000001" customHeight="1" outlineLevel="1">
      <c r="A15" s="302">
        <v>10</v>
      </c>
      <c r="B15" s="303" t="s">
        <v>56</v>
      </c>
      <c r="C15" s="309" t="s">
        <v>43</v>
      </c>
      <c r="D15" s="310">
        <f>SUM('theCBP books'!F44:F46)</f>
        <v>43662.8</v>
      </c>
      <c r="E15" s="310">
        <f>D15</f>
        <v>43662.8</v>
      </c>
      <c r="F15" s="310">
        <f t="shared" si="3"/>
        <v>0</v>
      </c>
      <c r="G15" s="341">
        <v>44641</v>
      </c>
      <c r="H15" s="318" t="s">
        <v>44</v>
      </c>
      <c r="I15" s="322" t="s">
        <v>57</v>
      </c>
      <c r="J15" s="347">
        <f>SUM('theCBP books'!N44:N50)</f>
        <v>27607.451194399997</v>
      </c>
      <c r="K15" s="347">
        <v>60771.14</v>
      </c>
      <c r="L15" s="347">
        <f>K15-J15</f>
        <v>33163.688805600003</v>
      </c>
      <c r="M15" s="348">
        <v>44636</v>
      </c>
      <c r="N15" s="348">
        <v>44636</v>
      </c>
      <c r="O15" s="368">
        <f>-DATEDIF(N15,M15,"d")</f>
        <v>0</v>
      </c>
      <c r="Q15" s="236"/>
    </row>
    <row r="16" spans="1:18" s="234" customFormat="1" ht="18.600000000000001" customHeight="1" outlineLevel="1">
      <c r="A16" s="304">
        <v>10</v>
      </c>
      <c r="B16" s="305" t="s">
        <v>56</v>
      </c>
      <c r="C16" s="311" t="s">
        <v>46</v>
      </c>
      <c r="D16" s="312">
        <f>'theCBP books'!F49</f>
        <v>6000</v>
      </c>
      <c r="E16" s="312">
        <f>D16</f>
        <v>6000</v>
      </c>
      <c r="F16" s="312">
        <f t="shared" si="3"/>
        <v>0</v>
      </c>
      <c r="G16" s="342">
        <v>44641</v>
      </c>
      <c r="H16" s="320" t="s">
        <v>47</v>
      </c>
      <c r="I16" s="323" t="s">
        <v>58</v>
      </c>
      <c r="J16" s="349">
        <f>SUM('theCBP books'!N51:N55)</f>
        <v>22055.348805600002</v>
      </c>
      <c r="K16" s="349">
        <f>J16</f>
        <v>22055.348805600002</v>
      </c>
      <c r="L16" s="349">
        <f t="shared" si="1"/>
        <v>0</v>
      </c>
      <c r="M16" s="350">
        <v>44636</v>
      </c>
      <c r="N16" s="350">
        <v>44636</v>
      </c>
      <c r="O16" s="369">
        <f t="shared" si="2"/>
        <v>0</v>
      </c>
      <c r="Q16" s="236"/>
    </row>
    <row r="17" spans="1:18" s="236" customFormat="1" ht="18.600000000000001" customHeight="1" outlineLevel="1">
      <c r="A17" s="329">
        <v>10</v>
      </c>
      <c r="B17" s="330" t="s">
        <v>59</v>
      </c>
      <c r="C17" s="331" t="s">
        <v>49</v>
      </c>
      <c r="D17" s="332">
        <f>SUBTOTAL(9,D15:D16)</f>
        <v>49662.8</v>
      </c>
      <c r="E17" s="332">
        <f>SUBTOTAL(9,E15:E16)</f>
        <v>49662.8</v>
      </c>
      <c r="F17" s="332">
        <f t="shared" si="3"/>
        <v>0</v>
      </c>
      <c r="G17" s="343"/>
      <c r="H17" s="333"/>
      <c r="I17" s="334"/>
      <c r="J17" s="332">
        <f>SUBTOTAL(9,J15:J16)</f>
        <v>49662.8</v>
      </c>
      <c r="K17" s="332">
        <f>SUBTOTAL(9,K15:K16)</f>
        <v>82826.488805600005</v>
      </c>
      <c r="L17" s="332">
        <f>SUBTOTAL(9,L15:L16)</f>
        <v>33163.688805600003</v>
      </c>
      <c r="M17" s="351"/>
      <c r="N17" s="351"/>
      <c r="O17" s="370"/>
    </row>
    <row r="18" spans="1:18" s="237" customFormat="1" ht="18.600000000000001" customHeight="1">
      <c r="A18" s="257">
        <v>10</v>
      </c>
      <c r="B18" s="262"/>
      <c r="C18" s="340" t="s">
        <v>41</v>
      </c>
      <c r="D18" s="308">
        <f>SUBTOTAL(9,D6:D17)</f>
        <v>998554.56</v>
      </c>
      <c r="E18" s="308">
        <f>SUBTOTAL(9,E6:E17)</f>
        <v>998554.56</v>
      </c>
      <c r="F18" s="308">
        <f t="shared" si="3"/>
        <v>0</v>
      </c>
      <c r="G18" s="344"/>
      <c r="H18" s="316"/>
      <c r="I18" s="317"/>
      <c r="J18" s="308">
        <f>SUBTOTAL(9,J6:J17)</f>
        <v>998554.55999999994</v>
      </c>
      <c r="K18" s="308">
        <f>SUBTOTAL(9,K6:K17)</f>
        <v>1031718.2488056</v>
      </c>
      <c r="L18" s="308">
        <f>SUBTOTAL(9,L6:L17)</f>
        <v>33163.688805600003</v>
      </c>
      <c r="M18" s="346"/>
      <c r="N18" s="346"/>
      <c r="O18" s="367"/>
      <c r="Q18" s="248">
        <f>K18-E18</f>
        <v>33163.68880559993</v>
      </c>
      <c r="R18" s="234" t="s">
        <v>15</v>
      </c>
    </row>
    <row r="19" spans="1:18" s="243" customFormat="1" ht="18.600000000000001" customHeight="1" outlineLevel="1">
      <c r="A19" s="302">
        <v>11</v>
      </c>
      <c r="B19" s="303" t="s">
        <v>16</v>
      </c>
      <c r="C19" s="309" t="s">
        <v>60</v>
      </c>
      <c r="D19" s="310">
        <f>'theCBP books'!F56</f>
        <v>53620</v>
      </c>
      <c r="E19" s="310">
        <f>D19</f>
        <v>53620</v>
      </c>
      <c r="F19" s="310">
        <f t="shared" si="3"/>
        <v>0</v>
      </c>
      <c r="G19" s="341">
        <v>44662</v>
      </c>
      <c r="H19" s="318" t="s">
        <v>44</v>
      </c>
      <c r="I19" s="319" t="s">
        <v>61</v>
      </c>
      <c r="J19" s="347">
        <f>SUM('theCBP books'!N56:N58)</f>
        <v>9936.6668654000005</v>
      </c>
      <c r="K19" s="347">
        <f>J19</f>
        <v>9936.6668654000005</v>
      </c>
      <c r="L19" s="347">
        <f>K19-J19</f>
        <v>0</v>
      </c>
      <c r="M19" s="348">
        <v>44676</v>
      </c>
      <c r="N19" s="352">
        <v>44666</v>
      </c>
      <c r="O19" s="368">
        <f t="shared" ref="O19:O25" si="4">-DATEDIF(N19,M19,"d")</f>
        <v>-10</v>
      </c>
      <c r="Q19" s="242"/>
      <c r="R19" s="234"/>
    </row>
    <row r="20" spans="1:18" s="243" customFormat="1" ht="18.600000000000001" customHeight="1" outlineLevel="1">
      <c r="A20" s="304">
        <v>11</v>
      </c>
      <c r="B20" s="305" t="s">
        <v>16</v>
      </c>
      <c r="C20" s="311" t="s">
        <v>62</v>
      </c>
      <c r="D20" s="312">
        <f>'theCBP books'!F58</f>
        <v>6000</v>
      </c>
      <c r="E20" s="312">
        <f>D20</f>
        <v>6000</v>
      </c>
      <c r="F20" s="312">
        <f t="shared" si="3"/>
        <v>0</v>
      </c>
      <c r="G20" s="342">
        <v>44662</v>
      </c>
      <c r="H20" s="320" t="s">
        <v>47</v>
      </c>
      <c r="I20" s="321" t="s">
        <v>63</v>
      </c>
      <c r="J20" s="349">
        <f>SUM('theCBP books'!N59:N61)</f>
        <v>29810</v>
      </c>
      <c r="K20" s="349">
        <f t="shared" ref="K20:K21" si="5">J20</f>
        <v>29810</v>
      </c>
      <c r="L20" s="349">
        <f t="shared" ref="L20:L21" si="6">K20-J20</f>
        <v>0</v>
      </c>
      <c r="M20" s="350">
        <v>44676</v>
      </c>
      <c r="N20" s="353">
        <v>44739</v>
      </c>
      <c r="O20" s="369">
        <f>DATEDIF(M20,N20,"d")</f>
        <v>63</v>
      </c>
      <c r="Q20" s="242"/>
      <c r="R20" s="234"/>
    </row>
    <row r="21" spans="1:18" s="243" customFormat="1" ht="18.600000000000001" customHeight="1" outlineLevel="1">
      <c r="A21" s="304">
        <v>11</v>
      </c>
      <c r="B21" s="305" t="s">
        <v>16</v>
      </c>
      <c r="C21" s="311"/>
      <c r="D21" s="312"/>
      <c r="E21" s="312"/>
      <c r="F21" s="312"/>
      <c r="G21" s="342"/>
      <c r="H21" s="320" t="s">
        <v>64</v>
      </c>
      <c r="I21" s="321" t="s">
        <v>65</v>
      </c>
      <c r="J21" s="349">
        <f>SUM('theCBP books'!N62:N64)</f>
        <v>19873.333134600001</v>
      </c>
      <c r="K21" s="349">
        <f t="shared" si="5"/>
        <v>19873.333134600001</v>
      </c>
      <c r="L21" s="349">
        <f t="shared" si="6"/>
        <v>0</v>
      </c>
      <c r="M21" s="350">
        <v>44676</v>
      </c>
      <c r="N21" s="353">
        <v>44747</v>
      </c>
      <c r="O21" s="369">
        <f>DATEDIF(M21,N21,"d")</f>
        <v>71</v>
      </c>
      <c r="Q21" s="242"/>
      <c r="R21" s="234"/>
    </row>
    <row r="22" spans="1:18" s="242" customFormat="1" ht="18.600000000000001" customHeight="1" outlineLevel="1">
      <c r="A22" s="329">
        <v>11</v>
      </c>
      <c r="B22" s="330" t="s">
        <v>16</v>
      </c>
      <c r="C22" s="331" t="s">
        <v>49</v>
      </c>
      <c r="D22" s="332">
        <f>SUBTOTAL(9,D19:D21)</f>
        <v>59620</v>
      </c>
      <c r="E22" s="332">
        <f>SUBTOTAL(9,E19:E21)</f>
        <v>59620</v>
      </c>
      <c r="F22" s="332">
        <f>SUBTOTAL(9,F19:F21)</f>
        <v>0</v>
      </c>
      <c r="G22" s="343"/>
      <c r="H22" s="333"/>
      <c r="I22" s="334"/>
      <c r="J22" s="332">
        <f>SUBTOTAL(9,J19:J21)</f>
        <v>59620</v>
      </c>
      <c r="K22" s="332">
        <f>SUBTOTAL(9,K19:K21)</f>
        <v>59620</v>
      </c>
      <c r="L22" s="332">
        <f>SUBTOTAL(9,L19:L21)</f>
        <v>0</v>
      </c>
      <c r="M22" s="351"/>
      <c r="N22" s="351"/>
      <c r="O22" s="370"/>
      <c r="R22" s="236"/>
    </row>
    <row r="23" spans="1:18" s="243" customFormat="1" ht="18.600000000000001" customHeight="1" outlineLevel="1">
      <c r="A23" s="302">
        <v>11</v>
      </c>
      <c r="B23" s="303" t="s">
        <v>50</v>
      </c>
      <c r="C23" s="309" t="s">
        <v>60</v>
      </c>
      <c r="D23" s="310">
        <f>SUM('theCBP books'!F65:F67)</f>
        <v>214482</v>
      </c>
      <c r="E23" s="310">
        <v>0</v>
      </c>
      <c r="F23" s="310">
        <f>E23-D23</f>
        <v>-214482</v>
      </c>
      <c r="G23" s="341">
        <v>44904</v>
      </c>
      <c r="H23" s="318" t="s">
        <v>44</v>
      </c>
      <c r="I23" s="322" t="s">
        <v>66</v>
      </c>
      <c r="J23" s="347">
        <f>SUM('theCBP books'!N75:N78)</f>
        <v>36747</v>
      </c>
      <c r="K23" s="347">
        <f>J23</f>
        <v>36747</v>
      </c>
      <c r="L23" s="347">
        <f>K23-J23</f>
        <v>0</v>
      </c>
      <c r="M23" s="348">
        <v>44900</v>
      </c>
      <c r="N23" s="352">
        <v>44799</v>
      </c>
      <c r="O23" s="368">
        <f t="shared" si="4"/>
        <v>-101</v>
      </c>
      <c r="Q23" s="242"/>
      <c r="R23" s="234"/>
    </row>
    <row r="24" spans="1:18" s="243" customFormat="1" ht="18.600000000000001" customHeight="1" outlineLevel="1">
      <c r="A24" s="304">
        <v>11</v>
      </c>
      <c r="B24" s="305" t="s">
        <v>50</v>
      </c>
      <c r="C24" s="311" t="s">
        <v>62</v>
      </c>
      <c r="D24" s="312">
        <f>'theCBP books'!F68</f>
        <v>6000</v>
      </c>
      <c r="E24" s="312">
        <v>0</v>
      </c>
      <c r="F24" s="312">
        <f>E24-D24</f>
        <v>-6000</v>
      </c>
      <c r="G24" s="342">
        <v>44904</v>
      </c>
      <c r="H24" s="320" t="s">
        <v>47</v>
      </c>
      <c r="I24" s="323" t="s">
        <v>67</v>
      </c>
      <c r="J24" s="349">
        <f>SUM('theCBP books'!N65:N68)</f>
        <v>110241</v>
      </c>
      <c r="K24" s="349">
        <v>0</v>
      </c>
      <c r="L24" s="349">
        <f t="shared" ref="L24:L25" si="7">K24-J24</f>
        <v>-110241</v>
      </c>
      <c r="M24" s="350">
        <v>44900</v>
      </c>
      <c r="N24" s="353" t="s">
        <v>12</v>
      </c>
      <c r="O24" s="369" t="e">
        <f t="shared" si="4"/>
        <v>#VALUE!</v>
      </c>
      <c r="Q24" s="242"/>
      <c r="R24" s="234"/>
    </row>
    <row r="25" spans="1:18" s="243" customFormat="1" ht="18.600000000000001" customHeight="1" outlineLevel="1">
      <c r="A25" s="304">
        <v>11</v>
      </c>
      <c r="B25" s="305" t="s">
        <v>50</v>
      </c>
      <c r="C25" s="311"/>
      <c r="D25" s="312"/>
      <c r="E25" s="312"/>
      <c r="F25" s="312"/>
      <c r="G25" s="342">
        <v>44904</v>
      </c>
      <c r="H25" s="320" t="s">
        <v>64</v>
      </c>
      <c r="I25" s="323" t="s">
        <v>68</v>
      </c>
      <c r="J25" s="349">
        <f>SUM('theCBP books'!N70:N73)</f>
        <v>73494</v>
      </c>
      <c r="K25" s="349">
        <v>0</v>
      </c>
      <c r="L25" s="349">
        <f t="shared" si="7"/>
        <v>-73494</v>
      </c>
      <c r="M25" s="350">
        <v>44900</v>
      </c>
      <c r="N25" s="353" t="s">
        <v>12</v>
      </c>
      <c r="O25" s="369" t="e">
        <f t="shared" si="4"/>
        <v>#VALUE!</v>
      </c>
      <c r="Q25" s="242"/>
      <c r="R25" s="234"/>
    </row>
    <row r="26" spans="1:18" s="243" customFormat="1" ht="18.600000000000001" customHeight="1" outlineLevel="1">
      <c r="A26" s="329">
        <v>11</v>
      </c>
      <c r="B26" s="330" t="s">
        <v>50</v>
      </c>
      <c r="C26" s="331" t="s">
        <v>49</v>
      </c>
      <c r="D26" s="332">
        <f>SUBTOTAL(9,D23:D25)</f>
        <v>220482</v>
      </c>
      <c r="E26" s="332">
        <f>SUBTOTAL(9,E23:E25)</f>
        <v>0</v>
      </c>
      <c r="F26" s="332">
        <f>SUBTOTAL(9,F23:F25)</f>
        <v>-220482</v>
      </c>
      <c r="G26" s="343"/>
      <c r="H26" s="333"/>
      <c r="I26" s="336"/>
      <c r="J26" s="332">
        <f>SUBTOTAL(9,J23:J25)</f>
        <v>220482</v>
      </c>
      <c r="K26" s="332">
        <f>SUBTOTAL(9,K23:K25)</f>
        <v>36747</v>
      </c>
      <c r="L26" s="332">
        <f>SUBTOTAL(9,L23:L25)</f>
        <v>-183735</v>
      </c>
      <c r="M26" s="351"/>
      <c r="N26" s="351"/>
      <c r="O26" s="370"/>
      <c r="Q26" s="242"/>
      <c r="R26" s="234"/>
    </row>
    <row r="27" spans="1:18" s="243" customFormat="1" ht="18.600000000000001" customHeight="1" outlineLevel="1">
      <c r="A27" s="302">
        <v>11</v>
      </c>
      <c r="B27" s="303" t="s">
        <v>53</v>
      </c>
      <c r="C27" s="309" t="s">
        <v>60</v>
      </c>
      <c r="D27" s="310">
        <f>SUM('theCBP books'!F80:F82)</f>
        <v>214482</v>
      </c>
      <c r="E27" s="310">
        <v>0</v>
      </c>
      <c r="F27" s="310">
        <f>E27-D27</f>
        <v>-214482</v>
      </c>
      <c r="G27" s="341">
        <v>44923</v>
      </c>
      <c r="H27" s="318" t="s">
        <v>44</v>
      </c>
      <c r="I27" s="322" t="s">
        <v>66</v>
      </c>
      <c r="J27" s="347">
        <f>SUM('theCBP books'!N88:N91)</f>
        <v>36747</v>
      </c>
      <c r="K27" s="354">
        <f>90563.02-K23</f>
        <v>53816.020000000004</v>
      </c>
      <c r="L27" s="347">
        <f>K27-J27</f>
        <v>17069.020000000004</v>
      </c>
      <c r="M27" s="348">
        <v>44907</v>
      </c>
      <c r="N27" s="352">
        <v>44799</v>
      </c>
      <c r="O27" s="368">
        <f t="shared" ref="O27:O29" si="8">-DATEDIF(N27,M27,"d")</f>
        <v>-108</v>
      </c>
      <c r="Q27" s="242"/>
      <c r="R27" s="234"/>
    </row>
    <row r="28" spans="1:18" s="243" customFormat="1" ht="18.600000000000001" customHeight="1" outlineLevel="1">
      <c r="A28" s="304">
        <v>11</v>
      </c>
      <c r="B28" s="305" t="s">
        <v>53</v>
      </c>
      <c r="C28" s="311" t="s">
        <v>62</v>
      </c>
      <c r="D28" s="312">
        <f>'theCBP books'!F83</f>
        <v>6000</v>
      </c>
      <c r="E28" s="312">
        <v>0</v>
      </c>
      <c r="F28" s="312">
        <f>E28-D28</f>
        <v>-6000</v>
      </c>
      <c r="G28" s="342">
        <v>44923</v>
      </c>
      <c r="H28" s="320" t="s">
        <v>47</v>
      </c>
      <c r="I28" s="323" t="s">
        <v>69</v>
      </c>
      <c r="J28" s="349">
        <f>SUM('theCBP books'!N84:N87)</f>
        <v>110241</v>
      </c>
      <c r="K28" s="349">
        <v>0</v>
      </c>
      <c r="L28" s="349">
        <f t="shared" ref="L28:L29" si="9">K28-J28</f>
        <v>-110241</v>
      </c>
      <c r="M28" s="350">
        <v>44907</v>
      </c>
      <c r="N28" s="353" t="s">
        <v>12</v>
      </c>
      <c r="O28" s="369" t="e">
        <f t="shared" si="8"/>
        <v>#VALUE!</v>
      </c>
      <c r="Q28" s="242"/>
      <c r="R28" s="234"/>
    </row>
    <row r="29" spans="1:18" s="243" customFormat="1" ht="18.600000000000001" customHeight="1" outlineLevel="1">
      <c r="A29" s="304">
        <v>11</v>
      </c>
      <c r="B29" s="305" t="s">
        <v>53</v>
      </c>
      <c r="C29" s="311"/>
      <c r="D29" s="337"/>
      <c r="E29" s="312"/>
      <c r="F29" s="312"/>
      <c r="G29" s="342"/>
      <c r="H29" s="320" t="s">
        <v>64</v>
      </c>
      <c r="I29" s="323" t="s">
        <v>69</v>
      </c>
      <c r="J29" s="349">
        <f>SUM('theCBP books'!N80:N83)</f>
        <v>73494</v>
      </c>
      <c r="K29" s="349">
        <v>0</v>
      </c>
      <c r="L29" s="349">
        <f t="shared" si="9"/>
        <v>-73494</v>
      </c>
      <c r="M29" s="350">
        <v>44907</v>
      </c>
      <c r="N29" s="353" t="s">
        <v>12</v>
      </c>
      <c r="O29" s="369" t="e">
        <f t="shared" si="8"/>
        <v>#VALUE!</v>
      </c>
      <c r="Q29" s="242"/>
      <c r="R29" s="234"/>
    </row>
    <row r="30" spans="1:18" s="242" customFormat="1" ht="18.600000000000001" customHeight="1" outlineLevel="1">
      <c r="A30" s="329">
        <v>11</v>
      </c>
      <c r="B30" s="330" t="s">
        <v>53</v>
      </c>
      <c r="C30" s="331" t="s">
        <v>49</v>
      </c>
      <c r="D30" s="332">
        <f>SUBTOTAL(9,D27:D29)</f>
        <v>220482</v>
      </c>
      <c r="E30" s="332">
        <f>SUBTOTAL(9,E27:E29)</f>
        <v>0</v>
      </c>
      <c r="F30" s="332">
        <f>SUBTOTAL(9,F27:F29)</f>
        <v>-220482</v>
      </c>
      <c r="G30" s="343"/>
      <c r="H30" s="333"/>
      <c r="I30" s="336"/>
      <c r="J30" s="332">
        <f>SUBTOTAL(9,J27:J29)</f>
        <v>220482</v>
      </c>
      <c r="K30" s="332">
        <f>SUBTOTAL(9,K27:K29)</f>
        <v>53816.020000000004</v>
      </c>
      <c r="L30" s="332">
        <f>SUBTOTAL(9,L27:L29)</f>
        <v>-166665.97999999998</v>
      </c>
      <c r="M30" s="351"/>
      <c r="N30" s="351"/>
      <c r="O30" s="370"/>
      <c r="R30" s="236"/>
    </row>
    <row r="31" spans="1:18" s="243" customFormat="1" ht="18.600000000000001" customHeight="1">
      <c r="A31" s="257">
        <v>11</v>
      </c>
      <c r="B31" s="258"/>
      <c r="C31" s="340" t="s">
        <v>41</v>
      </c>
      <c r="D31" s="308">
        <f>SUBTOTAL(9,D19:D30)</f>
        <v>500584</v>
      </c>
      <c r="E31" s="308">
        <f>SUBTOTAL(9,E19:E30)</f>
        <v>59620</v>
      </c>
      <c r="F31" s="308">
        <f>SUBTOTAL(9,F19:F30)</f>
        <v>-440964</v>
      </c>
      <c r="G31" s="344"/>
      <c r="H31" s="316"/>
      <c r="I31" s="324"/>
      <c r="J31" s="308">
        <f>SUBTOTAL(9,J19:J30)</f>
        <v>500584</v>
      </c>
      <c r="K31" s="308">
        <f>SUBTOTAL(9,K19:K30)</f>
        <v>150183.02000000002</v>
      </c>
      <c r="L31" s="308">
        <f>SUBTOTAL(9,L19:L30)</f>
        <v>-350400.98</v>
      </c>
      <c r="M31" s="346"/>
      <c r="N31" s="346"/>
      <c r="O31" s="367"/>
      <c r="Q31" s="248">
        <f>K31-E31</f>
        <v>90563.020000000019</v>
      </c>
      <c r="R31" s="234" t="s">
        <v>70</v>
      </c>
    </row>
    <row r="32" spans="1:18" s="243" customFormat="1" ht="18.600000000000001" customHeight="1" outlineLevel="1">
      <c r="A32" s="302">
        <v>12</v>
      </c>
      <c r="B32" s="303" t="s">
        <v>16</v>
      </c>
      <c r="C32" s="309" t="s">
        <v>60</v>
      </c>
      <c r="D32" s="310">
        <f>SUM('theCBP books'!F102:F105)</f>
        <v>208378.6</v>
      </c>
      <c r="E32" s="310">
        <v>0</v>
      </c>
      <c r="F32" s="310">
        <f>E32-D32</f>
        <v>-208378.6</v>
      </c>
      <c r="G32" s="341">
        <v>44910</v>
      </c>
      <c r="H32" s="318" t="s">
        <v>44</v>
      </c>
      <c r="I32" s="403" t="s">
        <v>71</v>
      </c>
      <c r="J32" s="347">
        <f>SUM('theCBP books'!N107:N111)</f>
        <v>162991.05999999997</v>
      </c>
      <c r="K32" s="354">
        <f>J32</f>
        <v>162991.05999999997</v>
      </c>
      <c r="L32" s="347">
        <f>K32-J32</f>
        <v>0</v>
      </c>
      <c r="M32" s="348">
        <v>44900</v>
      </c>
      <c r="N32" s="352" t="s">
        <v>12</v>
      </c>
      <c r="O32" s="368" t="e">
        <f t="shared" ref="O32:O34" si="10">-DATEDIF(N32,M32,"d")</f>
        <v>#VALUE!</v>
      </c>
      <c r="Q32" s="242"/>
      <c r="R32" s="234"/>
    </row>
    <row r="33" spans="1:18" s="243" customFormat="1" ht="18.600000000000001" customHeight="1" outlineLevel="1">
      <c r="A33" s="304">
        <v>12</v>
      </c>
      <c r="B33" s="305" t="s">
        <v>16</v>
      </c>
      <c r="C33" s="311" t="s">
        <v>62</v>
      </c>
      <c r="D33" s="312">
        <f>'theCBP books'!F106</f>
        <v>6000</v>
      </c>
      <c r="E33" s="312">
        <v>0</v>
      </c>
      <c r="F33" s="312">
        <f>E33-D33</f>
        <v>-6000</v>
      </c>
      <c r="G33" s="342">
        <v>44910</v>
      </c>
      <c r="H33" s="320" t="s">
        <v>47</v>
      </c>
      <c r="I33" s="404" t="s">
        <v>72</v>
      </c>
      <c r="J33" s="349">
        <f>SUM('theCBP books'!N102:N106)</f>
        <v>31467.81</v>
      </c>
      <c r="K33" s="405">
        <v>0</v>
      </c>
      <c r="L33" s="349">
        <f t="shared" ref="L33:L34" si="11">K33-J33</f>
        <v>-31467.81</v>
      </c>
      <c r="M33" s="350">
        <v>44900</v>
      </c>
      <c r="N33" s="353" t="s">
        <v>12</v>
      </c>
      <c r="O33" s="369" t="e">
        <f t="shared" si="10"/>
        <v>#VALUE!</v>
      </c>
      <c r="Q33" s="242"/>
      <c r="R33" s="234"/>
    </row>
    <row r="34" spans="1:18" s="243" customFormat="1" ht="18.600000000000001" customHeight="1" outlineLevel="1">
      <c r="A34" s="304">
        <v>12</v>
      </c>
      <c r="B34" s="305" t="s">
        <v>16</v>
      </c>
      <c r="C34" s="311"/>
      <c r="D34" s="312"/>
      <c r="E34" s="312"/>
      <c r="F34" s="312"/>
      <c r="G34" s="313"/>
      <c r="H34" s="320" t="s">
        <v>73</v>
      </c>
      <c r="I34" s="404" t="s">
        <v>74</v>
      </c>
      <c r="J34" s="349">
        <f>SUM('theCBP books'!N112:N116)</f>
        <v>19919.740000000002</v>
      </c>
      <c r="K34" s="405">
        <v>0</v>
      </c>
      <c r="L34" s="349">
        <f t="shared" si="11"/>
        <v>-19919.740000000002</v>
      </c>
      <c r="M34" s="350">
        <v>44900</v>
      </c>
      <c r="N34" s="353" t="s">
        <v>12</v>
      </c>
      <c r="O34" s="369" t="e">
        <f t="shared" si="10"/>
        <v>#VALUE!</v>
      </c>
      <c r="Q34" s="242"/>
      <c r="R34" s="234"/>
    </row>
    <row r="35" spans="1:18" s="242" customFormat="1" ht="18.600000000000001" customHeight="1" outlineLevel="1">
      <c r="A35" s="329">
        <v>12</v>
      </c>
      <c r="B35" s="330" t="s">
        <v>16</v>
      </c>
      <c r="C35" s="331" t="s">
        <v>49</v>
      </c>
      <c r="D35" s="332">
        <f>SUBTOTAL(9,D32:D34)</f>
        <v>214378.6</v>
      </c>
      <c r="E35" s="332">
        <f>SUBTOTAL(9,E32:E34)</f>
        <v>0</v>
      </c>
      <c r="F35" s="332">
        <f>SUBTOTAL(9,F32:F34)</f>
        <v>-214378.6</v>
      </c>
      <c r="G35" s="338"/>
      <c r="H35" s="333"/>
      <c r="I35" s="334"/>
      <c r="J35" s="332">
        <f>SUBTOTAL(9,J32:J34)</f>
        <v>214378.60999999996</v>
      </c>
      <c r="K35" s="332">
        <f>SUBTOTAL(9,K32:K34)</f>
        <v>162991.05999999997</v>
      </c>
      <c r="L35" s="332">
        <f>SUBTOTAL(9,L32:L34)</f>
        <v>-51387.55</v>
      </c>
      <c r="M35" s="355"/>
      <c r="N35" s="355"/>
      <c r="O35" s="335"/>
      <c r="R35" s="236"/>
    </row>
    <row r="36" spans="1:18" s="243" customFormat="1" ht="18.600000000000001" customHeight="1" thickBot="1">
      <c r="A36" s="257">
        <v>12</v>
      </c>
      <c r="B36" s="258"/>
      <c r="C36" s="339" t="s">
        <v>41</v>
      </c>
      <c r="D36" s="314">
        <f>SUBTOTAL(9,D32:D35)</f>
        <v>214378.6</v>
      </c>
      <c r="E36" s="314">
        <f t="shared" ref="E36" si="12">SUBTOTAL(9,E32:E35)</f>
        <v>0</v>
      </c>
      <c r="F36" s="314">
        <f>SUBTOTAL(9,F32:F35)</f>
        <v>-214378.6</v>
      </c>
      <c r="G36" s="315"/>
      <c r="H36" s="325"/>
      <c r="I36" s="326"/>
      <c r="J36" s="314">
        <f>SUBTOTAL(9,J32:J34)</f>
        <v>214378.60999999996</v>
      </c>
      <c r="K36" s="314">
        <f>SUBTOTAL(9,K32:K34)</f>
        <v>162991.05999999997</v>
      </c>
      <c r="L36" s="314">
        <f>SUBTOTAL(9,L32:L34)</f>
        <v>-51387.55</v>
      </c>
      <c r="M36" s="327"/>
      <c r="N36" s="327"/>
      <c r="O36" s="328"/>
      <c r="Q36" s="248">
        <f>K36-E36</f>
        <v>162991.05999999997</v>
      </c>
      <c r="R36" s="234"/>
    </row>
    <row r="37" spans="1:18" s="243" customFormat="1" ht="18.600000000000001" customHeight="1">
      <c r="A37" s="255"/>
      <c r="B37" s="256"/>
      <c r="C37" s="249"/>
      <c r="D37" s="250"/>
      <c r="E37" s="250"/>
      <c r="F37" s="250"/>
      <c r="G37" s="250"/>
      <c r="H37" s="251"/>
      <c r="I37" s="252"/>
      <c r="J37" s="250"/>
      <c r="K37" s="250"/>
      <c r="L37" s="250"/>
      <c r="M37" s="253"/>
      <c r="N37" s="253"/>
      <c r="O37" s="260"/>
      <c r="Q37" s="254"/>
      <c r="R37" s="234"/>
    </row>
    <row r="38" spans="1:18" s="363" customFormat="1" ht="32.1" customHeight="1">
      <c r="A38" s="356"/>
      <c r="B38" s="357"/>
      <c r="C38" s="357" t="s">
        <v>75</v>
      </c>
      <c r="D38" s="358"/>
      <c r="E38" s="358">
        <f>SUM(E5,E18,E31,E36)</f>
        <v>1058174.56</v>
      </c>
      <c r="F38" s="358"/>
      <c r="G38" s="358"/>
      <c r="H38" s="358"/>
      <c r="I38" s="359"/>
      <c r="J38" s="359"/>
      <c r="K38" s="358">
        <f>SUM(K5,K18,K31,K36)</f>
        <v>1384784.4588055999</v>
      </c>
      <c r="L38" s="358"/>
      <c r="M38" s="360"/>
      <c r="N38" s="361"/>
      <c r="O38" s="362"/>
      <c r="Q38" s="364">
        <f>SUM(Q5:Q36)</f>
        <v>326609.89880559989</v>
      </c>
      <c r="R38" s="365"/>
    </row>
    <row r="40" spans="1:18">
      <c r="K40" s="268"/>
    </row>
  </sheetData>
  <mergeCells count="2">
    <mergeCell ref="H2:O2"/>
    <mergeCell ref="C2:G2"/>
  </mergeCells>
  <phoneticPr fontId="56" type="noConversion"/>
  <pageMargins left="0.25" right="0.25" top="0.75" bottom="0.75" header="0.3" footer="0.3"/>
  <pageSetup paperSize="9" scale="62" orientation="landscape" r:id="rId1"/>
  <ignoredErrors>
    <ignoredError sqref="J4:J7 D17 J9:J10 J12:J13 J15:J16 J18:J21 D34:E34 E29 D25:E25 D22 K4 D21:E21 D8 D9 D10 D11 D12 D13 D14 D15 D16 D19 D20 D23 D24 D28 D27 D32 D33 D26 J32:J34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  <outlinePr summaryBelow="0"/>
  </sheetPr>
  <dimension ref="A1:AC169"/>
  <sheetViews>
    <sheetView tabSelected="1" zoomScale="70" zoomScaleNormal="70" workbookViewId="0">
      <pane xSplit="3" ySplit="2" topLeftCell="D104" activePane="bottomRight" state="frozen"/>
      <selection pane="topRight" activeCell="C1" sqref="C1"/>
      <selection pane="bottomLeft" activeCell="A3" sqref="A3"/>
      <selection pane="bottomRight" activeCell="R122" sqref="R122"/>
    </sheetView>
  </sheetViews>
  <sheetFormatPr defaultColWidth="8.75" defaultRowHeight="13.5" outlineLevelCol="1"/>
  <cols>
    <col min="1" max="1" width="8.125" style="7" bestFit="1" customWidth="1"/>
    <col min="2" max="2" width="7.625" style="7" customWidth="1"/>
    <col min="3" max="3" width="9.125" style="7" customWidth="1"/>
    <col min="4" max="5" width="11.125" style="8" customWidth="1"/>
    <col min="6" max="6" width="19.75" style="8" customWidth="1"/>
    <col min="7" max="7" width="10.625" style="9" customWidth="1"/>
    <col min="8" max="8" width="10.375" style="7" hidden="1" customWidth="1" outlineLevel="1"/>
    <col min="9" max="9" width="6.5" style="7" hidden="1" customWidth="1" outlineLevel="1"/>
    <col min="10" max="10" width="11.875" style="7" hidden="1" customWidth="1" outlineLevel="1"/>
    <col min="11" max="11" width="20.125" style="10" hidden="1" customWidth="1" outlineLevel="1"/>
    <col min="12" max="12" width="21.125" style="11" hidden="1" customWidth="1" outlineLevel="1"/>
    <col min="13" max="13" width="13.625" style="12" hidden="1" customWidth="1" outlineLevel="1"/>
    <col min="14" max="14" width="22.875" style="11" customWidth="1" outlineLevel="1"/>
    <col min="15" max="15" width="24.875" style="7" customWidth="1"/>
    <col min="16" max="16" width="9.75" style="7" customWidth="1"/>
    <col min="17" max="17" width="30.75" style="10" customWidth="1" collapsed="1"/>
    <col min="18" max="18" width="20.625" style="11" customWidth="1" collapsed="1"/>
    <col min="19" max="19" width="13.375" style="9" customWidth="1" collapsed="1"/>
    <col min="20" max="20" width="12.875" style="7" customWidth="1" collapsed="1"/>
    <col min="21" max="21" width="21.75" style="8" customWidth="1"/>
    <col min="22" max="22" width="17.5" style="8" customWidth="1"/>
    <col min="23" max="23" width="18.25" style="14" customWidth="1"/>
    <col min="24" max="24" width="17.5" style="8" customWidth="1"/>
    <col min="25" max="25" width="19.75" style="8" customWidth="1"/>
    <col min="26" max="26" width="26.75" style="7" customWidth="1"/>
    <col min="27" max="27" width="16.875" style="7" customWidth="1"/>
    <col min="28" max="28" width="23.125" style="13" customWidth="1"/>
    <col min="29" max="29" width="11.375" style="7" bestFit="1" customWidth="1"/>
    <col min="30" max="16384" width="8.75" style="7"/>
  </cols>
  <sheetData>
    <row r="1" spans="1:29" s="2" customFormat="1" ht="91.5" customHeight="1">
      <c r="B1" s="524" t="s">
        <v>76</v>
      </c>
      <c r="C1" s="524"/>
      <c r="D1" s="525" t="s">
        <v>77</v>
      </c>
      <c r="E1" s="526"/>
      <c r="F1" s="526"/>
      <c r="G1" s="526"/>
      <c r="H1" s="527" t="s">
        <v>78</v>
      </c>
      <c r="I1" s="527"/>
      <c r="J1" s="527"/>
      <c r="K1" s="527"/>
      <c r="L1" s="527"/>
      <c r="M1" s="527"/>
      <c r="N1" s="527"/>
      <c r="O1" s="489" t="s">
        <v>454</v>
      </c>
      <c r="P1" s="490"/>
      <c r="Q1" s="490"/>
      <c r="R1" s="490"/>
      <c r="S1" s="491"/>
      <c r="T1" s="491"/>
      <c r="U1" s="491"/>
      <c r="V1" s="491"/>
      <c r="W1" s="492"/>
      <c r="X1" s="525" t="s">
        <v>79</v>
      </c>
      <c r="Y1" s="526"/>
      <c r="Z1" s="526"/>
      <c r="AA1" s="526"/>
      <c r="AB1" s="1">
        <f>SUM(AB23:AB119)</f>
        <v>-649342.6</v>
      </c>
    </row>
    <row r="2" spans="1:29" s="4" customFormat="1" ht="42.75" customHeight="1">
      <c r="A2" s="4" t="s">
        <v>80</v>
      </c>
      <c r="B2" s="437" t="s">
        <v>4</v>
      </c>
      <c r="C2" s="437" t="s">
        <v>81</v>
      </c>
      <c r="D2" s="435" t="s">
        <v>24</v>
      </c>
      <c r="E2" s="435" t="s">
        <v>82</v>
      </c>
      <c r="F2" s="435" t="s">
        <v>83</v>
      </c>
      <c r="G2" s="436" t="s">
        <v>84</v>
      </c>
      <c r="H2" s="437" t="s">
        <v>85</v>
      </c>
      <c r="I2" s="437" t="s">
        <v>86</v>
      </c>
      <c r="J2" s="437" t="s">
        <v>87</v>
      </c>
      <c r="K2" s="437" t="s">
        <v>88</v>
      </c>
      <c r="L2" s="435" t="s">
        <v>89</v>
      </c>
      <c r="M2" s="438" t="s">
        <v>90</v>
      </c>
      <c r="N2" s="435" t="s">
        <v>91</v>
      </c>
      <c r="O2" s="437" t="s">
        <v>94</v>
      </c>
      <c r="P2" s="437" t="s">
        <v>85</v>
      </c>
      <c r="Q2" s="437" t="s">
        <v>92</v>
      </c>
      <c r="R2" s="435" t="s">
        <v>93</v>
      </c>
      <c r="S2" s="436" t="s">
        <v>84</v>
      </c>
      <c r="T2" s="437" t="s">
        <v>34</v>
      </c>
      <c r="U2" s="435" t="s">
        <v>95</v>
      </c>
      <c r="V2" s="435" t="s">
        <v>96</v>
      </c>
      <c r="W2" s="439" t="s">
        <v>10</v>
      </c>
      <c r="X2" s="435" t="s">
        <v>97</v>
      </c>
      <c r="Y2" s="435" t="s">
        <v>98</v>
      </c>
      <c r="Z2" s="435" t="s">
        <v>99</v>
      </c>
      <c r="AA2" s="440" t="s">
        <v>96</v>
      </c>
      <c r="AB2" s="3" t="s">
        <v>100</v>
      </c>
      <c r="AC2" s="4" t="s">
        <v>10</v>
      </c>
    </row>
    <row r="3" spans="1:29" s="127" customFormat="1" ht="26.45" customHeight="1">
      <c r="A3" s="127" t="s">
        <v>101</v>
      </c>
      <c r="B3" s="131">
        <v>9</v>
      </c>
      <c r="C3" s="131" t="s">
        <v>16</v>
      </c>
      <c r="D3" s="136" t="s">
        <v>43</v>
      </c>
      <c r="E3" s="129" t="s">
        <v>102</v>
      </c>
      <c r="F3" s="130">
        <f>SUM(N3:N4)</f>
        <v>41971.839999999997</v>
      </c>
      <c r="G3" s="135"/>
      <c r="H3" s="131" t="s">
        <v>44</v>
      </c>
      <c r="I3" s="131">
        <v>1</v>
      </c>
      <c r="J3" s="131" t="s">
        <v>43</v>
      </c>
      <c r="K3" s="132" t="s">
        <v>103</v>
      </c>
      <c r="L3" s="133"/>
      <c r="M3" s="134"/>
      <c r="N3" s="133">
        <v>820</v>
      </c>
      <c r="O3" s="487" t="s">
        <v>104</v>
      </c>
      <c r="P3" s="519" t="str">
        <f>H3</f>
        <v>KT</v>
      </c>
      <c r="Q3" s="132" t="s">
        <v>103</v>
      </c>
      <c r="R3" s="133">
        <v>820</v>
      </c>
      <c r="S3" s="135">
        <v>44126</v>
      </c>
      <c r="T3" s="480">
        <v>44127</v>
      </c>
      <c r="U3" s="522">
        <v>47966.64</v>
      </c>
      <c r="V3" s="521">
        <f>SUM(U3:U5)-SUM(R3:R5)</f>
        <v>-5.1999999999970896</v>
      </c>
      <c r="W3" s="496"/>
      <c r="X3" s="131" t="s">
        <v>43</v>
      </c>
      <c r="Y3" s="136">
        <f>427489.97-Y6+1</f>
        <v>41971.839999999967</v>
      </c>
      <c r="Z3" s="135">
        <v>44218</v>
      </c>
      <c r="AA3" s="441">
        <f t="shared" ref="AA3:AA10" si="0">Y3-F3</f>
        <v>0</v>
      </c>
      <c r="AB3" s="128" t="e">
        <f>Y3-SUM(#REF!)</f>
        <v>#REF!</v>
      </c>
      <c r="AC3" s="127" t="s">
        <v>101</v>
      </c>
    </row>
    <row r="4" spans="1:29" s="127" customFormat="1" ht="26.45" customHeight="1">
      <c r="A4" s="127" t="s">
        <v>101</v>
      </c>
      <c r="B4" s="131">
        <v>9</v>
      </c>
      <c r="C4" s="131" t="s">
        <v>16</v>
      </c>
      <c r="D4" s="136"/>
      <c r="E4" s="129"/>
      <c r="F4" s="130"/>
      <c r="G4" s="135"/>
      <c r="H4" s="131" t="s">
        <v>44</v>
      </c>
      <c r="I4" s="131">
        <v>2</v>
      </c>
      <c r="J4" s="131" t="s">
        <v>43</v>
      </c>
      <c r="K4" s="132" t="s">
        <v>103</v>
      </c>
      <c r="L4" s="133"/>
      <c r="M4" s="134"/>
      <c r="N4" s="133">
        <v>41151.839999999997</v>
      </c>
      <c r="O4" s="487"/>
      <c r="P4" s="519"/>
      <c r="Q4" s="132" t="s">
        <v>103</v>
      </c>
      <c r="R4" s="133">
        <v>41151.839999999997</v>
      </c>
      <c r="S4" s="135">
        <v>44126</v>
      </c>
      <c r="T4" s="480"/>
      <c r="U4" s="522"/>
      <c r="V4" s="521"/>
      <c r="W4" s="497"/>
      <c r="X4" s="136"/>
      <c r="Y4" s="136"/>
      <c r="Z4" s="135"/>
      <c r="AA4" s="441">
        <f t="shared" si="0"/>
        <v>0</v>
      </c>
      <c r="AB4" s="128" t="s">
        <v>106</v>
      </c>
      <c r="AC4" s="127" t="s">
        <v>101</v>
      </c>
    </row>
    <row r="5" spans="1:29" s="127" customFormat="1" ht="26.45" customHeight="1">
      <c r="A5" s="127" t="s">
        <v>101</v>
      </c>
      <c r="B5" s="131">
        <v>9</v>
      </c>
      <c r="C5" s="131" t="s">
        <v>16</v>
      </c>
      <c r="D5" s="136" t="s">
        <v>46</v>
      </c>
      <c r="E5" s="129"/>
      <c r="F5" s="130">
        <f>N5</f>
        <v>6000</v>
      </c>
      <c r="G5" s="135"/>
      <c r="H5" s="131" t="s">
        <v>44</v>
      </c>
      <c r="I5" s="131">
        <v>3</v>
      </c>
      <c r="J5" s="131" t="s">
        <v>46</v>
      </c>
      <c r="K5" s="132" t="s">
        <v>107</v>
      </c>
      <c r="L5" s="133"/>
      <c r="M5" s="134"/>
      <c r="N5" s="133">
        <v>6000</v>
      </c>
      <c r="O5" s="487"/>
      <c r="P5" s="519"/>
      <c r="Q5" s="132" t="s">
        <v>107</v>
      </c>
      <c r="R5" s="133">
        <v>6000</v>
      </c>
      <c r="S5" s="135">
        <v>44126</v>
      </c>
      <c r="T5" s="480"/>
      <c r="U5" s="522"/>
      <c r="V5" s="521"/>
      <c r="W5" s="498"/>
      <c r="X5" s="136" t="s">
        <v>46</v>
      </c>
      <c r="Y5" s="136">
        <v>6000</v>
      </c>
      <c r="Z5" s="135">
        <v>44218</v>
      </c>
      <c r="AA5" s="441">
        <f t="shared" si="0"/>
        <v>0</v>
      </c>
      <c r="AB5" s="128" t="e">
        <f>Y5-#REF!</f>
        <v>#REF!</v>
      </c>
      <c r="AC5" s="127" t="s">
        <v>101</v>
      </c>
    </row>
    <row r="6" spans="1:29" s="127" customFormat="1" ht="26.45" customHeight="1">
      <c r="A6" s="127" t="s">
        <v>101</v>
      </c>
      <c r="B6" s="131">
        <v>9</v>
      </c>
      <c r="C6" s="131" t="s">
        <v>50</v>
      </c>
      <c r="D6" s="136" t="s">
        <v>43</v>
      </c>
      <c r="E6" s="129" t="s">
        <v>108</v>
      </c>
      <c r="F6" s="130">
        <f>SUM(N6:N8)+N10</f>
        <v>385519.12999999995</v>
      </c>
      <c r="G6" s="135"/>
      <c r="H6" s="131" t="s">
        <v>44</v>
      </c>
      <c r="I6" s="131">
        <v>1</v>
      </c>
      <c r="J6" s="131" t="s">
        <v>43</v>
      </c>
      <c r="K6" s="132" t="s">
        <v>109</v>
      </c>
      <c r="L6" s="133"/>
      <c r="M6" s="134"/>
      <c r="N6" s="133">
        <v>167883</v>
      </c>
      <c r="O6" s="487" t="s">
        <v>104</v>
      </c>
      <c r="P6" s="519" t="str">
        <f>H6</f>
        <v>KT</v>
      </c>
      <c r="Q6" s="132" t="s">
        <v>109</v>
      </c>
      <c r="R6" s="133">
        <v>167883</v>
      </c>
      <c r="S6" s="135">
        <v>44165</v>
      </c>
      <c r="T6" s="480">
        <v>44165</v>
      </c>
      <c r="U6" s="522">
        <v>391513.91</v>
      </c>
      <c r="V6" s="521">
        <f>SUM(U6:U10)-SUM(R6:R10)</f>
        <v>-5.2199999999720603</v>
      </c>
      <c r="W6" s="496"/>
      <c r="X6" s="136" t="s">
        <v>43</v>
      </c>
      <c r="Y6" s="136">
        <f>7380+378139.13</f>
        <v>385519.13</v>
      </c>
      <c r="Z6" s="135">
        <v>44218</v>
      </c>
      <c r="AA6" s="441">
        <f t="shared" si="0"/>
        <v>0</v>
      </c>
      <c r="AB6" s="128" t="e">
        <f>Y6-SUM(#REF!)-#REF!</f>
        <v>#REF!</v>
      </c>
      <c r="AC6" s="137" t="s">
        <v>101</v>
      </c>
    </row>
    <row r="7" spans="1:29" s="127" customFormat="1" ht="26.45" customHeight="1">
      <c r="A7" s="127" t="s">
        <v>101</v>
      </c>
      <c r="B7" s="131">
        <v>9</v>
      </c>
      <c r="C7" s="131" t="s">
        <v>53</v>
      </c>
      <c r="D7" s="136"/>
      <c r="E7" s="129"/>
      <c r="F7" s="130"/>
      <c r="G7" s="135"/>
      <c r="H7" s="131" t="s">
        <v>44</v>
      </c>
      <c r="I7" s="131">
        <v>2</v>
      </c>
      <c r="J7" s="131" t="s">
        <v>43</v>
      </c>
      <c r="K7" s="132" t="s">
        <v>110</v>
      </c>
      <c r="L7" s="133"/>
      <c r="M7" s="134"/>
      <c r="N7" s="133">
        <v>167883.36</v>
      </c>
      <c r="O7" s="487"/>
      <c r="P7" s="519"/>
      <c r="Q7" s="132" t="s">
        <v>110</v>
      </c>
      <c r="R7" s="133">
        <v>167883.36</v>
      </c>
      <c r="S7" s="135">
        <v>44165</v>
      </c>
      <c r="T7" s="480"/>
      <c r="U7" s="522"/>
      <c r="V7" s="521"/>
      <c r="W7" s="497"/>
      <c r="X7" s="136"/>
      <c r="Y7" s="136"/>
      <c r="Z7" s="135"/>
      <c r="AA7" s="441">
        <f t="shared" si="0"/>
        <v>0</v>
      </c>
      <c r="AB7" s="128" t="s">
        <v>106</v>
      </c>
      <c r="AC7" s="127" t="s">
        <v>101</v>
      </c>
    </row>
    <row r="8" spans="1:29" s="127" customFormat="1" ht="26.45" customHeight="1">
      <c r="A8" s="127" t="s">
        <v>101</v>
      </c>
      <c r="B8" s="131">
        <v>9</v>
      </c>
      <c r="C8" s="131" t="s">
        <v>111</v>
      </c>
      <c r="D8" s="136"/>
      <c r="E8" s="129"/>
      <c r="F8" s="130"/>
      <c r="G8" s="135"/>
      <c r="H8" s="131" t="s">
        <v>44</v>
      </c>
      <c r="I8" s="131">
        <v>3</v>
      </c>
      <c r="J8" s="131" t="s">
        <v>43</v>
      </c>
      <c r="K8" s="132" t="s">
        <v>112</v>
      </c>
      <c r="L8" s="133"/>
      <c r="M8" s="134"/>
      <c r="N8" s="133">
        <v>41970.84</v>
      </c>
      <c r="O8" s="487"/>
      <c r="P8" s="519"/>
      <c r="Q8" s="132" t="s">
        <v>112</v>
      </c>
      <c r="R8" s="133">
        <v>41970.84</v>
      </c>
      <c r="S8" s="135">
        <v>44165</v>
      </c>
      <c r="T8" s="480"/>
      <c r="U8" s="522"/>
      <c r="V8" s="521"/>
      <c r="W8" s="497"/>
      <c r="X8" s="136"/>
      <c r="Y8" s="136"/>
      <c r="Z8" s="135"/>
      <c r="AA8" s="441">
        <f t="shared" si="0"/>
        <v>0</v>
      </c>
      <c r="AB8" s="128" t="s">
        <v>106</v>
      </c>
      <c r="AC8" s="127" t="s">
        <v>101</v>
      </c>
    </row>
    <row r="9" spans="1:29" s="127" customFormat="1" ht="26.45" customHeight="1">
      <c r="A9" s="127" t="s">
        <v>101</v>
      </c>
      <c r="B9" s="131">
        <v>9</v>
      </c>
      <c r="C9" s="457" t="s">
        <v>113</v>
      </c>
      <c r="D9" s="136" t="s">
        <v>46</v>
      </c>
      <c r="E9" s="129"/>
      <c r="F9" s="130">
        <f>N9</f>
        <v>6000</v>
      </c>
      <c r="G9" s="135"/>
      <c r="H9" s="131" t="s">
        <v>44</v>
      </c>
      <c r="I9" s="131">
        <v>4</v>
      </c>
      <c r="J9" s="131" t="s">
        <v>46</v>
      </c>
      <c r="K9" s="132" t="s">
        <v>114</v>
      </c>
      <c r="L9" s="133"/>
      <c r="M9" s="134"/>
      <c r="N9" s="133">
        <v>6000</v>
      </c>
      <c r="O9" s="487"/>
      <c r="P9" s="519"/>
      <c r="Q9" s="132" t="s">
        <v>114</v>
      </c>
      <c r="R9" s="133">
        <v>6000</v>
      </c>
      <c r="S9" s="135">
        <v>44165</v>
      </c>
      <c r="T9" s="480"/>
      <c r="U9" s="522"/>
      <c r="V9" s="521"/>
      <c r="W9" s="497"/>
      <c r="X9" s="136" t="s">
        <v>46</v>
      </c>
      <c r="Y9" s="136">
        <f>18000</f>
        <v>18000</v>
      </c>
      <c r="Z9" s="135">
        <v>44218</v>
      </c>
      <c r="AA9" s="441">
        <f t="shared" si="0"/>
        <v>12000</v>
      </c>
      <c r="AB9" s="128" t="e">
        <f>Y9-#REF!</f>
        <v>#REF!</v>
      </c>
      <c r="AC9" s="127" t="s">
        <v>101</v>
      </c>
    </row>
    <row r="10" spans="1:29" s="127" customFormat="1" ht="26.45" customHeight="1">
      <c r="A10" s="127" t="s">
        <v>101</v>
      </c>
      <c r="B10" s="131">
        <v>9</v>
      </c>
      <c r="C10" s="131" t="s">
        <v>115</v>
      </c>
      <c r="D10" s="136"/>
      <c r="E10" s="129"/>
      <c r="F10" s="130"/>
      <c r="G10" s="135"/>
      <c r="H10" s="131" t="s">
        <v>44</v>
      </c>
      <c r="I10" s="131">
        <v>5</v>
      </c>
      <c r="J10" s="131" t="s">
        <v>43</v>
      </c>
      <c r="K10" s="132" t="s">
        <v>116</v>
      </c>
      <c r="L10" s="133"/>
      <c r="M10" s="134"/>
      <c r="N10" s="133">
        <v>7781.93</v>
      </c>
      <c r="O10" s="487"/>
      <c r="P10" s="519"/>
      <c r="Q10" s="132" t="s">
        <v>116</v>
      </c>
      <c r="R10" s="133">
        <v>7781.93</v>
      </c>
      <c r="S10" s="135">
        <v>44165</v>
      </c>
      <c r="T10" s="480"/>
      <c r="U10" s="522"/>
      <c r="V10" s="521"/>
      <c r="W10" s="498"/>
      <c r="X10" s="136"/>
      <c r="Y10" s="136"/>
      <c r="Z10" s="135"/>
      <c r="AA10" s="441">
        <f t="shared" si="0"/>
        <v>0</v>
      </c>
      <c r="AB10" s="128" t="s">
        <v>106</v>
      </c>
      <c r="AC10" s="127" t="s">
        <v>101</v>
      </c>
    </row>
    <row r="11" spans="1:29" s="115" customFormat="1" ht="26.45" customHeight="1">
      <c r="A11" s="115" t="s">
        <v>101</v>
      </c>
      <c r="B11" s="120">
        <v>9</v>
      </c>
      <c r="C11" s="120" t="s">
        <v>117</v>
      </c>
      <c r="D11" s="124" t="s">
        <v>118</v>
      </c>
      <c r="E11" s="118"/>
      <c r="F11" s="119">
        <f>0.2*$R$11</f>
        <v>6781.68</v>
      </c>
      <c r="G11" s="123"/>
      <c r="H11" s="120" t="s">
        <v>119</v>
      </c>
      <c r="I11" s="120">
        <v>1</v>
      </c>
      <c r="J11" s="120" t="s">
        <v>43</v>
      </c>
      <c r="K11" s="121" t="s">
        <v>120</v>
      </c>
      <c r="L11" s="119"/>
      <c r="M11" s="122"/>
      <c r="N11" s="119">
        <v>33908.400000000001</v>
      </c>
      <c r="O11" s="488" t="s">
        <v>121</v>
      </c>
      <c r="P11" s="528" t="s">
        <v>123</v>
      </c>
      <c r="Q11" s="121" t="s">
        <v>122</v>
      </c>
      <c r="R11" s="119">
        <v>33908.400000000001</v>
      </c>
      <c r="S11" s="123">
        <v>44126</v>
      </c>
      <c r="T11" s="481">
        <v>44127</v>
      </c>
      <c r="U11" s="529">
        <v>39892.129999999997</v>
      </c>
      <c r="V11" s="530">
        <f>SUM(U11:U14)-SUM(R11:R14)</f>
        <v>-16.270000000004075</v>
      </c>
      <c r="W11" s="499"/>
      <c r="X11" s="124" t="s">
        <v>47</v>
      </c>
      <c r="Y11" s="124" t="s">
        <v>124</v>
      </c>
      <c r="Z11" s="123" t="s">
        <v>12</v>
      </c>
      <c r="AA11" s="523">
        <f>SUM(Y11:Y13)-SUM(F11:F13)</f>
        <v>-33908.400000000001</v>
      </c>
      <c r="AB11" s="116" t="e">
        <f>Y11-#REF!</f>
        <v>#VALUE!</v>
      </c>
      <c r="AC11" s="269" t="s">
        <v>125</v>
      </c>
    </row>
    <row r="12" spans="1:29" s="115" customFormat="1" ht="26.45" customHeight="1">
      <c r="A12" s="115" t="s">
        <v>101</v>
      </c>
      <c r="B12" s="120">
        <v>9</v>
      </c>
      <c r="C12" s="120" t="s">
        <v>117</v>
      </c>
      <c r="D12" s="124" t="s">
        <v>126</v>
      </c>
      <c r="E12" s="118"/>
      <c r="F12" s="119">
        <f>0.066667*$R$11</f>
        <v>2260.5713028</v>
      </c>
      <c r="G12" s="123"/>
      <c r="H12" s="120"/>
      <c r="I12" s="120"/>
      <c r="J12" s="120"/>
      <c r="K12" s="121"/>
      <c r="L12" s="119"/>
      <c r="M12" s="122"/>
      <c r="N12" s="119"/>
      <c r="O12" s="488"/>
      <c r="P12" s="528"/>
      <c r="Q12" s="121"/>
      <c r="R12" s="119"/>
      <c r="S12" s="123"/>
      <c r="T12" s="481"/>
      <c r="U12" s="529"/>
      <c r="V12" s="530"/>
      <c r="W12" s="500"/>
      <c r="X12" s="124" t="s">
        <v>127</v>
      </c>
      <c r="Y12" s="124" t="s">
        <v>128</v>
      </c>
      <c r="Z12" s="123" t="s">
        <v>12</v>
      </c>
      <c r="AA12" s="523"/>
      <c r="AB12" s="116" t="e">
        <f>Y12-#REF!</f>
        <v>#VALUE!</v>
      </c>
      <c r="AC12" s="117"/>
    </row>
    <row r="13" spans="1:29" s="115" customFormat="1" ht="26.45" customHeight="1">
      <c r="A13" s="115" t="s">
        <v>101</v>
      </c>
      <c r="B13" s="120">
        <v>9</v>
      </c>
      <c r="C13" s="120" t="s">
        <v>117</v>
      </c>
      <c r="D13" s="124" t="s">
        <v>62</v>
      </c>
      <c r="E13" s="118"/>
      <c r="F13" s="119">
        <f>0.733333*$R$11</f>
        <v>24866.148697200002</v>
      </c>
      <c r="G13" s="123"/>
      <c r="H13" s="120"/>
      <c r="I13" s="120"/>
      <c r="J13" s="120"/>
      <c r="K13" s="121"/>
      <c r="L13" s="119"/>
      <c r="M13" s="122"/>
      <c r="N13" s="119"/>
      <c r="O13" s="488"/>
      <c r="P13" s="528"/>
      <c r="Q13" s="121"/>
      <c r="R13" s="119"/>
      <c r="S13" s="123"/>
      <c r="T13" s="481"/>
      <c r="U13" s="529"/>
      <c r="V13" s="530"/>
      <c r="W13" s="500"/>
      <c r="X13" s="124" t="s">
        <v>46</v>
      </c>
      <c r="Y13" s="124" t="s">
        <v>129</v>
      </c>
      <c r="Z13" s="123" t="s">
        <v>12</v>
      </c>
      <c r="AA13" s="523"/>
      <c r="AB13" s="116" t="e">
        <f>Y13-#REF!</f>
        <v>#VALUE!</v>
      </c>
      <c r="AC13" s="117"/>
    </row>
    <row r="14" spans="1:29" s="115" customFormat="1" ht="26.45" customHeight="1">
      <c r="A14" s="115" t="s">
        <v>101</v>
      </c>
      <c r="B14" s="120">
        <v>9</v>
      </c>
      <c r="C14" s="120" t="s">
        <v>117</v>
      </c>
      <c r="D14" s="124" t="s">
        <v>46</v>
      </c>
      <c r="E14" s="118"/>
      <c r="F14" s="442">
        <f>N14</f>
        <v>6000</v>
      </c>
      <c r="G14" s="123"/>
      <c r="H14" s="120" t="s">
        <v>119</v>
      </c>
      <c r="I14" s="120">
        <v>2</v>
      </c>
      <c r="J14" s="120" t="s">
        <v>46</v>
      </c>
      <c r="K14" s="121" t="s">
        <v>107</v>
      </c>
      <c r="L14" s="119"/>
      <c r="M14" s="122"/>
      <c r="N14" s="119">
        <v>6000</v>
      </c>
      <c r="O14" s="488"/>
      <c r="P14" s="528"/>
      <c r="Q14" s="121" t="s">
        <v>107</v>
      </c>
      <c r="R14" s="119">
        <v>6000</v>
      </c>
      <c r="S14" s="123">
        <v>44126</v>
      </c>
      <c r="T14" s="481"/>
      <c r="U14" s="529"/>
      <c r="V14" s="530"/>
      <c r="W14" s="501"/>
      <c r="X14" s="124" t="s">
        <v>46</v>
      </c>
      <c r="Y14" s="124" t="s">
        <v>130</v>
      </c>
      <c r="Z14" s="123" t="s">
        <v>12</v>
      </c>
      <c r="AA14" s="443">
        <f>0-F14</f>
        <v>-6000</v>
      </c>
      <c r="AB14" s="116" t="e">
        <f>Y14-#REF!</f>
        <v>#VALUE!</v>
      </c>
      <c r="AC14" s="115" t="s">
        <v>101</v>
      </c>
    </row>
    <row r="15" spans="1:29" s="127" customFormat="1" ht="26.45" customHeight="1">
      <c r="A15" s="127" t="s">
        <v>131</v>
      </c>
      <c r="B15" s="131">
        <v>10</v>
      </c>
      <c r="C15" s="131" t="s">
        <v>16</v>
      </c>
      <c r="D15" s="136" t="s">
        <v>43</v>
      </c>
      <c r="E15" s="129" t="s">
        <v>132</v>
      </c>
      <c r="F15" s="130">
        <f>'Ciena Invoice (UPG#10)'!D3</f>
        <v>103311</v>
      </c>
      <c r="G15" s="135"/>
      <c r="H15" s="131" t="s">
        <v>44</v>
      </c>
      <c r="I15" s="131">
        <v>1</v>
      </c>
      <c r="J15" s="131" t="s">
        <v>43</v>
      </c>
      <c r="K15" s="132" t="s">
        <v>133</v>
      </c>
      <c r="L15" s="133"/>
      <c r="M15" s="134"/>
      <c r="N15" s="133">
        <v>1606.54522</v>
      </c>
      <c r="O15" s="487" t="s">
        <v>134</v>
      </c>
      <c r="P15" s="519" t="str">
        <f>H15</f>
        <v>KT</v>
      </c>
      <c r="Q15" s="132" t="s">
        <v>133</v>
      </c>
      <c r="R15" s="133">
        <v>1606.54522</v>
      </c>
      <c r="S15" s="135">
        <v>44337</v>
      </c>
      <c r="T15" s="480">
        <v>44337</v>
      </c>
      <c r="U15" s="522">
        <v>60760.39</v>
      </c>
      <c r="V15" s="521">
        <f>SUM(U15:U18)-SUM(R15:R18)</f>
        <v>-5.3762779999960912</v>
      </c>
      <c r="W15" s="493" t="s">
        <v>135</v>
      </c>
      <c r="X15" s="131" t="s">
        <v>43</v>
      </c>
      <c r="Y15" s="136">
        <v>103311</v>
      </c>
      <c r="Z15" s="135">
        <v>44404</v>
      </c>
      <c r="AA15" s="441">
        <f t="shared" ref="AA15:AA43" si="1">Y15-F15</f>
        <v>0</v>
      </c>
      <c r="AB15" s="128">
        <f t="shared" ref="AB15:AB46" si="2">Y15-F15</f>
        <v>0</v>
      </c>
    </row>
    <row r="16" spans="1:29" s="127" customFormat="1" ht="26.45" customHeight="1">
      <c r="A16" s="127" t="s">
        <v>101</v>
      </c>
      <c r="B16" s="131">
        <v>10</v>
      </c>
      <c r="C16" s="131" t="s">
        <v>16</v>
      </c>
      <c r="D16" s="136"/>
      <c r="E16" s="129"/>
      <c r="F16" s="130"/>
      <c r="G16" s="135"/>
      <c r="H16" s="131" t="s">
        <v>44</v>
      </c>
      <c r="I16" s="131">
        <v>2</v>
      </c>
      <c r="J16" s="131" t="s">
        <v>43</v>
      </c>
      <c r="K16" s="132" t="s">
        <v>136</v>
      </c>
      <c r="L16" s="133"/>
      <c r="M16" s="134"/>
      <c r="N16" s="133">
        <v>160.65452200000001</v>
      </c>
      <c r="O16" s="487"/>
      <c r="P16" s="519"/>
      <c r="Q16" s="132" t="s">
        <v>136</v>
      </c>
      <c r="R16" s="133">
        <v>160.65452200000001</v>
      </c>
      <c r="S16" s="135">
        <v>44337</v>
      </c>
      <c r="T16" s="480"/>
      <c r="U16" s="522"/>
      <c r="V16" s="521"/>
      <c r="W16" s="494"/>
      <c r="X16" s="136"/>
      <c r="Y16" s="136"/>
      <c r="Z16" s="135"/>
      <c r="AA16" s="441">
        <f t="shared" si="1"/>
        <v>0</v>
      </c>
      <c r="AB16" s="128">
        <f t="shared" si="2"/>
        <v>0</v>
      </c>
    </row>
    <row r="17" spans="1:28" s="127" customFormat="1" ht="26.45" customHeight="1">
      <c r="A17" s="127" t="s">
        <v>101</v>
      </c>
      <c r="B17" s="131">
        <v>10</v>
      </c>
      <c r="C17" s="131" t="s">
        <v>16</v>
      </c>
      <c r="D17" s="136"/>
      <c r="E17" s="129"/>
      <c r="F17" s="130"/>
      <c r="G17" s="135"/>
      <c r="H17" s="131" t="s">
        <v>44</v>
      </c>
      <c r="I17" s="131">
        <v>3</v>
      </c>
      <c r="J17" s="131" t="s">
        <v>43</v>
      </c>
      <c r="K17" s="132" t="s">
        <v>133</v>
      </c>
      <c r="L17" s="133"/>
      <c r="M17" s="134"/>
      <c r="N17" s="133">
        <v>55663.178535999999</v>
      </c>
      <c r="O17" s="487"/>
      <c r="P17" s="519"/>
      <c r="Q17" s="132" t="s">
        <v>133</v>
      </c>
      <c r="R17" s="133">
        <v>55663.178535999999</v>
      </c>
      <c r="S17" s="135">
        <v>44337</v>
      </c>
      <c r="T17" s="480"/>
      <c r="U17" s="522"/>
      <c r="V17" s="521"/>
      <c r="W17" s="494"/>
      <c r="X17" s="136"/>
      <c r="Y17" s="136"/>
      <c r="Z17" s="135"/>
      <c r="AA17" s="441">
        <f t="shared" si="1"/>
        <v>0</v>
      </c>
      <c r="AB17" s="128">
        <f t="shared" si="2"/>
        <v>0</v>
      </c>
    </row>
    <row r="18" spans="1:28" s="127" customFormat="1" ht="26.45" customHeight="1">
      <c r="A18" s="127" t="s">
        <v>101</v>
      </c>
      <c r="B18" s="131">
        <v>10</v>
      </c>
      <c r="C18" s="131" t="s">
        <v>16</v>
      </c>
      <c r="D18" s="136" t="s">
        <v>46</v>
      </c>
      <c r="E18" s="129"/>
      <c r="F18" s="130">
        <f>SUM(N18,N22)</f>
        <v>6000</v>
      </c>
      <c r="G18" s="135"/>
      <c r="H18" s="131" t="s">
        <v>44</v>
      </c>
      <c r="I18" s="131">
        <v>4</v>
      </c>
      <c r="J18" s="131" t="s">
        <v>46</v>
      </c>
      <c r="K18" s="132" t="s">
        <v>107</v>
      </c>
      <c r="L18" s="133"/>
      <c r="M18" s="134"/>
      <c r="N18" s="133">
        <v>3335.3879999999999</v>
      </c>
      <c r="O18" s="487"/>
      <c r="P18" s="519"/>
      <c r="Q18" s="132" t="s">
        <v>107</v>
      </c>
      <c r="R18" s="133">
        <v>3335.3879999999999</v>
      </c>
      <c r="S18" s="135">
        <v>44337</v>
      </c>
      <c r="T18" s="480"/>
      <c r="U18" s="522"/>
      <c r="V18" s="521"/>
      <c r="W18" s="495"/>
      <c r="X18" s="136" t="s">
        <v>46</v>
      </c>
      <c r="Y18" s="136">
        <v>6000</v>
      </c>
      <c r="Z18" s="135">
        <v>44404</v>
      </c>
      <c r="AA18" s="441">
        <f t="shared" si="1"/>
        <v>0</v>
      </c>
      <c r="AB18" s="128">
        <f t="shared" si="2"/>
        <v>0</v>
      </c>
    </row>
    <row r="19" spans="1:28" s="127" customFormat="1" ht="26.45" customHeight="1">
      <c r="A19" s="127" t="s">
        <v>101</v>
      </c>
      <c r="B19" s="131">
        <v>10</v>
      </c>
      <c r="C19" s="131" t="s">
        <v>16</v>
      </c>
      <c r="D19" s="136"/>
      <c r="E19" s="129"/>
      <c r="F19" s="130"/>
      <c r="G19" s="135"/>
      <c r="H19" s="131" t="s">
        <v>47</v>
      </c>
      <c r="I19" s="131">
        <v>1</v>
      </c>
      <c r="J19" s="131" t="s">
        <v>43</v>
      </c>
      <c r="K19" s="132" t="s">
        <v>133</v>
      </c>
      <c r="L19" s="133"/>
      <c r="M19" s="134"/>
      <c r="N19" s="133">
        <v>1283.4547800000003</v>
      </c>
      <c r="O19" s="487" t="s">
        <v>137</v>
      </c>
      <c r="P19" s="519" t="str">
        <f>H19</f>
        <v>CU</v>
      </c>
      <c r="Q19" s="132" t="s">
        <v>133</v>
      </c>
      <c r="R19" s="133">
        <v>1283.4547800000003</v>
      </c>
      <c r="S19" s="135">
        <v>44337</v>
      </c>
      <c r="T19" s="480">
        <v>44377</v>
      </c>
      <c r="U19" s="522">
        <v>48514.84</v>
      </c>
      <c r="V19" s="521">
        <f>SUM(U19:U22)-SUM(R19:R22)</f>
        <v>-30.393722000015259</v>
      </c>
      <c r="W19" s="493" t="s">
        <v>138</v>
      </c>
      <c r="X19" s="136"/>
      <c r="Y19" s="136"/>
      <c r="Z19" s="135"/>
      <c r="AA19" s="441">
        <f t="shared" si="1"/>
        <v>0</v>
      </c>
      <c r="AB19" s="128">
        <f t="shared" si="2"/>
        <v>0</v>
      </c>
    </row>
    <row r="20" spans="1:28" s="127" customFormat="1" ht="26.45" customHeight="1">
      <c r="A20" s="127" t="s">
        <v>101</v>
      </c>
      <c r="B20" s="131">
        <v>10</v>
      </c>
      <c r="C20" s="131" t="s">
        <v>16</v>
      </c>
      <c r="D20" s="136"/>
      <c r="E20" s="129"/>
      <c r="F20" s="130"/>
      <c r="G20" s="135"/>
      <c r="H20" s="131" t="s">
        <v>47</v>
      </c>
      <c r="I20" s="131">
        <v>2</v>
      </c>
      <c r="J20" s="131" t="s">
        <v>43</v>
      </c>
      <c r="K20" s="132" t="s">
        <v>136</v>
      </c>
      <c r="L20" s="133"/>
      <c r="M20" s="134"/>
      <c r="N20" s="133">
        <v>128.34547800000001</v>
      </c>
      <c r="O20" s="487"/>
      <c r="P20" s="519"/>
      <c r="Q20" s="132" t="s">
        <v>136</v>
      </c>
      <c r="R20" s="133">
        <v>128.34547800000001</v>
      </c>
      <c r="S20" s="135">
        <v>44337</v>
      </c>
      <c r="T20" s="480"/>
      <c r="U20" s="522"/>
      <c r="V20" s="521"/>
      <c r="W20" s="494"/>
      <c r="X20" s="136"/>
      <c r="Y20" s="136"/>
      <c r="Z20" s="135"/>
      <c r="AA20" s="441">
        <f t="shared" si="1"/>
        <v>0</v>
      </c>
      <c r="AB20" s="128">
        <f t="shared" si="2"/>
        <v>0</v>
      </c>
    </row>
    <row r="21" spans="1:28" s="127" customFormat="1" ht="26.45" customHeight="1">
      <c r="A21" s="127" t="s">
        <v>101</v>
      </c>
      <c r="B21" s="131">
        <v>10</v>
      </c>
      <c r="C21" s="131" t="s">
        <v>16</v>
      </c>
      <c r="D21" s="136"/>
      <c r="E21" s="129"/>
      <c r="F21" s="130"/>
      <c r="G21" s="135"/>
      <c r="H21" s="131" t="s">
        <v>47</v>
      </c>
      <c r="I21" s="131">
        <v>3</v>
      </c>
      <c r="J21" s="131" t="s">
        <v>43</v>
      </c>
      <c r="K21" s="132" t="s">
        <v>133</v>
      </c>
      <c r="L21" s="133"/>
      <c r="M21" s="134"/>
      <c r="N21" s="133">
        <v>44468.821464000008</v>
      </c>
      <c r="O21" s="487"/>
      <c r="P21" s="519"/>
      <c r="Q21" s="132" t="s">
        <v>133</v>
      </c>
      <c r="R21" s="133">
        <v>44468.821464000008</v>
      </c>
      <c r="S21" s="135">
        <v>44337</v>
      </c>
      <c r="T21" s="480"/>
      <c r="U21" s="522"/>
      <c r="V21" s="521"/>
      <c r="W21" s="494"/>
      <c r="X21" s="136"/>
      <c r="Y21" s="136"/>
      <c r="Z21" s="135"/>
      <c r="AA21" s="441">
        <f t="shared" si="1"/>
        <v>0</v>
      </c>
      <c r="AB21" s="128">
        <f t="shared" si="2"/>
        <v>0</v>
      </c>
    </row>
    <row r="22" spans="1:28" s="127" customFormat="1" ht="26.45" customHeight="1">
      <c r="A22" s="127" t="s">
        <v>101</v>
      </c>
      <c r="B22" s="131">
        <v>10</v>
      </c>
      <c r="C22" s="131" t="s">
        <v>16</v>
      </c>
      <c r="D22" s="136"/>
      <c r="E22" s="129"/>
      <c r="F22" s="130"/>
      <c r="G22" s="135"/>
      <c r="H22" s="131" t="s">
        <v>47</v>
      </c>
      <c r="I22" s="131">
        <v>4</v>
      </c>
      <c r="J22" s="131" t="s">
        <v>46</v>
      </c>
      <c r="K22" s="132" t="s">
        <v>107</v>
      </c>
      <c r="L22" s="133"/>
      <c r="M22" s="134"/>
      <c r="N22" s="133">
        <v>2664.6120000000005</v>
      </c>
      <c r="O22" s="487"/>
      <c r="P22" s="519"/>
      <c r="Q22" s="132" t="s">
        <v>107</v>
      </c>
      <c r="R22" s="133">
        <v>2664.6120000000005</v>
      </c>
      <c r="S22" s="135">
        <v>44337</v>
      </c>
      <c r="T22" s="480"/>
      <c r="U22" s="522"/>
      <c r="V22" s="521"/>
      <c r="W22" s="495"/>
      <c r="X22" s="136"/>
      <c r="Y22" s="136"/>
      <c r="Z22" s="135"/>
      <c r="AA22" s="441">
        <f t="shared" si="1"/>
        <v>0</v>
      </c>
      <c r="AB22" s="128">
        <f t="shared" si="2"/>
        <v>0</v>
      </c>
    </row>
    <row r="23" spans="1:28" s="127" customFormat="1" ht="26.45" customHeight="1">
      <c r="A23" s="127" t="s">
        <v>101</v>
      </c>
      <c r="B23" s="131">
        <v>10</v>
      </c>
      <c r="C23" s="131" t="s">
        <v>50</v>
      </c>
      <c r="D23" s="136" t="str">
        <f>J23</f>
        <v>CIENA</v>
      </c>
      <c r="E23" s="129" t="s">
        <v>139</v>
      </c>
      <c r="F23" s="130">
        <f>'Ciena Invoice (UPG#10)'!D4</f>
        <v>413244</v>
      </c>
      <c r="G23" s="135"/>
      <c r="H23" s="131" t="s">
        <v>44</v>
      </c>
      <c r="I23" s="131">
        <v>1</v>
      </c>
      <c r="J23" s="131" t="s">
        <v>43</v>
      </c>
      <c r="K23" s="132" t="s">
        <v>140</v>
      </c>
      <c r="L23" s="133"/>
      <c r="M23" s="134"/>
      <c r="N23" s="133">
        <v>6426.1808799999999</v>
      </c>
      <c r="O23" s="487" t="s">
        <v>141</v>
      </c>
      <c r="P23" s="519" t="str">
        <f>H23</f>
        <v>KT</v>
      </c>
      <c r="Q23" s="132" t="s">
        <v>140</v>
      </c>
      <c r="R23" s="133">
        <v>6426.1808799999999</v>
      </c>
      <c r="S23" s="135">
        <v>44499</v>
      </c>
      <c r="T23" s="480">
        <v>44470</v>
      </c>
      <c r="U23" s="522">
        <v>234149.65</v>
      </c>
      <c r="V23" s="521">
        <f>SUM(U23:U28)-SUM(R23:R28)</f>
        <v>-5.3911120000120718</v>
      </c>
      <c r="W23" s="493" t="s">
        <v>142</v>
      </c>
      <c r="X23" s="131" t="s">
        <v>43</v>
      </c>
      <c r="Y23" s="136">
        <v>414336.76</v>
      </c>
      <c r="Z23" s="135">
        <v>44497</v>
      </c>
      <c r="AA23" s="441">
        <f t="shared" si="1"/>
        <v>1092.7600000000093</v>
      </c>
      <c r="AB23" s="128">
        <f t="shared" si="2"/>
        <v>1092.7600000000093</v>
      </c>
    </row>
    <row r="24" spans="1:28" s="127" customFormat="1" ht="26.45" customHeight="1">
      <c r="A24" s="127" t="s">
        <v>101</v>
      </c>
      <c r="B24" s="131">
        <v>10</v>
      </c>
      <c r="C24" s="131" t="s">
        <v>50</v>
      </c>
      <c r="D24" s="136"/>
      <c r="E24" s="129"/>
      <c r="F24" s="130"/>
      <c r="G24" s="135"/>
      <c r="H24" s="131" t="s">
        <v>44</v>
      </c>
      <c r="I24" s="131">
        <v>2</v>
      </c>
      <c r="J24" s="131" t="s">
        <v>43</v>
      </c>
      <c r="K24" s="132" t="s">
        <v>143</v>
      </c>
      <c r="L24" s="133"/>
      <c r="M24" s="134"/>
      <c r="N24" s="133">
        <v>642.61808800000006</v>
      </c>
      <c r="O24" s="487"/>
      <c r="P24" s="519"/>
      <c r="Q24" s="132" t="s">
        <v>143</v>
      </c>
      <c r="R24" s="133">
        <v>642.61808800000006</v>
      </c>
      <c r="S24" s="135">
        <v>44499</v>
      </c>
      <c r="T24" s="480"/>
      <c r="U24" s="522"/>
      <c r="V24" s="521"/>
      <c r="W24" s="494"/>
      <c r="X24" s="136"/>
      <c r="Y24" s="136"/>
      <c r="Z24" s="135"/>
      <c r="AA24" s="441">
        <f t="shared" si="1"/>
        <v>0</v>
      </c>
      <c r="AB24" s="128">
        <f t="shared" si="2"/>
        <v>0</v>
      </c>
    </row>
    <row r="25" spans="1:28" s="127" customFormat="1" ht="26.45" customHeight="1">
      <c r="A25" s="127" t="s">
        <v>101</v>
      </c>
      <c r="B25" s="131">
        <v>10</v>
      </c>
      <c r="C25" s="131" t="s">
        <v>109</v>
      </c>
      <c r="D25" s="136"/>
      <c r="E25" s="129"/>
      <c r="F25" s="130"/>
      <c r="G25" s="135"/>
      <c r="H25" s="131" t="s">
        <v>44</v>
      </c>
      <c r="I25" s="131">
        <v>3</v>
      </c>
      <c r="J25" s="131" t="s">
        <v>43</v>
      </c>
      <c r="K25" s="132" t="s">
        <v>140</v>
      </c>
      <c r="L25" s="133"/>
      <c r="M25" s="134"/>
      <c r="N25" s="133">
        <v>222652.714144</v>
      </c>
      <c r="O25" s="487"/>
      <c r="P25" s="519"/>
      <c r="Q25" s="132" t="s">
        <v>140</v>
      </c>
      <c r="R25" s="133">
        <v>222652.714144</v>
      </c>
      <c r="S25" s="135">
        <v>44499</v>
      </c>
      <c r="T25" s="480"/>
      <c r="U25" s="522"/>
      <c r="V25" s="521"/>
      <c r="W25" s="494"/>
      <c r="X25" s="136"/>
      <c r="Y25" s="136"/>
      <c r="Z25" s="135"/>
      <c r="AA25" s="441">
        <f t="shared" si="1"/>
        <v>0</v>
      </c>
      <c r="AB25" s="128">
        <f t="shared" si="2"/>
        <v>0</v>
      </c>
    </row>
    <row r="26" spans="1:28" s="127" customFormat="1" ht="26.45" customHeight="1">
      <c r="A26" s="127" t="s">
        <v>101</v>
      </c>
      <c r="B26" s="131">
        <v>10</v>
      </c>
      <c r="C26" s="131" t="s">
        <v>109</v>
      </c>
      <c r="D26" s="136" t="s">
        <v>43</v>
      </c>
      <c r="E26" s="129" t="s">
        <v>144</v>
      </c>
      <c r="F26" s="130">
        <v>1092.76</v>
      </c>
      <c r="G26" s="135"/>
      <c r="H26" s="131" t="s">
        <v>44</v>
      </c>
      <c r="I26" s="131">
        <v>4</v>
      </c>
      <c r="J26" s="131" t="s">
        <v>43</v>
      </c>
      <c r="K26" s="132" t="s">
        <v>145</v>
      </c>
      <c r="L26" s="133"/>
      <c r="M26" s="134"/>
      <c r="N26" s="133">
        <v>1092.76</v>
      </c>
      <c r="O26" s="487"/>
      <c r="P26" s="519"/>
      <c r="Q26" s="132" t="s">
        <v>145</v>
      </c>
      <c r="R26" s="133">
        <v>1092.76</v>
      </c>
      <c r="S26" s="135">
        <v>44499</v>
      </c>
      <c r="T26" s="480"/>
      <c r="U26" s="522"/>
      <c r="V26" s="521"/>
      <c r="W26" s="494"/>
      <c r="X26" s="136"/>
      <c r="Y26" s="136"/>
      <c r="Z26" s="135"/>
      <c r="AA26" s="441">
        <f t="shared" si="1"/>
        <v>-1092.76</v>
      </c>
      <c r="AB26" s="128">
        <f t="shared" si="2"/>
        <v>-1092.76</v>
      </c>
    </row>
    <row r="27" spans="1:28" s="127" customFormat="1" ht="26.45" customHeight="1">
      <c r="A27" s="127" t="s">
        <v>101</v>
      </c>
      <c r="B27" s="131">
        <v>10</v>
      </c>
      <c r="C27" s="131" t="s">
        <v>109</v>
      </c>
      <c r="D27" s="136"/>
      <c r="E27" s="129"/>
      <c r="F27" s="130"/>
      <c r="G27" s="135"/>
      <c r="H27" s="131" t="s">
        <v>44</v>
      </c>
      <c r="I27" s="131"/>
      <c r="J27" s="131"/>
      <c r="K27" s="132"/>
      <c r="L27" s="133"/>
      <c r="M27" s="134"/>
      <c r="N27" s="133"/>
      <c r="O27" s="487"/>
      <c r="P27" s="519"/>
      <c r="Q27" s="132" t="s">
        <v>146</v>
      </c>
      <c r="R27" s="133">
        <v>5.38</v>
      </c>
      <c r="S27" s="135">
        <v>44499</v>
      </c>
      <c r="T27" s="480"/>
      <c r="U27" s="522"/>
      <c r="V27" s="521"/>
      <c r="W27" s="494"/>
      <c r="X27" s="136"/>
      <c r="Y27" s="136"/>
      <c r="Z27" s="135"/>
      <c r="AA27" s="441">
        <f t="shared" si="1"/>
        <v>0</v>
      </c>
      <c r="AB27" s="128">
        <f t="shared" si="2"/>
        <v>0</v>
      </c>
    </row>
    <row r="28" spans="1:28" s="127" customFormat="1" ht="26.45" customHeight="1">
      <c r="A28" s="127" t="s">
        <v>101</v>
      </c>
      <c r="B28" s="131">
        <v>10</v>
      </c>
      <c r="C28" s="131" t="s">
        <v>109</v>
      </c>
      <c r="D28" s="136" t="str">
        <f>J28</f>
        <v>CHT</v>
      </c>
      <c r="E28" s="129"/>
      <c r="F28" s="130">
        <f>SUM(N28,N33)</f>
        <v>6000</v>
      </c>
      <c r="G28" s="135"/>
      <c r="H28" s="131" t="s">
        <v>44</v>
      </c>
      <c r="I28" s="131">
        <v>6</v>
      </c>
      <c r="J28" s="131" t="s">
        <v>46</v>
      </c>
      <c r="K28" s="132" t="s">
        <v>107</v>
      </c>
      <c r="L28" s="133"/>
      <c r="M28" s="134"/>
      <c r="N28" s="133">
        <v>3335.3879999999999</v>
      </c>
      <c r="O28" s="487"/>
      <c r="P28" s="519"/>
      <c r="Q28" s="132" t="s">
        <v>107</v>
      </c>
      <c r="R28" s="133">
        <v>3335.3879999999999</v>
      </c>
      <c r="S28" s="135">
        <v>44499</v>
      </c>
      <c r="T28" s="480"/>
      <c r="U28" s="522"/>
      <c r="V28" s="521"/>
      <c r="W28" s="495"/>
      <c r="X28" s="136" t="s">
        <v>46</v>
      </c>
      <c r="Y28" s="136">
        <v>6000</v>
      </c>
      <c r="Z28" s="135">
        <v>44497</v>
      </c>
      <c r="AA28" s="441">
        <f t="shared" si="1"/>
        <v>0</v>
      </c>
      <c r="AB28" s="128">
        <f t="shared" si="2"/>
        <v>0</v>
      </c>
    </row>
    <row r="29" spans="1:28" s="127" customFormat="1" ht="26.45" customHeight="1">
      <c r="A29" s="127" t="s">
        <v>101</v>
      </c>
      <c r="B29" s="131">
        <v>10</v>
      </c>
      <c r="C29" s="131" t="s">
        <v>109</v>
      </c>
      <c r="D29" s="136"/>
      <c r="E29" s="129"/>
      <c r="F29" s="130"/>
      <c r="G29" s="135"/>
      <c r="H29" s="131" t="s">
        <v>47</v>
      </c>
      <c r="I29" s="131">
        <v>1</v>
      </c>
      <c r="J29" s="131" t="s">
        <v>43</v>
      </c>
      <c r="K29" s="132" t="s">
        <v>140</v>
      </c>
      <c r="L29" s="133"/>
      <c r="M29" s="134"/>
      <c r="N29" s="133">
        <v>5133.819120000001</v>
      </c>
      <c r="O29" s="487" t="s">
        <v>147</v>
      </c>
      <c r="P29" s="519" t="str">
        <f>H29</f>
        <v>CU</v>
      </c>
      <c r="Q29" s="132" t="s">
        <v>140</v>
      </c>
      <c r="R29" s="133">
        <v>5133.819120000001</v>
      </c>
      <c r="S29" s="135">
        <v>44499</v>
      </c>
      <c r="T29" s="480">
        <v>44490</v>
      </c>
      <c r="U29" s="522">
        <v>186202.1</v>
      </c>
      <c r="V29" s="521">
        <f>SUM(U29:U33)-SUM(R29:R33)</f>
        <v>-15.388888000044972</v>
      </c>
      <c r="W29" s="493" t="s">
        <v>148</v>
      </c>
      <c r="X29" s="136"/>
      <c r="Y29" s="136"/>
      <c r="Z29" s="135"/>
      <c r="AA29" s="441">
        <f t="shared" si="1"/>
        <v>0</v>
      </c>
      <c r="AB29" s="128">
        <f t="shared" si="2"/>
        <v>0</v>
      </c>
    </row>
    <row r="30" spans="1:28" s="127" customFormat="1" ht="26.45" customHeight="1">
      <c r="A30" s="127" t="s">
        <v>101</v>
      </c>
      <c r="B30" s="131">
        <v>10</v>
      </c>
      <c r="C30" s="131" t="s">
        <v>109</v>
      </c>
      <c r="D30" s="136"/>
      <c r="E30" s="129"/>
      <c r="F30" s="130"/>
      <c r="G30" s="135"/>
      <c r="H30" s="131" t="s">
        <v>47</v>
      </c>
      <c r="I30" s="131">
        <v>2</v>
      </c>
      <c r="J30" s="131" t="s">
        <v>43</v>
      </c>
      <c r="K30" s="132" t="s">
        <v>143</v>
      </c>
      <c r="L30" s="133"/>
      <c r="M30" s="134"/>
      <c r="N30" s="133">
        <v>513.38191200000006</v>
      </c>
      <c r="O30" s="487"/>
      <c r="P30" s="519"/>
      <c r="Q30" s="132" t="s">
        <v>143</v>
      </c>
      <c r="R30" s="133">
        <v>513.38191200000006</v>
      </c>
      <c r="S30" s="135">
        <v>44499</v>
      </c>
      <c r="T30" s="480"/>
      <c r="U30" s="522"/>
      <c r="V30" s="521"/>
      <c r="W30" s="494"/>
      <c r="X30" s="136"/>
      <c r="Y30" s="136"/>
      <c r="Z30" s="135"/>
      <c r="AA30" s="441">
        <f t="shared" si="1"/>
        <v>0</v>
      </c>
      <c r="AB30" s="128">
        <f t="shared" si="2"/>
        <v>0</v>
      </c>
    </row>
    <row r="31" spans="1:28" s="127" customFormat="1" ht="26.45" customHeight="1">
      <c r="A31" s="127" t="s">
        <v>101</v>
      </c>
      <c r="B31" s="131">
        <v>10</v>
      </c>
      <c r="C31" s="131" t="s">
        <v>109</v>
      </c>
      <c r="D31" s="136"/>
      <c r="E31" s="129"/>
      <c r="F31" s="130"/>
      <c r="G31" s="135"/>
      <c r="H31" s="131" t="s">
        <v>47</v>
      </c>
      <c r="I31" s="131">
        <v>3</v>
      </c>
      <c r="J31" s="131" t="s">
        <v>43</v>
      </c>
      <c r="K31" s="132" t="s">
        <v>140</v>
      </c>
      <c r="L31" s="133"/>
      <c r="M31" s="134"/>
      <c r="N31" s="133">
        <v>177875.28585600003</v>
      </c>
      <c r="O31" s="487"/>
      <c r="P31" s="519"/>
      <c r="Q31" s="132" t="s">
        <v>140</v>
      </c>
      <c r="R31" s="133">
        <v>177875.28585600003</v>
      </c>
      <c r="S31" s="135">
        <v>44499</v>
      </c>
      <c r="T31" s="480"/>
      <c r="U31" s="522"/>
      <c r="V31" s="521"/>
      <c r="W31" s="494"/>
      <c r="X31" s="136"/>
      <c r="Y31" s="136"/>
      <c r="Z31" s="135"/>
      <c r="AA31" s="441">
        <f t="shared" si="1"/>
        <v>0</v>
      </c>
      <c r="AB31" s="128">
        <f t="shared" si="2"/>
        <v>0</v>
      </c>
    </row>
    <row r="32" spans="1:28" s="127" customFormat="1" ht="26.45" customHeight="1">
      <c r="A32" s="127" t="s">
        <v>101</v>
      </c>
      <c r="B32" s="131">
        <v>10</v>
      </c>
      <c r="C32" s="131" t="s">
        <v>109</v>
      </c>
      <c r="D32" s="136"/>
      <c r="E32" s="129"/>
      <c r="F32" s="130"/>
      <c r="G32" s="135"/>
      <c r="H32" s="131" t="s">
        <v>47</v>
      </c>
      <c r="I32" s="131"/>
      <c r="J32" s="131"/>
      <c r="K32" s="132"/>
      <c r="L32" s="133"/>
      <c r="M32" s="134"/>
      <c r="N32" s="133"/>
      <c r="O32" s="487"/>
      <c r="P32" s="519"/>
      <c r="Q32" s="132" t="s">
        <v>146</v>
      </c>
      <c r="R32" s="133">
        <v>30.39</v>
      </c>
      <c r="S32" s="135">
        <v>44499</v>
      </c>
      <c r="T32" s="480"/>
      <c r="U32" s="522"/>
      <c r="V32" s="521"/>
      <c r="W32" s="494"/>
      <c r="X32" s="131"/>
      <c r="Y32" s="136"/>
      <c r="Z32" s="135"/>
      <c r="AA32" s="441">
        <f t="shared" si="1"/>
        <v>0</v>
      </c>
      <c r="AB32" s="128">
        <f t="shared" si="2"/>
        <v>0</v>
      </c>
    </row>
    <row r="33" spans="1:29" s="127" customFormat="1" ht="26.45" customHeight="1">
      <c r="A33" s="127" t="s">
        <v>101</v>
      </c>
      <c r="B33" s="131">
        <v>10</v>
      </c>
      <c r="C33" s="131" t="s">
        <v>109</v>
      </c>
      <c r="D33" s="136"/>
      <c r="E33" s="129"/>
      <c r="F33" s="130"/>
      <c r="G33" s="135"/>
      <c r="H33" s="131" t="s">
        <v>47</v>
      </c>
      <c r="I33" s="131">
        <v>5</v>
      </c>
      <c r="J33" s="131" t="s">
        <v>46</v>
      </c>
      <c r="K33" s="132" t="s">
        <v>107</v>
      </c>
      <c r="L33" s="133"/>
      <c r="M33" s="134"/>
      <c r="N33" s="133">
        <v>2664.6120000000005</v>
      </c>
      <c r="O33" s="487"/>
      <c r="P33" s="519"/>
      <c r="Q33" s="132" t="s">
        <v>107</v>
      </c>
      <c r="R33" s="133">
        <v>2664.6120000000005</v>
      </c>
      <c r="S33" s="135">
        <v>44499</v>
      </c>
      <c r="T33" s="480"/>
      <c r="U33" s="522"/>
      <c r="V33" s="521"/>
      <c r="W33" s="495"/>
      <c r="X33" s="136"/>
      <c r="Y33" s="136"/>
      <c r="Z33" s="135"/>
      <c r="AA33" s="441">
        <f t="shared" si="1"/>
        <v>0</v>
      </c>
      <c r="AB33" s="128">
        <f t="shared" si="2"/>
        <v>0</v>
      </c>
    </row>
    <row r="34" spans="1:29" s="127" customFormat="1" ht="26.45" customHeight="1">
      <c r="A34" s="127" t="s">
        <v>101</v>
      </c>
      <c r="B34" s="131">
        <v>10</v>
      </c>
      <c r="C34" s="131" t="s">
        <v>53</v>
      </c>
      <c r="D34" s="136" t="str">
        <f>J34</f>
        <v>CIENA</v>
      </c>
      <c r="E34" s="129" t="s">
        <v>149</v>
      </c>
      <c r="F34" s="130">
        <f>'Ciena Invoice (UPG#10)'!D5</f>
        <v>413244</v>
      </c>
      <c r="G34" s="135"/>
      <c r="H34" s="131" t="s">
        <v>44</v>
      </c>
      <c r="I34" s="131">
        <v>1</v>
      </c>
      <c r="J34" s="131" t="s">
        <v>43</v>
      </c>
      <c r="K34" s="132" t="s">
        <v>150</v>
      </c>
      <c r="L34" s="133"/>
      <c r="M34" s="134"/>
      <c r="N34" s="133">
        <v>6426.1808799999999</v>
      </c>
      <c r="O34" s="487" t="s">
        <v>151</v>
      </c>
      <c r="P34" s="519" t="str">
        <f>H34</f>
        <v>KT</v>
      </c>
      <c r="Q34" s="132" t="s">
        <v>150</v>
      </c>
      <c r="R34" s="133">
        <v>6426.1808799999999</v>
      </c>
      <c r="S34" s="135">
        <v>44548</v>
      </c>
      <c r="T34" s="480">
        <v>44519</v>
      </c>
      <c r="U34" s="522">
        <v>233056.88</v>
      </c>
      <c r="V34" s="521">
        <f>SUM(U34:U38)-SUM(R34:R38)</f>
        <v>-5.4111120000015944</v>
      </c>
      <c r="W34" s="493" t="s">
        <v>152</v>
      </c>
      <c r="X34" s="131" t="s">
        <v>43</v>
      </c>
      <c r="Y34" s="136">
        <v>413244</v>
      </c>
      <c r="Z34" s="135">
        <v>44537</v>
      </c>
      <c r="AA34" s="441">
        <f t="shared" si="1"/>
        <v>0</v>
      </c>
      <c r="AB34" s="128">
        <f t="shared" si="2"/>
        <v>0</v>
      </c>
    </row>
    <row r="35" spans="1:29" s="127" customFormat="1" ht="26.45" customHeight="1">
      <c r="A35" s="127" t="s">
        <v>101</v>
      </c>
      <c r="B35" s="131">
        <v>10</v>
      </c>
      <c r="C35" s="131" t="s">
        <v>53</v>
      </c>
      <c r="D35" s="136"/>
      <c r="E35" s="129"/>
      <c r="F35" s="130"/>
      <c r="G35" s="135"/>
      <c r="H35" s="131" t="s">
        <v>44</v>
      </c>
      <c r="I35" s="131">
        <v>2</v>
      </c>
      <c r="J35" s="131" t="s">
        <v>43</v>
      </c>
      <c r="K35" s="132" t="s">
        <v>153</v>
      </c>
      <c r="L35" s="133"/>
      <c r="M35" s="134"/>
      <c r="N35" s="133">
        <v>642.61808800000006</v>
      </c>
      <c r="O35" s="487"/>
      <c r="P35" s="519"/>
      <c r="Q35" s="132" t="s">
        <v>153</v>
      </c>
      <c r="R35" s="133">
        <v>642.61808800000006</v>
      </c>
      <c r="S35" s="135">
        <v>44519</v>
      </c>
      <c r="T35" s="480"/>
      <c r="U35" s="522"/>
      <c r="V35" s="521"/>
      <c r="W35" s="494"/>
      <c r="X35" s="136"/>
      <c r="Y35" s="136"/>
      <c r="Z35" s="135"/>
      <c r="AA35" s="441">
        <f t="shared" si="1"/>
        <v>0</v>
      </c>
      <c r="AB35" s="128">
        <f t="shared" si="2"/>
        <v>0</v>
      </c>
    </row>
    <row r="36" spans="1:29" s="127" customFormat="1" ht="26.45" customHeight="1">
      <c r="A36" s="127" t="s">
        <v>101</v>
      </c>
      <c r="B36" s="131">
        <v>10</v>
      </c>
      <c r="C36" s="131" t="s">
        <v>110</v>
      </c>
      <c r="D36" s="136"/>
      <c r="E36" s="129"/>
      <c r="F36" s="130"/>
      <c r="G36" s="135"/>
      <c r="H36" s="131" t="s">
        <v>44</v>
      </c>
      <c r="I36" s="131">
        <v>3</v>
      </c>
      <c r="J36" s="131" t="s">
        <v>43</v>
      </c>
      <c r="K36" s="132" t="s">
        <v>150</v>
      </c>
      <c r="L36" s="133"/>
      <c r="M36" s="134"/>
      <c r="N36" s="133">
        <v>222652.714144</v>
      </c>
      <c r="O36" s="487"/>
      <c r="P36" s="519"/>
      <c r="Q36" s="132" t="s">
        <v>150</v>
      </c>
      <c r="R36" s="133">
        <v>222652.714144</v>
      </c>
      <c r="S36" s="135">
        <v>44519</v>
      </c>
      <c r="T36" s="480"/>
      <c r="U36" s="522"/>
      <c r="V36" s="521"/>
      <c r="W36" s="494"/>
      <c r="X36" s="136"/>
      <c r="Y36" s="136"/>
      <c r="Z36" s="135"/>
      <c r="AA36" s="441">
        <f t="shared" si="1"/>
        <v>0</v>
      </c>
      <c r="AB36" s="128">
        <f t="shared" si="2"/>
        <v>0</v>
      </c>
    </row>
    <row r="37" spans="1:29" s="127" customFormat="1" ht="26.45" customHeight="1">
      <c r="A37" s="127" t="s">
        <v>101</v>
      </c>
      <c r="B37" s="131">
        <v>10</v>
      </c>
      <c r="C37" s="131" t="s">
        <v>110</v>
      </c>
      <c r="D37" s="136"/>
      <c r="E37" s="129"/>
      <c r="F37" s="130"/>
      <c r="G37" s="135"/>
      <c r="H37" s="131" t="s">
        <v>44</v>
      </c>
      <c r="I37" s="131"/>
      <c r="J37" s="131"/>
      <c r="K37" s="132"/>
      <c r="L37" s="133"/>
      <c r="M37" s="134"/>
      <c r="N37" s="133"/>
      <c r="O37" s="487"/>
      <c r="P37" s="519"/>
      <c r="Q37" s="132" t="s">
        <v>154</v>
      </c>
      <c r="R37" s="133">
        <v>5.39</v>
      </c>
      <c r="S37" s="135">
        <v>44519</v>
      </c>
      <c r="T37" s="480"/>
      <c r="U37" s="522"/>
      <c r="V37" s="521"/>
      <c r="W37" s="494"/>
      <c r="X37" s="136"/>
      <c r="Y37" s="136"/>
      <c r="Z37" s="135"/>
      <c r="AA37" s="441">
        <f t="shared" si="1"/>
        <v>0</v>
      </c>
      <c r="AB37" s="128">
        <f t="shared" si="2"/>
        <v>0</v>
      </c>
    </row>
    <row r="38" spans="1:29" s="127" customFormat="1" ht="26.45" customHeight="1">
      <c r="A38" s="127" t="s">
        <v>101</v>
      </c>
      <c r="B38" s="131">
        <v>10</v>
      </c>
      <c r="C38" s="131" t="s">
        <v>110</v>
      </c>
      <c r="D38" s="136" t="str">
        <f>J38</f>
        <v>CHT</v>
      </c>
      <c r="E38" s="129"/>
      <c r="F38" s="130">
        <f>SUM(N38,N43)</f>
        <v>6000</v>
      </c>
      <c r="G38" s="135"/>
      <c r="H38" s="131" t="s">
        <v>44</v>
      </c>
      <c r="I38" s="131">
        <v>5</v>
      </c>
      <c r="J38" s="131" t="s">
        <v>46</v>
      </c>
      <c r="K38" s="132" t="s">
        <v>107</v>
      </c>
      <c r="L38" s="133"/>
      <c r="M38" s="134"/>
      <c r="N38" s="133">
        <v>3335.3879999999999</v>
      </c>
      <c r="O38" s="487"/>
      <c r="P38" s="519"/>
      <c r="Q38" s="132" t="s">
        <v>107</v>
      </c>
      <c r="R38" s="133">
        <v>3335.3879999999999</v>
      </c>
      <c r="S38" s="135">
        <v>44519</v>
      </c>
      <c r="T38" s="480"/>
      <c r="U38" s="522"/>
      <c r="V38" s="521"/>
      <c r="W38" s="495"/>
      <c r="X38" s="136" t="s">
        <v>46</v>
      </c>
      <c r="Y38" s="136">
        <v>6000</v>
      </c>
      <c r="Z38" s="135">
        <v>44537</v>
      </c>
      <c r="AA38" s="441">
        <f t="shared" si="1"/>
        <v>0</v>
      </c>
      <c r="AB38" s="128">
        <f t="shared" si="2"/>
        <v>0</v>
      </c>
    </row>
    <row r="39" spans="1:29" s="127" customFormat="1" ht="26.45" customHeight="1">
      <c r="A39" s="127" t="s">
        <v>101</v>
      </c>
      <c r="B39" s="131">
        <v>10</v>
      </c>
      <c r="C39" s="131" t="s">
        <v>110</v>
      </c>
      <c r="D39" s="136"/>
      <c r="E39" s="129"/>
      <c r="F39" s="130"/>
      <c r="G39" s="135"/>
      <c r="H39" s="131" t="s">
        <v>47</v>
      </c>
      <c r="I39" s="131">
        <v>1</v>
      </c>
      <c r="J39" s="131" t="s">
        <v>43</v>
      </c>
      <c r="K39" s="132" t="s">
        <v>150</v>
      </c>
      <c r="L39" s="133"/>
      <c r="M39" s="134"/>
      <c r="N39" s="133">
        <v>5133.819120000001</v>
      </c>
      <c r="O39" s="487" t="s">
        <v>155</v>
      </c>
      <c r="P39" s="519" t="str">
        <f>H39</f>
        <v>CU</v>
      </c>
      <c r="Q39" s="132" t="s">
        <v>150</v>
      </c>
      <c r="R39" s="133">
        <v>5133.819120000001</v>
      </c>
      <c r="S39" s="135">
        <v>44548</v>
      </c>
      <c r="T39" s="480">
        <v>44525</v>
      </c>
      <c r="U39" s="522">
        <v>186187.08</v>
      </c>
      <c r="V39" s="521">
        <f>SUM(U39:U43)-SUM(R39:R43)</f>
        <v>-15.408888000063598</v>
      </c>
      <c r="W39" s="502" t="s">
        <v>156</v>
      </c>
      <c r="X39" s="136"/>
      <c r="Y39" s="136"/>
      <c r="Z39" s="135"/>
      <c r="AA39" s="441">
        <f t="shared" si="1"/>
        <v>0</v>
      </c>
      <c r="AB39" s="128">
        <f t="shared" si="2"/>
        <v>0</v>
      </c>
    </row>
    <row r="40" spans="1:29" s="127" customFormat="1" ht="26.45" customHeight="1">
      <c r="A40" s="127" t="s">
        <v>101</v>
      </c>
      <c r="B40" s="131">
        <v>10</v>
      </c>
      <c r="C40" s="131" t="s">
        <v>110</v>
      </c>
      <c r="D40" s="136"/>
      <c r="E40" s="129"/>
      <c r="F40" s="130"/>
      <c r="G40" s="135"/>
      <c r="H40" s="131" t="s">
        <v>47</v>
      </c>
      <c r="I40" s="131">
        <v>2</v>
      </c>
      <c r="J40" s="131" t="s">
        <v>43</v>
      </c>
      <c r="K40" s="132" t="s">
        <v>153</v>
      </c>
      <c r="L40" s="133"/>
      <c r="M40" s="134"/>
      <c r="N40" s="133">
        <v>513.38191200000006</v>
      </c>
      <c r="O40" s="487"/>
      <c r="P40" s="519"/>
      <c r="Q40" s="132" t="s">
        <v>153</v>
      </c>
      <c r="R40" s="133">
        <v>513.38191200000006</v>
      </c>
      <c r="S40" s="135">
        <v>44548</v>
      </c>
      <c r="T40" s="480"/>
      <c r="U40" s="522"/>
      <c r="V40" s="521"/>
      <c r="W40" s="503"/>
      <c r="X40" s="136"/>
      <c r="Y40" s="136"/>
      <c r="Z40" s="135"/>
      <c r="AA40" s="441">
        <f t="shared" si="1"/>
        <v>0</v>
      </c>
      <c r="AB40" s="128">
        <f t="shared" si="2"/>
        <v>0</v>
      </c>
    </row>
    <row r="41" spans="1:29" s="127" customFormat="1" ht="26.45" customHeight="1">
      <c r="A41" s="127" t="s">
        <v>101</v>
      </c>
      <c r="B41" s="131">
        <v>10</v>
      </c>
      <c r="C41" s="131" t="s">
        <v>110</v>
      </c>
      <c r="D41" s="136"/>
      <c r="E41" s="129"/>
      <c r="F41" s="130"/>
      <c r="G41" s="135"/>
      <c r="H41" s="131" t="s">
        <v>47</v>
      </c>
      <c r="I41" s="131">
        <v>3</v>
      </c>
      <c r="J41" s="131" t="s">
        <v>43</v>
      </c>
      <c r="K41" s="132" t="s">
        <v>150</v>
      </c>
      <c r="L41" s="133"/>
      <c r="M41" s="134"/>
      <c r="N41" s="133">
        <v>177875.28585600003</v>
      </c>
      <c r="O41" s="487"/>
      <c r="P41" s="519"/>
      <c r="Q41" s="132" t="s">
        <v>150</v>
      </c>
      <c r="R41" s="133">
        <v>177875.28585600003</v>
      </c>
      <c r="S41" s="135">
        <v>44548</v>
      </c>
      <c r="T41" s="480"/>
      <c r="U41" s="522"/>
      <c r="V41" s="521"/>
      <c r="W41" s="503"/>
      <c r="X41" s="136"/>
      <c r="Y41" s="136"/>
      <c r="Z41" s="135"/>
      <c r="AA41" s="441">
        <f t="shared" si="1"/>
        <v>0</v>
      </c>
      <c r="AB41" s="128">
        <f t="shared" si="2"/>
        <v>0</v>
      </c>
    </row>
    <row r="42" spans="1:29" s="127" customFormat="1" ht="26.45" customHeight="1">
      <c r="A42" s="127" t="s">
        <v>101</v>
      </c>
      <c r="B42" s="131">
        <v>10</v>
      </c>
      <c r="C42" s="131" t="s">
        <v>110</v>
      </c>
      <c r="D42" s="136"/>
      <c r="E42" s="129"/>
      <c r="F42" s="130"/>
      <c r="G42" s="135"/>
      <c r="H42" s="131" t="s">
        <v>47</v>
      </c>
      <c r="I42" s="131"/>
      <c r="J42" s="131"/>
      <c r="K42" s="132"/>
      <c r="L42" s="133"/>
      <c r="M42" s="134"/>
      <c r="N42" s="133"/>
      <c r="O42" s="487"/>
      <c r="P42" s="519"/>
      <c r="Q42" s="132" t="s">
        <v>154</v>
      </c>
      <c r="R42" s="133">
        <v>15.39</v>
      </c>
      <c r="S42" s="135">
        <v>44548</v>
      </c>
      <c r="T42" s="480"/>
      <c r="U42" s="522"/>
      <c r="V42" s="521"/>
      <c r="W42" s="503"/>
      <c r="X42" s="136"/>
      <c r="Y42" s="136"/>
      <c r="Z42" s="135"/>
      <c r="AA42" s="441">
        <f t="shared" si="1"/>
        <v>0</v>
      </c>
      <c r="AB42" s="128">
        <f t="shared" si="2"/>
        <v>0</v>
      </c>
    </row>
    <row r="43" spans="1:29" s="127" customFormat="1" ht="26.45" customHeight="1">
      <c r="A43" s="127" t="s">
        <v>101</v>
      </c>
      <c r="B43" s="131">
        <v>10</v>
      </c>
      <c r="C43" s="131" t="s">
        <v>110</v>
      </c>
      <c r="D43" s="136"/>
      <c r="E43" s="129"/>
      <c r="F43" s="130"/>
      <c r="G43" s="135"/>
      <c r="H43" s="131" t="s">
        <v>47</v>
      </c>
      <c r="I43" s="131">
        <v>5</v>
      </c>
      <c r="J43" s="131" t="s">
        <v>46</v>
      </c>
      <c r="K43" s="132" t="s">
        <v>157</v>
      </c>
      <c r="L43" s="133"/>
      <c r="M43" s="134"/>
      <c r="N43" s="133">
        <v>2664.6120000000005</v>
      </c>
      <c r="O43" s="487"/>
      <c r="P43" s="519"/>
      <c r="Q43" s="132" t="s">
        <v>107</v>
      </c>
      <c r="R43" s="133">
        <v>2664.6120000000005</v>
      </c>
      <c r="S43" s="135">
        <v>44548</v>
      </c>
      <c r="T43" s="480"/>
      <c r="U43" s="522"/>
      <c r="V43" s="521"/>
      <c r="W43" s="504"/>
      <c r="X43" s="136"/>
      <c r="Y43" s="136"/>
      <c r="Z43" s="135"/>
      <c r="AA43" s="441">
        <f t="shared" si="1"/>
        <v>0</v>
      </c>
      <c r="AB43" s="128">
        <f t="shared" si="2"/>
        <v>0</v>
      </c>
    </row>
    <row r="44" spans="1:29" s="127" customFormat="1" ht="26.45" customHeight="1">
      <c r="A44" s="127" t="s">
        <v>101</v>
      </c>
      <c r="B44" s="131">
        <v>10</v>
      </c>
      <c r="C44" s="131" t="s">
        <v>59</v>
      </c>
      <c r="D44" s="136" t="s">
        <v>43</v>
      </c>
      <c r="E44" s="129">
        <v>85186</v>
      </c>
      <c r="F44" s="130">
        <f>'Ciena Invoice (UPG#10)'!D10</f>
        <v>42646.84</v>
      </c>
      <c r="G44" s="135">
        <v>44641</v>
      </c>
      <c r="H44" s="131" t="s">
        <v>44</v>
      </c>
      <c r="I44" s="131">
        <v>1</v>
      </c>
      <c r="J44" s="131" t="s">
        <v>43</v>
      </c>
      <c r="K44" s="132" t="s">
        <v>158</v>
      </c>
      <c r="L44" s="133"/>
      <c r="M44" s="134"/>
      <c r="N44" s="133">
        <f>10910.8324052+4414.4694027+8381.99125442</f>
        <v>23707.293062320001</v>
      </c>
      <c r="O44" s="487" t="s">
        <v>159</v>
      </c>
      <c r="P44" s="519" t="str">
        <f>H44</f>
        <v>KT</v>
      </c>
      <c r="Q44" s="132" t="s">
        <v>158</v>
      </c>
      <c r="R44" s="133">
        <f>10910.8324052+4414.4694027+8381.99125442</f>
        <v>23707.293062320001</v>
      </c>
      <c r="S44" s="135">
        <v>44628</v>
      </c>
      <c r="T44" s="480">
        <v>44636</v>
      </c>
      <c r="U44" s="522">
        <f>SUM(R44:R49)</f>
        <v>27618.211194399999</v>
      </c>
      <c r="V44" s="521">
        <f>SUM(U44:U49)-SUM(R44:R49)</f>
        <v>0</v>
      </c>
      <c r="W44" s="496"/>
      <c r="X44" s="136" t="s">
        <v>43</v>
      </c>
      <c r="Y44" s="136">
        <v>43662.8</v>
      </c>
      <c r="Z44" s="135">
        <v>44641</v>
      </c>
      <c r="AA44" s="441">
        <f>Y44-SUM(F44)</f>
        <v>1015.9600000000064</v>
      </c>
      <c r="AB44" s="128">
        <f t="shared" si="2"/>
        <v>1015.9600000000064</v>
      </c>
      <c r="AC44" s="430"/>
    </row>
    <row r="45" spans="1:29" s="127" customFormat="1" ht="26.45" customHeight="1">
      <c r="A45" s="127" t="s">
        <v>101</v>
      </c>
      <c r="B45" s="131">
        <v>10</v>
      </c>
      <c r="C45" s="131" t="s">
        <v>59</v>
      </c>
      <c r="D45" s="136" t="s">
        <v>43</v>
      </c>
      <c r="E45" s="431">
        <v>7266312</v>
      </c>
      <c r="F45" s="130">
        <v>507.98</v>
      </c>
      <c r="G45" s="135">
        <v>44641</v>
      </c>
      <c r="H45" s="131" t="s">
        <v>44</v>
      </c>
      <c r="I45" s="131">
        <v>2</v>
      </c>
      <c r="J45" s="131" t="s">
        <v>43</v>
      </c>
      <c r="K45" s="132" t="s">
        <v>160</v>
      </c>
      <c r="L45" s="133"/>
      <c r="M45" s="134"/>
      <c r="N45" s="133">
        <f>55.5898%*F45</f>
        <v>282.38506604000003</v>
      </c>
      <c r="O45" s="487"/>
      <c r="P45" s="519"/>
      <c r="Q45" s="132" t="s">
        <v>161</v>
      </c>
      <c r="R45" s="133">
        <f>N45+N46</f>
        <v>564.77013208000005</v>
      </c>
      <c r="S45" s="135"/>
      <c r="T45" s="480"/>
      <c r="U45" s="522"/>
      <c r="V45" s="521"/>
      <c r="W45" s="497"/>
      <c r="X45" s="136" t="s">
        <v>43</v>
      </c>
      <c r="Y45" s="136"/>
      <c r="Z45" s="135"/>
      <c r="AA45" s="441">
        <f t="shared" ref="AA45:AA76" si="3">Y45-F45</f>
        <v>-507.98</v>
      </c>
      <c r="AB45" s="128">
        <f t="shared" si="2"/>
        <v>-507.98</v>
      </c>
    </row>
    <row r="46" spans="1:29" s="127" customFormat="1" ht="26.45" customHeight="1">
      <c r="A46" s="127" t="s">
        <v>101</v>
      </c>
      <c r="B46" s="131">
        <v>10</v>
      </c>
      <c r="C46" s="131" t="s">
        <v>59</v>
      </c>
      <c r="D46" s="136" t="s">
        <v>43</v>
      </c>
      <c r="E46" s="431">
        <v>7266313</v>
      </c>
      <c r="F46" s="130">
        <v>507.98</v>
      </c>
      <c r="G46" s="135">
        <v>44641</v>
      </c>
      <c r="H46" s="131" t="s">
        <v>44</v>
      </c>
      <c r="I46" s="131">
        <v>3</v>
      </c>
      <c r="J46" s="131" t="s">
        <v>43</v>
      </c>
      <c r="K46" s="132" t="s">
        <v>162</v>
      </c>
      <c r="L46" s="133"/>
      <c r="M46" s="134"/>
      <c r="N46" s="133">
        <f>55.5898%*F46</f>
        <v>282.38506604000003</v>
      </c>
      <c r="O46" s="487"/>
      <c r="P46" s="519"/>
      <c r="Q46" s="132"/>
      <c r="R46" s="133"/>
      <c r="S46" s="135"/>
      <c r="T46" s="480"/>
      <c r="U46" s="522"/>
      <c r="V46" s="521"/>
      <c r="W46" s="497"/>
      <c r="X46" s="136" t="s">
        <v>43</v>
      </c>
      <c r="Y46" s="136"/>
      <c r="Z46" s="135"/>
      <c r="AA46" s="441">
        <f t="shared" si="3"/>
        <v>-507.98</v>
      </c>
      <c r="AB46" s="128">
        <f t="shared" si="2"/>
        <v>-507.98</v>
      </c>
    </row>
    <row r="47" spans="1:29" s="127" customFormat="1" ht="26.45" customHeight="1">
      <c r="A47" s="127" t="s">
        <v>101</v>
      </c>
      <c r="B47" s="131">
        <v>10</v>
      </c>
      <c r="C47" s="131" t="s">
        <v>59</v>
      </c>
      <c r="D47" s="136"/>
      <c r="E47" s="129"/>
      <c r="F47" s="130"/>
      <c r="G47" s="135"/>
      <c r="H47" s="131"/>
      <c r="I47" s="131"/>
      <c r="J47" s="131"/>
      <c r="K47" s="132"/>
      <c r="L47" s="133"/>
      <c r="M47" s="134"/>
      <c r="N47" s="133"/>
      <c r="O47" s="487"/>
      <c r="P47" s="519"/>
      <c r="Q47" s="132" t="s">
        <v>163</v>
      </c>
      <c r="R47" s="133">
        <v>5.41</v>
      </c>
      <c r="S47" s="135">
        <v>44628</v>
      </c>
      <c r="T47" s="480"/>
      <c r="U47" s="522"/>
      <c r="V47" s="521"/>
      <c r="W47" s="497"/>
      <c r="X47" s="136"/>
      <c r="Y47" s="136"/>
      <c r="Z47" s="135"/>
      <c r="AA47" s="441">
        <f t="shared" si="3"/>
        <v>0</v>
      </c>
      <c r="AB47" s="128">
        <f t="shared" ref="AB47:AB78" si="4">Y47-F47</f>
        <v>0</v>
      </c>
    </row>
    <row r="48" spans="1:29" s="127" customFormat="1" ht="26.45" customHeight="1">
      <c r="A48" s="127" t="s">
        <v>101</v>
      </c>
      <c r="B48" s="131">
        <v>10</v>
      </c>
      <c r="C48" s="131" t="s">
        <v>59</v>
      </c>
      <c r="D48" s="136"/>
      <c r="E48" s="129"/>
      <c r="F48" s="130"/>
      <c r="G48" s="135"/>
      <c r="H48" s="131"/>
      <c r="I48" s="131"/>
      <c r="J48" s="131"/>
      <c r="K48" s="132"/>
      <c r="L48" s="133"/>
      <c r="M48" s="134"/>
      <c r="N48" s="133"/>
      <c r="O48" s="487"/>
      <c r="P48" s="519"/>
      <c r="Q48" s="132" t="s">
        <v>164</v>
      </c>
      <c r="R48" s="133">
        <f>5.38*2-R47</f>
        <v>5.35</v>
      </c>
      <c r="S48" s="135">
        <v>44628</v>
      </c>
      <c r="T48" s="480"/>
      <c r="U48" s="522"/>
      <c r="V48" s="521"/>
      <c r="W48" s="497"/>
      <c r="X48" s="136"/>
      <c r="Y48" s="136"/>
      <c r="Z48" s="135"/>
      <c r="AA48" s="441">
        <f t="shared" si="3"/>
        <v>0</v>
      </c>
      <c r="AB48" s="128">
        <f t="shared" si="4"/>
        <v>0</v>
      </c>
    </row>
    <row r="49" spans="1:29" s="127" customFormat="1" ht="26.45" customHeight="1">
      <c r="A49" s="127" t="s">
        <v>101</v>
      </c>
      <c r="B49" s="131">
        <v>10</v>
      </c>
      <c r="C49" s="131" t="s">
        <v>59</v>
      </c>
      <c r="D49" s="136" t="s">
        <v>46</v>
      </c>
      <c r="E49" s="129"/>
      <c r="F49" s="130">
        <v>6000</v>
      </c>
      <c r="G49" s="135">
        <v>44641</v>
      </c>
      <c r="H49" s="131" t="s">
        <v>44</v>
      </c>
      <c r="I49" s="131">
        <v>5</v>
      </c>
      <c r="J49" s="131" t="s">
        <v>46</v>
      </c>
      <c r="K49" s="132" t="s">
        <v>107</v>
      </c>
      <c r="L49" s="133"/>
      <c r="M49" s="134"/>
      <c r="N49" s="133">
        <v>3335.3879999999999</v>
      </c>
      <c r="O49" s="487"/>
      <c r="P49" s="519"/>
      <c r="Q49" s="132" t="s">
        <v>107</v>
      </c>
      <c r="R49" s="133">
        <v>3335.3879999999999</v>
      </c>
      <c r="S49" s="135">
        <v>44628</v>
      </c>
      <c r="T49" s="480"/>
      <c r="U49" s="522"/>
      <c r="V49" s="521"/>
      <c r="W49" s="498"/>
      <c r="X49" s="136" t="s">
        <v>46</v>
      </c>
      <c r="Y49" s="136">
        <v>6000</v>
      </c>
      <c r="Z49" s="135">
        <v>44641</v>
      </c>
      <c r="AA49" s="441">
        <f t="shared" si="3"/>
        <v>0</v>
      </c>
      <c r="AB49" s="128">
        <f t="shared" si="4"/>
        <v>0</v>
      </c>
    </row>
    <row r="50" spans="1:29" s="25" customFormat="1" ht="26.45" customHeight="1">
      <c r="B50" s="145">
        <v>10</v>
      </c>
      <c r="C50" s="145" t="s">
        <v>59</v>
      </c>
      <c r="D50" s="67"/>
      <c r="E50" s="140"/>
      <c r="F50" s="139"/>
      <c r="G50" s="141"/>
      <c r="H50" s="145"/>
      <c r="I50" s="145"/>
      <c r="J50" s="145"/>
      <c r="K50" s="146"/>
      <c r="L50" s="147"/>
      <c r="M50" s="148"/>
      <c r="N50" s="147"/>
      <c r="O50" s="142" t="s">
        <v>165</v>
      </c>
      <c r="P50" s="149" t="s">
        <v>44</v>
      </c>
      <c r="Q50" s="146"/>
      <c r="R50" s="147"/>
      <c r="S50" s="141"/>
      <c r="T50" s="141"/>
      <c r="U50" s="444">
        <f>60771.14-U44</f>
        <v>33152.9288056</v>
      </c>
      <c r="V50" s="445"/>
      <c r="W50" s="445"/>
      <c r="X50" s="67"/>
      <c r="Y50" s="67"/>
      <c r="Z50" s="141"/>
      <c r="AA50" s="446">
        <f t="shared" si="3"/>
        <v>0</v>
      </c>
      <c r="AB50" s="143">
        <f t="shared" si="4"/>
        <v>0</v>
      </c>
      <c r="AC50" s="144"/>
    </row>
    <row r="51" spans="1:29" s="127" customFormat="1" ht="26.45" customHeight="1">
      <c r="A51" s="127" t="s">
        <v>101</v>
      </c>
      <c r="B51" s="131">
        <v>10</v>
      </c>
      <c r="C51" s="131" t="s">
        <v>59</v>
      </c>
      <c r="D51" s="136"/>
      <c r="E51" s="129"/>
      <c r="F51" s="130"/>
      <c r="G51" s="135"/>
      <c r="H51" s="131" t="s">
        <v>47</v>
      </c>
      <c r="I51" s="131">
        <v>1</v>
      </c>
      <c r="J51" s="131" t="s">
        <v>43</v>
      </c>
      <c r="K51" s="132" t="s">
        <v>166</v>
      </c>
      <c r="L51" s="133"/>
      <c r="M51" s="134"/>
      <c r="N51" s="133">
        <f>8716.5675948+3526.6805973+6696.29874558</f>
        <v>18939.546937679999</v>
      </c>
      <c r="O51" s="487" t="s">
        <v>167</v>
      </c>
      <c r="P51" s="519" t="str">
        <f>H51</f>
        <v>CU</v>
      </c>
      <c r="Q51" s="132" t="s">
        <v>158</v>
      </c>
      <c r="R51" s="133">
        <f>8716.5675948+3526.6805973+6696.29874558</f>
        <v>18939.546937679999</v>
      </c>
      <c r="S51" s="135">
        <v>44628</v>
      </c>
      <c r="T51" s="480">
        <v>44636</v>
      </c>
      <c r="U51" s="522">
        <f>22070.48</f>
        <v>22070.48</v>
      </c>
      <c r="V51" s="521">
        <f>SUM(U51)-SUM(R51:R55)</f>
        <v>-0.26893768000081764</v>
      </c>
      <c r="W51" s="496"/>
      <c r="X51" s="136"/>
      <c r="Y51" s="136"/>
      <c r="Z51" s="135"/>
      <c r="AA51" s="441">
        <f t="shared" si="3"/>
        <v>0</v>
      </c>
      <c r="AB51" s="128">
        <f t="shared" si="4"/>
        <v>0</v>
      </c>
    </row>
    <row r="52" spans="1:29" s="127" customFormat="1" ht="26.45" customHeight="1">
      <c r="A52" s="127" t="s">
        <v>101</v>
      </c>
      <c r="B52" s="131">
        <v>10</v>
      </c>
      <c r="C52" s="131" t="s">
        <v>59</v>
      </c>
      <c r="D52" s="136"/>
      <c r="E52" s="129"/>
      <c r="F52" s="130"/>
      <c r="G52" s="135"/>
      <c r="H52" s="131" t="s">
        <v>47</v>
      </c>
      <c r="I52" s="131">
        <v>2</v>
      </c>
      <c r="J52" s="131" t="s">
        <v>60</v>
      </c>
      <c r="K52" s="132" t="s">
        <v>168</v>
      </c>
      <c r="L52" s="133"/>
      <c r="M52" s="134"/>
      <c r="N52" s="133">
        <f>44.4102%*F45</f>
        <v>225.59493396000005</v>
      </c>
      <c r="O52" s="487"/>
      <c r="P52" s="519"/>
      <c r="Q52" s="132" t="s">
        <v>161</v>
      </c>
      <c r="R52" s="133">
        <f>225.59*2</f>
        <v>451.18</v>
      </c>
      <c r="S52" s="135"/>
      <c r="T52" s="480"/>
      <c r="U52" s="522"/>
      <c r="V52" s="521"/>
      <c r="W52" s="497"/>
      <c r="X52" s="136"/>
      <c r="Y52" s="136"/>
      <c r="Z52" s="135"/>
      <c r="AA52" s="441">
        <f t="shared" si="3"/>
        <v>0</v>
      </c>
      <c r="AB52" s="128">
        <f t="shared" si="4"/>
        <v>0</v>
      </c>
    </row>
    <row r="53" spans="1:29" s="127" customFormat="1" ht="26.45" customHeight="1">
      <c r="A53" s="127" t="s">
        <v>101</v>
      </c>
      <c r="B53" s="131">
        <v>10</v>
      </c>
      <c r="C53" s="131" t="s">
        <v>59</v>
      </c>
      <c r="D53" s="136"/>
      <c r="E53" s="129"/>
      <c r="F53" s="130"/>
      <c r="G53" s="135"/>
      <c r="H53" s="131" t="s">
        <v>47</v>
      </c>
      <c r="I53" s="131">
        <v>3</v>
      </c>
      <c r="J53" s="131" t="s">
        <v>60</v>
      </c>
      <c r="K53" s="132" t="s">
        <v>169</v>
      </c>
      <c r="L53" s="133"/>
      <c r="M53" s="134"/>
      <c r="N53" s="133">
        <f>44.4102%*F46</f>
        <v>225.59493396000005</v>
      </c>
      <c r="O53" s="487"/>
      <c r="P53" s="519"/>
      <c r="Q53" s="132"/>
      <c r="R53" s="133"/>
      <c r="S53" s="135"/>
      <c r="T53" s="480"/>
      <c r="U53" s="522"/>
      <c r="V53" s="521"/>
      <c r="W53" s="497"/>
      <c r="X53" s="136"/>
      <c r="Y53" s="136"/>
      <c r="Z53" s="135"/>
      <c r="AA53" s="441">
        <f t="shared" si="3"/>
        <v>0</v>
      </c>
      <c r="AB53" s="128">
        <f t="shared" si="4"/>
        <v>0</v>
      </c>
    </row>
    <row r="54" spans="1:29" s="127" customFormat="1" ht="26.45" customHeight="1">
      <c r="A54" s="127" t="s">
        <v>101</v>
      </c>
      <c r="B54" s="131">
        <v>10</v>
      </c>
      <c r="C54" s="131" t="s">
        <v>59</v>
      </c>
      <c r="D54" s="136"/>
      <c r="E54" s="129"/>
      <c r="F54" s="130"/>
      <c r="G54" s="135"/>
      <c r="H54" s="131"/>
      <c r="I54" s="131"/>
      <c r="J54" s="131"/>
      <c r="K54" s="132"/>
      <c r="L54" s="133"/>
      <c r="M54" s="134"/>
      <c r="N54" s="133"/>
      <c r="O54" s="487"/>
      <c r="P54" s="519"/>
      <c r="Q54" s="132" t="s">
        <v>163</v>
      </c>
      <c r="R54" s="133">
        <v>15.41</v>
      </c>
      <c r="S54" s="135">
        <v>44628</v>
      </c>
      <c r="T54" s="480"/>
      <c r="U54" s="522"/>
      <c r="V54" s="521"/>
      <c r="W54" s="497"/>
      <c r="X54" s="136"/>
      <c r="Y54" s="136"/>
      <c r="Z54" s="135"/>
      <c r="AA54" s="441">
        <f t="shared" si="3"/>
        <v>0</v>
      </c>
      <c r="AB54" s="128">
        <f t="shared" si="4"/>
        <v>0</v>
      </c>
    </row>
    <row r="55" spans="1:29" s="127" customFormat="1" ht="26.45" customHeight="1">
      <c r="A55" s="127" t="s">
        <v>101</v>
      </c>
      <c r="B55" s="131">
        <v>10</v>
      </c>
      <c r="C55" s="131" t="s">
        <v>59</v>
      </c>
      <c r="D55" s="136"/>
      <c r="E55" s="129"/>
      <c r="F55" s="130"/>
      <c r="G55" s="135"/>
      <c r="H55" s="131" t="s">
        <v>47</v>
      </c>
      <c r="I55" s="131">
        <v>5</v>
      </c>
      <c r="J55" s="131" t="s">
        <v>46</v>
      </c>
      <c r="K55" s="132" t="s">
        <v>107</v>
      </c>
      <c r="L55" s="133"/>
      <c r="M55" s="134"/>
      <c r="N55" s="133">
        <v>2664.6120000000005</v>
      </c>
      <c r="O55" s="487"/>
      <c r="P55" s="519"/>
      <c r="Q55" s="132" t="s">
        <v>107</v>
      </c>
      <c r="R55" s="133">
        <v>2664.6120000000005</v>
      </c>
      <c r="S55" s="135">
        <v>44628</v>
      </c>
      <c r="T55" s="480"/>
      <c r="U55" s="522"/>
      <c r="V55" s="521"/>
      <c r="W55" s="498"/>
      <c r="X55" s="136"/>
      <c r="Y55" s="136"/>
      <c r="Z55" s="135"/>
      <c r="AA55" s="441">
        <f t="shared" si="3"/>
        <v>0</v>
      </c>
      <c r="AB55" s="128">
        <f t="shared" si="4"/>
        <v>0</v>
      </c>
    </row>
    <row r="56" spans="1:29" s="127" customFormat="1" ht="26.45" customHeight="1">
      <c r="A56" s="432" t="s">
        <v>101</v>
      </c>
      <c r="B56" s="131">
        <v>11</v>
      </c>
      <c r="C56" s="131" t="s">
        <v>16</v>
      </c>
      <c r="D56" s="136" t="s">
        <v>43</v>
      </c>
      <c r="E56" s="433" t="s">
        <v>170</v>
      </c>
      <c r="F56" s="465">
        <f>47548+6072</f>
        <v>53620</v>
      </c>
      <c r="G56" s="447">
        <v>44662</v>
      </c>
      <c r="H56" s="131" t="s">
        <v>44</v>
      </c>
      <c r="I56" s="131">
        <v>1</v>
      </c>
      <c r="J56" s="131" t="s">
        <v>43</v>
      </c>
      <c r="K56" s="132" t="s">
        <v>133</v>
      </c>
      <c r="L56" s="133"/>
      <c r="M56" s="134"/>
      <c r="N56" s="133">
        <v>1012.0000202400001</v>
      </c>
      <c r="O56" s="487" t="s">
        <v>171</v>
      </c>
      <c r="P56" s="519" t="str">
        <f>H56</f>
        <v>KT</v>
      </c>
      <c r="Q56" s="132" t="s">
        <v>133</v>
      </c>
      <c r="R56" s="466">
        <v>1012.0000202400001</v>
      </c>
      <c r="S56" s="135" t="e">
        <f>#REF!+35</f>
        <v>#REF!</v>
      </c>
      <c r="T56" s="480">
        <v>44666</v>
      </c>
      <c r="U56" s="522">
        <v>9931.5</v>
      </c>
      <c r="V56" s="521">
        <f>SUM(U56:U58)-SUM(R56:R58)</f>
        <v>-5.1668654000004608</v>
      </c>
      <c r="W56" s="505"/>
      <c r="X56" s="136" t="s">
        <v>43</v>
      </c>
      <c r="Y56" s="136">
        <v>53620</v>
      </c>
      <c r="Z56" s="135"/>
      <c r="AA56" s="441">
        <f t="shared" si="3"/>
        <v>0</v>
      </c>
      <c r="AB56" s="128">
        <f t="shared" si="4"/>
        <v>0</v>
      </c>
    </row>
    <row r="57" spans="1:29" s="127" customFormat="1" ht="26.45" customHeight="1">
      <c r="A57" s="127" t="s">
        <v>101</v>
      </c>
      <c r="B57" s="131">
        <v>11</v>
      </c>
      <c r="C57" s="131" t="s">
        <v>16</v>
      </c>
      <c r="D57" s="136"/>
      <c r="E57" s="129"/>
      <c r="F57" s="136"/>
      <c r="G57" s="447"/>
      <c r="H57" s="131" t="s">
        <v>105</v>
      </c>
      <c r="I57" s="131">
        <v>2</v>
      </c>
      <c r="J57" s="131" t="s">
        <v>43</v>
      </c>
      <c r="K57" s="132" t="s">
        <v>133</v>
      </c>
      <c r="L57" s="133"/>
      <c r="M57" s="134"/>
      <c r="N57" s="133">
        <v>7924.6668251600004</v>
      </c>
      <c r="O57" s="487"/>
      <c r="P57" s="519"/>
      <c r="Q57" s="132" t="s">
        <v>133</v>
      </c>
      <c r="R57" s="466">
        <v>7924.6668251600004</v>
      </c>
      <c r="S57" s="135" t="e">
        <f>#REF!+35</f>
        <v>#REF!</v>
      </c>
      <c r="T57" s="480"/>
      <c r="U57" s="522"/>
      <c r="V57" s="521"/>
      <c r="W57" s="506"/>
      <c r="X57" s="136"/>
      <c r="Y57" s="136"/>
      <c r="Z57" s="135"/>
      <c r="AA57" s="441">
        <f t="shared" si="3"/>
        <v>0</v>
      </c>
      <c r="AB57" s="128">
        <f t="shared" si="4"/>
        <v>0</v>
      </c>
    </row>
    <row r="58" spans="1:29" s="127" customFormat="1" ht="26.45" customHeight="1">
      <c r="A58" s="127" t="s">
        <v>101</v>
      </c>
      <c r="B58" s="131">
        <v>11</v>
      </c>
      <c r="C58" s="131" t="s">
        <v>103</v>
      </c>
      <c r="D58" s="136" t="s">
        <v>46</v>
      </c>
      <c r="E58" s="433" t="s">
        <v>172</v>
      </c>
      <c r="F58" s="460">
        <f>SUM(N58,N61,N64)</f>
        <v>6000</v>
      </c>
      <c r="G58" s="447">
        <v>44662</v>
      </c>
      <c r="H58" s="131" t="s">
        <v>105</v>
      </c>
      <c r="I58" s="131">
        <v>3</v>
      </c>
      <c r="J58" s="131" t="s">
        <v>46</v>
      </c>
      <c r="K58" s="132" t="s">
        <v>107</v>
      </c>
      <c r="L58" s="133"/>
      <c r="M58" s="134"/>
      <c r="N58" s="133">
        <v>1000.0000200000001</v>
      </c>
      <c r="O58" s="487"/>
      <c r="P58" s="519"/>
      <c r="Q58" s="132" t="s">
        <v>107</v>
      </c>
      <c r="R58" s="467">
        <v>1000.0000200000001</v>
      </c>
      <c r="S58" s="135" t="e">
        <f>#REF!+35</f>
        <v>#REF!</v>
      </c>
      <c r="T58" s="480"/>
      <c r="U58" s="522"/>
      <c r="V58" s="521"/>
      <c r="W58" s="507"/>
      <c r="X58" s="136" t="s">
        <v>46</v>
      </c>
      <c r="Y58" s="136">
        <v>6000</v>
      </c>
      <c r="Z58" s="135"/>
      <c r="AA58" s="441">
        <f t="shared" si="3"/>
        <v>0</v>
      </c>
      <c r="AB58" s="128">
        <f t="shared" si="4"/>
        <v>0</v>
      </c>
    </row>
    <row r="59" spans="1:29" s="127" customFormat="1" ht="26.45" customHeight="1">
      <c r="A59" s="127" t="s">
        <v>101</v>
      </c>
      <c r="B59" s="131">
        <v>11</v>
      </c>
      <c r="C59" s="131" t="s">
        <v>103</v>
      </c>
      <c r="D59" s="136"/>
      <c r="E59" s="129"/>
      <c r="F59" s="136"/>
      <c r="G59" s="448"/>
      <c r="H59" s="131" t="s">
        <v>47</v>
      </c>
      <c r="I59" s="131">
        <v>1</v>
      </c>
      <c r="J59" s="131" t="s">
        <v>60</v>
      </c>
      <c r="K59" s="132" t="s">
        <v>133</v>
      </c>
      <c r="L59" s="133"/>
      <c r="M59" s="134"/>
      <c r="N59" s="133">
        <v>3036</v>
      </c>
      <c r="O59" s="480" t="s">
        <v>173</v>
      </c>
      <c r="P59" s="519" t="str">
        <f>H59</f>
        <v>CU</v>
      </c>
      <c r="Q59" s="132" t="s">
        <v>133</v>
      </c>
      <c r="R59" s="466">
        <v>3036</v>
      </c>
      <c r="S59" s="135" t="e">
        <f>#REF!+35</f>
        <v>#REF!</v>
      </c>
      <c r="T59" s="480">
        <v>44739</v>
      </c>
      <c r="U59" s="520">
        <v>29794.92</v>
      </c>
      <c r="V59" s="521">
        <f>SUM(U59:U61)-SUM(R59:R61)</f>
        <v>-15.080000000001746</v>
      </c>
      <c r="W59" s="493" t="s">
        <v>174</v>
      </c>
      <c r="X59" s="136"/>
      <c r="Y59" s="136"/>
      <c r="Z59" s="135"/>
      <c r="AA59" s="441">
        <f t="shared" si="3"/>
        <v>0</v>
      </c>
      <c r="AB59" s="128">
        <f t="shared" si="4"/>
        <v>0</v>
      </c>
    </row>
    <row r="60" spans="1:29" s="127" customFormat="1" ht="26.45" customHeight="1">
      <c r="A60" s="127" t="s">
        <v>101</v>
      </c>
      <c r="B60" s="131">
        <v>11</v>
      </c>
      <c r="C60" s="131" t="s">
        <v>103</v>
      </c>
      <c r="D60" s="136"/>
      <c r="E60" s="129"/>
      <c r="F60" s="136"/>
      <c r="G60" s="448"/>
      <c r="H60" s="131" t="s">
        <v>118</v>
      </c>
      <c r="I60" s="131">
        <v>2</v>
      </c>
      <c r="J60" s="131" t="s">
        <v>60</v>
      </c>
      <c r="K60" s="132" t="s">
        <v>133</v>
      </c>
      <c r="L60" s="133"/>
      <c r="M60" s="134"/>
      <c r="N60" s="133">
        <v>23774</v>
      </c>
      <c r="O60" s="480"/>
      <c r="P60" s="519"/>
      <c r="Q60" s="132" t="s">
        <v>133</v>
      </c>
      <c r="R60" s="466">
        <v>23774</v>
      </c>
      <c r="S60" s="135" t="e">
        <f>#REF!+35</f>
        <v>#REF!</v>
      </c>
      <c r="T60" s="480"/>
      <c r="U60" s="520"/>
      <c r="V60" s="521"/>
      <c r="W60" s="494"/>
      <c r="X60" s="136"/>
      <c r="Y60" s="136"/>
      <c r="Z60" s="135"/>
      <c r="AA60" s="441">
        <f t="shared" si="3"/>
        <v>0</v>
      </c>
      <c r="AB60" s="128">
        <f t="shared" si="4"/>
        <v>0</v>
      </c>
    </row>
    <row r="61" spans="1:29" s="127" customFormat="1" ht="26.45" customHeight="1">
      <c r="A61" s="127" t="s">
        <v>101</v>
      </c>
      <c r="B61" s="131">
        <v>11</v>
      </c>
      <c r="C61" s="131" t="s">
        <v>103</v>
      </c>
      <c r="D61" s="136"/>
      <c r="E61" s="129"/>
      <c r="F61" s="136"/>
      <c r="G61" s="448"/>
      <c r="H61" s="131" t="s">
        <v>118</v>
      </c>
      <c r="I61" s="131">
        <v>3</v>
      </c>
      <c r="J61" s="131" t="s">
        <v>46</v>
      </c>
      <c r="K61" s="132" t="s">
        <v>107</v>
      </c>
      <c r="L61" s="133"/>
      <c r="M61" s="134"/>
      <c r="N61" s="133">
        <v>3000</v>
      </c>
      <c r="O61" s="480"/>
      <c r="P61" s="519"/>
      <c r="Q61" s="132" t="s">
        <v>107</v>
      </c>
      <c r="R61" s="467">
        <v>3000</v>
      </c>
      <c r="S61" s="135" t="e">
        <f>#REF!+35</f>
        <v>#REF!</v>
      </c>
      <c r="T61" s="480"/>
      <c r="U61" s="520"/>
      <c r="V61" s="521"/>
      <c r="W61" s="495"/>
      <c r="X61" s="136"/>
      <c r="Y61" s="136"/>
      <c r="Z61" s="135"/>
      <c r="AA61" s="441">
        <f t="shared" si="3"/>
        <v>0</v>
      </c>
      <c r="AB61" s="128">
        <f t="shared" si="4"/>
        <v>0</v>
      </c>
    </row>
    <row r="62" spans="1:29" s="127" customFormat="1" ht="26.45" customHeight="1">
      <c r="A62" s="127" t="s">
        <v>101</v>
      </c>
      <c r="B62" s="131">
        <v>11</v>
      </c>
      <c r="C62" s="131" t="s">
        <v>103</v>
      </c>
      <c r="D62" s="136"/>
      <c r="E62" s="129"/>
      <c r="F62" s="136"/>
      <c r="G62" s="448"/>
      <c r="H62" s="131" t="s">
        <v>64</v>
      </c>
      <c r="I62" s="131">
        <v>1</v>
      </c>
      <c r="J62" s="131" t="s">
        <v>60</v>
      </c>
      <c r="K62" s="132" t="s">
        <v>133</v>
      </c>
      <c r="L62" s="133"/>
      <c r="M62" s="134"/>
      <c r="N62" s="133">
        <v>2023.9999797600003</v>
      </c>
      <c r="O62" s="480" t="s">
        <v>176</v>
      </c>
      <c r="P62" s="519" t="s">
        <v>64</v>
      </c>
      <c r="Q62" s="132" t="s">
        <v>133</v>
      </c>
      <c r="R62" s="466">
        <v>2023.9999797600003</v>
      </c>
      <c r="S62" s="135" t="e">
        <f>#REF!+35</f>
        <v>#REF!</v>
      </c>
      <c r="T62" s="480">
        <v>44747</v>
      </c>
      <c r="U62" s="520">
        <v>19858.28</v>
      </c>
      <c r="V62" s="521">
        <f>SUM(U62:U64)-SUM(R62:R64)</f>
        <v>-15.053134600002522</v>
      </c>
      <c r="W62" s="493" t="s">
        <v>177</v>
      </c>
      <c r="X62" s="136"/>
      <c r="Y62" s="136"/>
      <c r="Z62" s="135"/>
      <c r="AA62" s="441">
        <f t="shared" si="3"/>
        <v>0</v>
      </c>
      <c r="AB62" s="128">
        <f t="shared" si="4"/>
        <v>0</v>
      </c>
    </row>
    <row r="63" spans="1:29" s="127" customFormat="1" ht="26.45" customHeight="1">
      <c r="A63" s="127" t="s">
        <v>101</v>
      </c>
      <c r="B63" s="131">
        <v>11</v>
      </c>
      <c r="C63" s="131" t="s">
        <v>103</v>
      </c>
      <c r="D63" s="136"/>
      <c r="E63" s="129"/>
      <c r="F63" s="136"/>
      <c r="G63" s="448"/>
      <c r="H63" s="131" t="s">
        <v>175</v>
      </c>
      <c r="I63" s="131">
        <v>2</v>
      </c>
      <c r="J63" s="131" t="s">
        <v>60</v>
      </c>
      <c r="K63" s="132" t="s">
        <v>133</v>
      </c>
      <c r="L63" s="133"/>
      <c r="M63" s="134"/>
      <c r="N63" s="133">
        <v>15849.333174840001</v>
      </c>
      <c r="O63" s="480"/>
      <c r="P63" s="519"/>
      <c r="Q63" s="132" t="s">
        <v>133</v>
      </c>
      <c r="R63" s="466">
        <v>15849.333174840001</v>
      </c>
      <c r="S63" s="135" t="e">
        <f>#REF!+35</f>
        <v>#REF!</v>
      </c>
      <c r="T63" s="480"/>
      <c r="U63" s="520"/>
      <c r="V63" s="521"/>
      <c r="W63" s="494"/>
      <c r="X63" s="136"/>
      <c r="Y63" s="136"/>
      <c r="Z63" s="135"/>
      <c r="AA63" s="441">
        <f t="shared" si="3"/>
        <v>0</v>
      </c>
      <c r="AB63" s="128">
        <f t="shared" si="4"/>
        <v>0</v>
      </c>
    </row>
    <row r="64" spans="1:29" s="127" customFormat="1" ht="26.45" customHeight="1">
      <c r="A64" s="434" t="s">
        <v>101</v>
      </c>
      <c r="B64" s="131">
        <v>11</v>
      </c>
      <c r="C64" s="131" t="s">
        <v>103</v>
      </c>
      <c r="D64" s="136"/>
      <c r="E64" s="129"/>
      <c r="F64" s="136"/>
      <c r="G64" s="448"/>
      <c r="H64" s="131" t="s">
        <v>175</v>
      </c>
      <c r="I64" s="131">
        <v>3</v>
      </c>
      <c r="J64" s="131" t="s">
        <v>46</v>
      </c>
      <c r="K64" s="132" t="s">
        <v>107</v>
      </c>
      <c r="L64" s="133"/>
      <c r="M64" s="134"/>
      <c r="N64" s="133">
        <v>1999.9999800000003</v>
      </c>
      <c r="O64" s="480"/>
      <c r="P64" s="519"/>
      <c r="Q64" s="132" t="s">
        <v>107</v>
      </c>
      <c r="R64" s="467">
        <v>1999.9999800000003</v>
      </c>
      <c r="S64" s="135" t="e">
        <f>#REF!+35</f>
        <v>#REF!</v>
      </c>
      <c r="T64" s="480"/>
      <c r="U64" s="520"/>
      <c r="V64" s="521"/>
      <c r="W64" s="495"/>
      <c r="X64" s="136"/>
      <c r="Y64" s="136"/>
      <c r="Z64" s="135"/>
      <c r="AA64" s="441">
        <f t="shared" si="3"/>
        <v>0</v>
      </c>
      <c r="AB64" s="128">
        <f t="shared" si="4"/>
        <v>0</v>
      </c>
    </row>
    <row r="65" spans="1:29" s="20" customFormat="1" ht="26.45" customHeight="1">
      <c r="A65" s="399"/>
      <c r="B65" s="377">
        <v>11</v>
      </c>
      <c r="C65" s="377" t="s">
        <v>50</v>
      </c>
      <c r="D65" s="376" t="str">
        <f>J65</f>
        <v>CIENA</v>
      </c>
      <c r="E65" s="375">
        <v>503041</v>
      </c>
      <c r="F65" s="376">
        <v>190194</v>
      </c>
      <c r="G65" s="449" t="e">
        <f>#REF!+45</f>
        <v>#REF!</v>
      </c>
      <c r="H65" s="377" t="s">
        <v>47</v>
      </c>
      <c r="I65" s="377">
        <v>1</v>
      </c>
      <c r="J65" s="377" t="s">
        <v>60</v>
      </c>
      <c r="K65" s="378" t="s">
        <v>178</v>
      </c>
      <c r="L65" s="379">
        <v>190194</v>
      </c>
      <c r="M65" s="380">
        <v>0.5</v>
      </c>
      <c r="N65" s="379">
        <v>95097</v>
      </c>
      <c r="O65" s="518" t="s">
        <v>179</v>
      </c>
      <c r="P65" s="515" t="str">
        <f>H65</f>
        <v>CU</v>
      </c>
      <c r="Q65" s="378" t="s">
        <v>178</v>
      </c>
      <c r="R65" s="379">
        <v>95097</v>
      </c>
      <c r="S65" s="484">
        <v>44900</v>
      </c>
      <c r="T65" s="484">
        <v>44900</v>
      </c>
      <c r="U65" s="516">
        <v>110241.17</v>
      </c>
      <c r="V65" s="517">
        <f>SUM(U65:U69)-SUM(R65:R69)</f>
        <v>-14.910000000003492</v>
      </c>
      <c r="W65" s="532"/>
      <c r="X65" s="376"/>
      <c r="Y65" s="376"/>
      <c r="Z65" s="381"/>
      <c r="AA65" s="450">
        <f t="shared" si="3"/>
        <v>-190194</v>
      </c>
      <c r="AB65" s="374">
        <f t="shared" si="4"/>
        <v>-190194</v>
      </c>
    </row>
    <row r="66" spans="1:29" s="20" customFormat="1" ht="26.45" customHeight="1">
      <c r="B66" s="377">
        <v>11</v>
      </c>
      <c r="C66" s="377" t="s">
        <v>50</v>
      </c>
      <c r="D66" s="376" t="str">
        <f>J66</f>
        <v>CIENA</v>
      </c>
      <c r="E66" s="375">
        <v>15328</v>
      </c>
      <c r="F66" s="376">
        <v>22080</v>
      </c>
      <c r="G66" s="449">
        <v>44904</v>
      </c>
      <c r="H66" s="377" t="s">
        <v>47</v>
      </c>
      <c r="I66" s="377">
        <v>2</v>
      </c>
      <c r="J66" s="377" t="s">
        <v>60</v>
      </c>
      <c r="K66" s="378" t="s">
        <v>178</v>
      </c>
      <c r="L66" s="379">
        <v>22080</v>
      </c>
      <c r="M66" s="380">
        <v>0.5</v>
      </c>
      <c r="N66" s="379">
        <v>11040</v>
      </c>
      <c r="O66" s="518"/>
      <c r="P66" s="515"/>
      <c r="Q66" s="378" t="s">
        <v>178</v>
      </c>
      <c r="R66" s="379">
        <v>11040</v>
      </c>
      <c r="S66" s="484"/>
      <c r="T66" s="484"/>
      <c r="U66" s="516"/>
      <c r="V66" s="517"/>
      <c r="W66" s="532"/>
      <c r="X66" s="376"/>
      <c r="Y66" s="376"/>
      <c r="Z66" s="381"/>
      <c r="AA66" s="450">
        <f t="shared" si="3"/>
        <v>-22080</v>
      </c>
      <c r="AB66" s="374">
        <f t="shared" si="4"/>
        <v>-22080</v>
      </c>
    </row>
    <row r="67" spans="1:29" s="20" customFormat="1" ht="26.45" customHeight="1">
      <c r="B67" s="377">
        <v>11</v>
      </c>
      <c r="C67" s="377" t="s">
        <v>109</v>
      </c>
      <c r="D67" s="376" t="str">
        <f>J67</f>
        <v>CIENA</v>
      </c>
      <c r="E67" s="375">
        <v>15328</v>
      </c>
      <c r="F67" s="376">
        <v>2208</v>
      </c>
      <c r="G67" s="449">
        <v>44904</v>
      </c>
      <c r="H67" s="377" t="s">
        <v>47</v>
      </c>
      <c r="I67" s="377">
        <v>3</v>
      </c>
      <c r="J67" s="377" t="s">
        <v>60</v>
      </c>
      <c r="K67" s="378" t="s">
        <v>180</v>
      </c>
      <c r="L67" s="379">
        <v>2208</v>
      </c>
      <c r="M67" s="380">
        <v>0.5</v>
      </c>
      <c r="N67" s="379">
        <v>1104</v>
      </c>
      <c r="O67" s="518"/>
      <c r="P67" s="515"/>
      <c r="Q67" s="378" t="s">
        <v>180</v>
      </c>
      <c r="R67" s="379">
        <v>1104</v>
      </c>
      <c r="S67" s="484"/>
      <c r="T67" s="484"/>
      <c r="U67" s="516"/>
      <c r="V67" s="517"/>
      <c r="W67" s="532"/>
      <c r="X67" s="376"/>
      <c r="Y67" s="376"/>
      <c r="Z67" s="381"/>
      <c r="AA67" s="450">
        <f t="shared" si="3"/>
        <v>-2208</v>
      </c>
      <c r="AB67" s="374">
        <f t="shared" si="4"/>
        <v>-2208</v>
      </c>
    </row>
    <row r="68" spans="1:29" s="20" customFormat="1" ht="26.45" customHeight="1">
      <c r="B68" s="377">
        <v>11</v>
      </c>
      <c r="C68" s="377" t="s">
        <v>109</v>
      </c>
      <c r="D68" s="376" t="str">
        <f>J68</f>
        <v>CHT</v>
      </c>
      <c r="E68" s="375" t="s">
        <v>181</v>
      </c>
      <c r="F68" s="376">
        <v>6000</v>
      </c>
      <c r="G68" s="449">
        <v>44904</v>
      </c>
      <c r="H68" s="377" t="s">
        <v>47</v>
      </c>
      <c r="I68" s="377">
        <v>4</v>
      </c>
      <c r="J68" s="377" t="s">
        <v>62</v>
      </c>
      <c r="K68" s="378" t="s">
        <v>182</v>
      </c>
      <c r="L68" s="379">
        <v>6000</v>
      </c>
      <c r="M68" s="380">
        <v>0.5</v>
      </c>
      <c r="N68" s="379">
        <v>3000</v>
      </c>
      <c r="O68" s="518"/>
      <c r="P68" s="515"/>
      <c r="Q68" s="378" t="s">
        <v>182</v>
      </c>
      <c r="R68" s="379">
        <v>3000</v>
      </c>
      <c r="S68" s="484"/>
      <c r="T68" s="484"/>
      <c r="U68" s="516"/>
      <c r="V68" s="517"/>
      <c r="W68" s="532"/>
      <c r="X68" s="376"/>
      <c r="Y68" s="376"/>
      <c r="Z68" s="381"/>
      <c r="AA68" s="450">
        <f t="shared" si="3"/>
        <v>-6000</v>
      </c>
      <c r="AB68" s="374">
        <f t="shared" si="4"/>
        <v>-6000</v>
      </c>
    </row>
    <row r="69" spans="1:29" s="20" customFormat="1" ht="26.45" customHeight="1">
      <c r="B69" s="377">
        <v>11</v>
      </c>
      <c r="C69" s="377" t="s">
        <v>109</v>
      </c>
      <c r="D69" s="376"/>
      <c r="E69" s="375"/>
      <c r="F69" s="376"/>
      <c r="G69" s="381"/>
      <c r="H69" s="377" t="s">
        <v>47</v>
      </c>
      <c r="I69" s="377"/>
      <c r="J69" s="377"/>
      <c r="K69" s="378"/>
      <c r="L69" s="379"/>
      <c r="M69" s="380"/>
      <c r="N69" s="379"/>
      <c r="O69" s="518"/>
      <c r="P69" s="515"/>
      <c r="Q69" s="378" t="s">
        <v>146</v>
      </c>
      <c r="R69" s="379">
        <v>15.08</v>
      </c>
      <c r="S69" s="484"/>
      <c r="T69" s="484"/>
      <c r="U69" s="516"/>
      <c r="V69" s="517"/>
      <c r="W69" s="532"/>
      <c r="X69" s="376"/>
      <c r="Y69" s="376"/>
      <c r="Z69" s="381"/>
      <c r="AA69" s="450">
        <f t="shared" si="3"/>
        <v>0</v>
      </c>
      <c r="AB69" s="374">
        <f t="shared" si="4"/>
        <v>0</v>
      </c>
    </row>
    <row r="70" spans="1:29" s="20" customFormat="1" ht="26.45" customHeight="1">
      <c r="B70" s="377">
        <v>11</v>
      </c>
      <c r="C70" s="377" t="s">
        <v>109</v>
      </c>
      <c r="D70" s="376"/>
      <c r="E70" s="375"/>
      <c r="F70" s="376"/>
      <c r="G70" s="381"/>
      <c r="H70" s="377" t="s">
        <v>64</v>
      </c>
      <c r="I70" s="377">
        <v>1</v>
      </c>
      <c r="J70" s="377" t="s">
        <v>60</v>
      </c>
      <c r="K70" s="378" t="s">
        <v>178</v>
      </c>
      <c r="L70" s="379">
        <v>190194</v>
      </c>
      <c r="M70" s="380">
        <v>0.33333333333333331</v>
      </c>
      <c r="N70" s="379">
        <v>63398</v>
      </c>
      <c r="O70" s="518" t="s">
        <v>183</v>
      </c>
      <c r="P70" s="515" t="str">
        <f>H70</f>
        <v>CT</v>
      </c>
      <c r="Q70" s="378" t="s">
        <v>178</v>
      </c>
      <c r="R70" s="379">
        <v>63398</v>
      </c>
      <c r="S70" s="484">
        <v>44900</v>
      </c>
      <c r="T70" s="484"/>
      <c r="U70" s="516"/>
      <c r="V70" s="517">
        <f>SUM(U70:U74)-SUM(R70:R74)</f>
        <v>-73509.05</v>
      </c>
      <c r="W70" s="532" t="s">
        <v>184</v>
      </c>
      <c r="X70" s="376"/>
      <c r="Y70" s="376"/>
      <c r="Z70" s="381"/>
      <c r="AA70" s="450">
        <f t="shared" si="3"/>
        <v>0</v>
      </c>
      <c r="AB70" s="374">
        <f t="shared" si="4"/>
        <v>0</v>
      </c>
    </row>
    <row r="71" spans="1:29" s="20" customFormat="1" ht="26.45" customHeight="1">
      <c r="B71" s="377">
        <v>11</v>
      </c>
      <c r="C71" s="377" t="s">
        <v>109</v>
      </c>
      <c r="D71" s="376"/>
      <c r="E71" s="375"/>
      <c r="F71" s="376"/>
      <c r="G71" s="381"/>
      <c r="H71" s="377" t="s">
        <v>64</v>
      </c>
      <c r="I71" s="377">
        <v>2</v>
      </c>
      <c r="J71" s="377" t="s">
        <v>60</v>
      </c>
      <c r="K71" s="378" t="s">
        <v>178</v>
      </c>
      <c r="L71" s="379">
        <v>22080</v>
      </c>
      <c r="M71" s="380">
        <v>0.33333333333333331</v>
      </c>
      <c r="N71" s="379">
        <v>7360</v>
      </c>
      <c r="O71" s="518"/>
      <c r="P71" s="515"/>
      <c r="Q71" s="378" t="s">
        <v>178</v>
      </c>
      <c r="R71" s="379">
        <v>7360</v>
      </c>
      <c r="S71" s="484"/>
      <c r="T71" s="484"/>
      <c r="U71" s="516"/>
      <c r="V71" s="517"/>
      <c r="W71" s="532"/>
      <c r="X71" s="376"/>
      <c r="Y71" s="376"/>
      <c r="Z71" s="381"/>
      <c r="AA71" s="450">
        <f t="shared" si="3"/>
        <v>0</v>
      </c>
      <c r="AB71" s="374">
        <f t="shared" si="4"/>
        <v>0</v>
      </c>
    </row>
    <row r="72" spans="1:29" s="20" customFormat="1" ht="26.45" customHeight="1">
      <c r="B72" s="377">
        <v>11</v>
      </c>
      <c r="C72" s="377" t="s">
        <v>109</v>
      </c>
      <c r="D72" s="376"/>
      <c r="E72" s="375"/>
      <c r="F72" s="376"/>
      <c r="G72" s="381"/>
      <c r="H72" s="377" t="s">
        <v>64</v>
      </c>
      <c r="I72" s="377">
        <v>3</v>
      </c>
      <c r="J72" s="377" t="s">
        <v>60</v>
      </c>
      <c r="K72" s="378" t="s">
        <v>180</v>
      </c>
      <c r="L72" s="379">
        <v>2208</v>
      </c>
      <c r="M72" s="380">
        <v>0.33333333333333331</v>
      </c>
      <c r="N72" s="379">
        <v>736</v>
      </c>
      <c r="O72" s="518"/>
      <c r="P72" s="515"/>
      <c r="Q72" s="378" t="s">
        <v>180</v>
      </c>
      <c r="R72" s="379">
        <v>736</v>
      </c>
      <c r="S72" s="484"/>
      <c r="T72" s="484"/>
      <c r="U72" s="516"/>
      <c r="V72" s="517"/>
      <c r="W72" s="532"/>
      <c r="X72" s="376"/>
      <c r="Y72" s="376"/>
      <c r="Z72" s="381"/>
      <c r="AA72" s="450">
        <f t="shared" si="3"/>
        <v>0</v>
      </c>
      <c r="AB72" s="374">
        <f t="shared" si="4"/>
        <v>0</v>
      </c>
    </row>
    <row r="73" spans="1:29" s="20" customFormat="1" ht="26.45" customHeight="1">
      <c r="B73" s="377">
        <v>11</v>
      </c>
      <c r="C73" s="377" t="s">
        <v>109</v>
      </c>
      <c r="D73" s="376"/>
      <c r="E73" s="375"/>
      <c r="F73" s="376"/>
      <c r="G73" s="381"/>
      <c r="H73" s="377" t="s">
        <v>64</v>
      </c>
      <c r="I73" s="377">
        <v>4</v>
      </c>
      <c r="J73" s="377" t="s">
        <v>62</v>
      </c>
      <c r="K73" s="378" t="s">
        <v>182</v>
      </c>
      <c r="L73" s="379">
        <v>6000</v>
      </c>
      <c r="M73" s="380">
        <v>0.33333333333333331</v>
      </c>
      <c r="N73" s="379">
        <v>2000</v>
      </c>
      <c r="O73" s="518"/>
      <c r="P73" s="515"/>
      <c r="Q73" s="378" t="s">
        <v>182</v>
      </c>
      <c r="R73" s="379">
        <v>2000</v>
      </c>
      <c r="S73" s="484"/>
      <c r="T73" s="484"/>
      <c r="U73" s="516"/>
      <c r="V73" s="517"/>
      <c r="W73" s="532"/>
      <c r="X73" s="376"/>
      <c r="Y73" s="376"/>
      <c r="Z73" s="381"/>
      <c r="AA73" s="450">
        <f t="shared" si="3"/>
        <v>0</v>
      </c>
      <c r="AB73" s="374">
        <f t="shared" si="4"/>
        <v>0</v>
      </c>
    </row>
    <row r="74" spans="1:29" s="20" customFormat="1" ht="26.45" customHeight="1">
      <c r="B74" s="377">
        <v>11</v>
      </c>
      <c r="C74" s="377" t="s">
        <v>109</v>
      </c>
      <c r="D74" s="376"/>
      <c r="E74" s="375"/>
      <c r="F74" s="376"/>
      <c r="G74" s="381"/>
      <c r="H74" s="377" t="s">
        <v>64</v>
      </c>
      <c r="I74" s="377"/>
      <c r="J74" s="377"/>
      <c r="K74" s="378"/>
      <c r="L74" s="379"/>
      <c r="M74" s="380"/>
      <c r="N74" s="379"/>
      <c r="O74" s="518"/>
      <c r="P74" s="515"/>
      <c r="Q74" s="378" t="s">
        <v>146</v>
      </c>
      <c r="R74" s="379">
        <v>15.05</v>
      </c>
      <c r="S74" s="484"/>
      <c r="T74" s="484"/>
      <c r="U74" s="516"/>
      <c r="V74" s="517"/>
      <c r="W74" s="532"/>
      <c r="X74" s="376"/>
      <c r="Y74" s="376"/>
      <c r="Z74" s="381"/>
      <c r="AA74" s="450">
        <f t="shared" si="3"/>
        <v>0</v>
      </c>
      <c r="AB74" s="374">
        <f t="shared" si="4"/>
        <v>0</v>
      </c>
    </row>
    <row r="75" spans="1:29" s="20" customFormat="1" ht="26.45" customHeight="1">
      <c r="B75" s="377">
        <v>11</v>
      </c>
      <c r="C75" s="377" t="s">
        <v>109</v>
      </c>
      <c r="D75" s="376"/>
      <c r="E75" s="375"/>
      <c r="F75" s="376"/>
      <c r="G75" s="381"/>
      <c r="H75" s="377" t="s">
        <v>44</v>
      </c>
      <c r="I75" s="377">
        <v>1</v>
      </c>
      <c r="J75" s="377" t="s">
        <v>60</v>
      </c>
      <c r="K75" s="378" t="s">
        <v>178</v>
      </c>
      <c r="L75" s="379">
        <v>190194</v>
      </c>
      <c r="M75" s="380">
        <v>0.16666666666666666</v>
      </c>
      <c r="N75" s="379">
        <v>31699</v>
      </c>
      <c r="O75" s="518" t="s">
        <v>66</v>
      </c>
      <c r="P75" s="515" t="str">
        <f>H75</f>
        <v>KT</v>
      </c>
      <c r="Q75" s="378" t="s">
        <v>178</v>
      </c>
      <c r="R75" s="379">
        <v>35379</v>
      </c>
      <c r="S75" s="484">
        <v>44900</v>
      </c>
      <c r="T75" s="484">
        <v>44799</v>
      </c>
      <c r="U75" s="376">
        <v>35379</v>
      </c>
      <c r="V75" s="517">
        <f>SUM(U75:U78)-SUM(R75:R78)</f>
        <v>0</v>
      </c>
      <c r="W75" s="532" t="s">
        <v>185</v>
      </c>
      <c r="X75" s="376"/>
      <c r="Y75" s="376"/>
      <c r="Z75" s="381"/>
      <c r="AA75" s="450">
        <f t="shared" si="3"/>
        <v>0</v>
      </c>
      <c r="AB75" s="374">
        <f t="shared" si="4"/>
        <v>0</v>
      </c>
      <c r="AC75" s="458" t="s">
        <v>186</v>
      </c>
    </row>
    <row r="76" spans="1:29" s="20" customFormat="1" ht="26.45" customHeight="1">
      <c r="B76" s="377">
        <v>11</v>
      </c>
      <c r="C76" s="377" t="s">
        <v>109</v>
      </c>
      <c r="D76" s="376"/>
      <c r="E76" s="375"/>
      <c r="F76" s="376"/>
      <c r="G76" s="381"/>
      <c r="H76" s="377" t="s">
        <v>44</v>
      </c>
      <c r="I76" s="377">
        <v>2</v>
      </c>
      <c r="J76" s="377" t="s">
        <v>60</v>
      </c>
      <c r="K76" s="378" t="s">
        <v>178</v>
      </c>
      <c r="L76" s="379">
        <v>22080</v>
      </c>
      <c r="M76" s="380">
        <v>0.16666666666666666</v>
      </c>
      <c r="N76" s="379">
        <v>3680</v>
      </c>
      <c r="O76" s="518"/>
      <c r="P76" s="515"/>
      <c r="Q76" s="378" t="s">
        <v>178</v>
      </c>
      <c r="R76" s="379">
        <v>3537.9</v>
      </c>
      <c r="S76" s="484"/>
      <c r="T76" s="484"/>
      <c r="U76" s="376">
        <v>3537.9</v>
      </c>
      <c r="V76" s="517"/>
      <c r="W76" s="532"/>
      <c r="X76" s="376"/>
      <c r="Y76" s="376"/>
      <c r="Z76" s="381"/>
      <c r="AA76" s="450">
        <f t="shared" si="3"/>
        <v>0</v>
      </c>
      <c r="AB76" s="374">
        <f t="shared" si="4"/>
        <v>0</v>
      </c>
    </row>
    <row r="77" spans="1:29" s="20" customFormat="1" ht="26.45" customHeight="1">
      <c r="B77" s="377">
        <v>11</v>
      </c>
      <c r="C77" s="377" t="s">
        <v>109</v>
      </c>
      <c r="D77" s="376"/>
      <c r="E77" s="375"/>
      <c r="F77" s="376"/>
      <c r="G77" s="381"/>
      <c r="H77" s="377" t="s">
        <v>44</v>
      </c>
      <c r="I77" s="377">
        <v>3</v>
      </c>
      <c r="J77" s="377" t="s">
        <v>60</v>
      </c>
      <c r="K77" s="378" t="s">
        <v>180</v>
      </c>
      <c r="L77" s="379">
        <v>2208</v>
      </c>
      <c r="M77" s="380">
        <v>0.16666666666666666</v>
      </c>
      <c r="N77" s="379">
        <v>368</v>
      </c>
      <c r="O77" s="518"/>
      <c r="P77" s="515"/>
      <c r="Q77" s="378"/>
      <c r="R77" s="379"/>
      <c r="S77" s="484"/>
      <c r="T77" s="484"/>
      <c r="U77" s="376"/>
      <c r="V77" s="517"/>
      <c r="W77" s="532"/>
      <c r="X77" s="376"/>
      <c r="Y77" s="376"/>
      <c r="Z77" s="381"/>
      <c r="AA77" s="450">
        <f t="shared" ref="AA77:AA108" si="5">Y77-F77</f>
        <v>0</v>
      </c>
      <c r="AB77" s="374">
        <f t="shared" si="4"/>
        <v>0</v>
      </c>
    </row>
    <row r="78" spans="1:29" s="20" customFormat="1" ht="26.45" customHeight="1">
      <c r="B78" s="377">
        <v>11</v>
      </c>
      <c r="C78" s="377" t="s">
        <v>109</v>
      </c>
      <c r="D78" s="376"/>
      <c r="E78" s="375"/>
      <c r="F78" s="376"/>
      <c r="G78" s="381"/>
      <c r="H78" s="377" t="s">
        <v>44</v>
      </c>
      <c r="I78" s="377">
        <v>4</v>
      </c>
      <c r="J78" s="377" t="s">
        <v>62</v>
      </c>
      <c r="K78" s="378" t="s">
        <v>182</v>
      </c>
      <c r="L78" s="379">
        <v>6000</v>
      </c>
      <c r="M78" s="380">
        <v>0.16666666666666666</v>
      </c>
      <c r="N78" s="379">
        <v>1000</v>
      </c>
      <c r="O78" s="518"/>
      <c r="P78" s="515"/>
      <c r="Q78" s="378" t="s">
        <v>182</v>
      </c>
      <c r="R78" s="379">
        <v>1000.0000200000001</v>
      </c>
      <c r="S78" s="484"/>
      <c r="T78" s="484"/>
      <c r="U78" s="376">
        <v>1000.0000200000001</v>
      </c>
      <c r="V78" s="517"/>
      <c r="W78" s="532"/>
      <c r="X78" s="376"/>
      <c r="Y78" s="376"/>
      <c r="Z78" s="381"/>
      <c r="AA78" s="450">
        <f t="shared" si="5"/>
        <v>0</v>
      </c>
      <c r="AB78" s="374">
        <f t="shared" si="4"/>
        <v>0</v>
      </c>
    </row>
    <row r="79" spans="1:29" s="20" customFormat="1" ht="26.45" customHeight="1">
      <c r="A79" s="400"/>
      <c r="B79" s="377">
        <v>11</v>
      </c>
      <c r="C79" s="377" t="s">
        <v>50</v>
      </c>
      <c r="D79" s="376"/>
      <c r="E79" s="375"/>
      <c r="F79" s="376"/>
      <c r="G79" s="381"/>
      <c r="H79" s="377"/>
      <c r="I79" s="377"/>
      <c r="J79" s="377"/>
      <c r="K79" s="378"/>
      <c r="L79" s="379"/>
      <c r="M79" s="380"/>
      <c r="N79" s="379"/>
      <c r="O79" s="423"/>
      <c r="P79" s="451"/>
      <c r="Q79" s="382" t="s">
        <v>187</v>
      </c>
      <c r="R79" s="424">
        <f>36747-SUM(R75:R78)</f>
        <v>-3169.9000200000009</v>
      </c>
      <c r="S79" s="484"/>
      <c r="T79" s="381"/>
      <c r="U79" s="424">
        <f>R79</f>
        <v>-3169.9000200000009</v>
      </c>
      <c r="V79" s="424"/>
      <c r="W79" s="532"/>
      <c r="X79" s="376"/>
      <c r="Y79" s="376"/>
      <c r="Z79" s="381"/>
      <c r="AA79" s="450">
        <f t="shared" si="5"/>
        <v>0</v>
      </c>
      <c r="AB79" s="374">
        <f t="shared" ref="AB79:AB106" si="6">Y79-F79</f>
        <v>0</v>
      </c>
    </row>
    <row r="80" spans="1:29" s="25" customFormat="1" ht="26.45" customHeight="1">
      <c r="A80" s="23"/>
      <c r="B80" s="145">
        <v>11</v>
      </c>
      <c r="C80" s="145" t="s">
        <v>53</v>
      </c>
      <c r="D80" s="67" t="s">
        <v>43</v>
      </c>
      <c r="E80" s="383">
        <v>503418</v>
      </c>
      <c r="F80" s="67">
        <v>190194</v>
      </c>
      <c r="G80" s="452">
        <v>44923</v>
      </c>
      <c r="H80" s="145" t="s">
        <v>64</v>
      </c>
      <c r="I80" s="145">
        <v>1</v>
      </c>
      <c r="J80" s="384" t="str">
        <f>D80</f>
        <v>CIENA</v>
      </c>
      <c r="K80" s="146" t="s">
        <v>188</v>
      </c>
      <c r="L80" s="147">
        <f>F80</f>
        <v>190194</v>
      </c>
      <c r="M80" s="148">
        <v>0.33333333333333331</v>
      </c>
      <c r="N80" s="147">
        <f>L80*M80</f>
        <v>63398</v>
      </c>
      <c r="O80" s="513" t="s">
        <v>189</v>
      </c>
      <c r="P80" s="508" t="e">
        <f>#REF!</f>
        <v>#REF!</v>
      </c>
      <c r="Q80" s="146" t="s">
        <v>190</v>
      </c>
      <c r="R80" s="147">
        <v>63398</v>
      </c>
      <c r="S80" s="476" t="e">
        <f>#REF!+35</f>
        <v>#REF!</v>
      </c>
      <c r="T80" s="476"/>
      <c r="U80" s="509"/>
      <c r="V80" s="510">
        <f>SUM(U80:U83)-SUM(R80:R83)</f>
        <v>-73494</v>
      </c>
      <c r="W80" s="533" t="s">
        <v>191</v>
      </c>
      <c r="X80" s="67"/>
      <c r="Y80" s="67"/>
      <c r="Z80" s="141"/>
      <c r="AA80" s="446">
        <f t="shared" si="5"/>
        <v>-190194</v>
      </c>
      <c r="AB80" s="143">
        <f t="shared" si="6"/>
        <v>-190194</v>
      </c>
    </row>
    <row r="81" spans="1:28" s="25" customFormat="1" ht="26.45" customHeight="1">
      <c r="B81" s="145">
        <v>11</v>
      </c>
      <c r="C81" s="145" t="s">
        <v>53</v>
      </c>
      <c r="D81" s="67" t="s">
        <v>43</v>
      </c>
      <c r="E81" s="383">
        <v>15428</v>
      </c>
      <c r="F81" s="67">
        <v>22080</v>
      </c>
      <c r="G81" s="452">
        <v>44923</v>
      </c>
      <c r="H81" s="145" t="s">
        <v>64</v>
      </c>
      <c r="I81" s="145">
        <v>2</v>
      </c>
      <c r="J81" s="384" t="str">
        <f t="shared" ref="J81:J83" si="7">D81</f>
        <v>CIENA</v>
      </c>
      <c r="K81" s="146" t="s">
        <v>188</v>
      </c>
      <c r="L81" s="147">
        <f t="shared" ref="L81:L83" si="8">F81</f>
        <v>22080</v>
      </c>
      <c r="M81" s="148">
        <v>0.33333333333333331</v>
      </c>
      <c r="N81" s="147">
        <f t="shared" ref="N81:N83" si="9">L81*M81</f>
        <v>7360</v>
      </c>
      <c r="O81" s="513"/>
      <c r="P81" s="508"/>
      <c r="Q81" s="146" t="s">
        <v>190</v>
      </c>
      <c r="R81" s="147">
        <v>7360</v>
      </c>
      <c r="S81" s="476"/>
      <c r="T81" s="476"/>
      <c r="U81" s="509"/>
      <c r="V81" s="510"/>
      <c r="W81" s="533"/>
      <c r="X81" s="67"/>
      <c r="Y81" s="67"/>
      <c r="Z81" s="141"/>
      <c r="AA81" s="446">
        <f t="shared" si="5"/>
        <v>-22080</v>
      </c>
      <c r="AB81" s="143">
        <f t="shared" si="6"/>
        <v>-22080</v>
      </c>
    </row>
    <row r="82" spans="1:28" s="25" customFormat="1" ht="26.45" customHeight="1">
      <c r="B82" s="145">
        <v>11</v>
      </c>
      <c r="C82" s="145" t="s">
        <v>53</v>
      </c>
      <c r="D82" s="67" t="s">
        <v>43</v>
      </c>
      <c r="E82" s="383">
        <v>15428</v>
      </c>
      <c r="F82" s="67">
        <v>2208</v>
      </c>
      <c r="G82" s="452">
        <v>44923</v>
      </c>
      <c r="H82" s="145" t="s">
        <v>64</v>
      </c>
      <c r="I82" s="145">
        <v>3</v>
      </c>
      <c r="J82" s="384" t="str">
        <f t="shared" si="7"/>
        <v>CIENA</v>
      </c>
      <c r="K82" s="146" t="s">
        <v>180</v>
      </c>
      <c r="L82" s="147">
        <f t="shared" si="8"/>
        <v>2208</v>
      </c>
      <c r="M82" s="148">
        <v>0.33333333333333331</v>
      </c>
      <c r="N82" s="147">
        <f t="shared" si="9"/>
        <v>736</v>
      </c>
      <c r="O82" s="513"/>
      <c r="P82" s="508"/>
      <c r="Q82" s="146" t="s">
        <v>180</v>
      </c>
      <c r="R82" s="147">
        <v>736</v>
      </c>
      <c r="S82" s="476"/>
      <c r="T82" s="476"/>
      <c r="U82" s="509"/>
      <c r="V82" s="510"/>
      <c r="W82" s="533"/>
      <c r="X82" s="67"/>
      <c r="Y82" s="67"/>
      <c r="Z82" s="141"/>
      <c r="AA82" s="446">
        <f t="shared" si="5"/>
        <v>-2208</v>
      </c>
      <c r="AB82" s="143">
        <f t="shared" si="6"/>
        <v>-2208</v>
      </c>
    </row>
    <row r="83" spans="1:28" s="25" customFormat="1" ht="26.45" customHeight="1">
      <c r="B83" s="145">
        <v>11</v>
      </c>
      <c r="C83" s="145" t="s">
        <v>53</v>
      </c>
      <c r="D83" s="67" t="s">
        <v>46</v>
      </c>
      <c r="E83" s="383" t="s">
        <v>192</v>
      </c>
      <c r="F83" s="67">
        <v>6000</v>
      </c>
      <c r="G83" s="452">
        <v>44917</v>
      </c>
      <c r="H83" s="145" t="s">
        <v>64</v>
      </c>
      <c r="I83" s="145">
        <v>4</v>
      </c>
      <c r="J83" s="384" t="str">
        <f t="shared" si="7"/>
        <v>CHT</v>
      </c>
      <c r="K83" s="146" t="s">
        <v>193</v>
      </c>
      <c r="L83" s="147">
        <f t="shared" si="8"/>
        <v>6000</v>
      </c>
      <c r="M83" s="148">
        <v>0.33333333333333331</v>
      </c>
      <c r="N83" s="147">
        <f t="shared" si="9"/>
        <v>2000</v>
      </c>
      <c r="O83" s="513"/>
      <c r="P83" s="508"/>
      <c r="Q83" s="146" t="s">
        <v>194</v>
      </c>
      <c r="R83" s="147">
        <v>2000</v>
      </c>
      <c r="S83" s="476"/>
      <c r="T83" s="476"/>
      <c r="U83" s="509"/>
      <c r="V83" s="510"/>
      <c r="W83" s="533"/>
      <c r="X83" s="67"/>
      <c r="Y83" s="67"/>
      <c r="Z83" s="141"/>
      <c r="AA83" s="446">
        <f t="shared" si="5"/>
        <v>-6000</v>
      </c>
      <c r="AB83" s="143">
        <f t="shared" si="6"/>
        <v>-6000</v>
      </c>
    </row>
    <row r="84" spans="1:28" s="25" customFormat="1" ht="26.45" customHeight="1">
      <c r="B84" s="145">
        <v>11</v>
      </c>
      <c r="C84" s="145" t="s">
        <v>53</v>
      </c>
      <c r="D84" s="67"/>
      <c r="E84" s="383"/>
      <c r="F84" s="67"/>
      <c r="G84" s="141"/>
      <c r="H84" s="145" t="s">
        <v>47</v>
      </c>
      <c r="I84" s="145">
        <v>1</v>
      </c>
      <c r="J84" s="384" t="s">
        <v>60</v>
      </c>
      <c r="K84" s="146" t="s">
        <v>188</v>
      </c>
      <c r="L84" s="147">
        <v>190194</v>
      </c>
      <c r="M84" s="148">
        <v>0.5</v>
      </c>
      <c r="N84" s="147">
        <f>L84*M84</f>
        <v>95097</v>
      </c>
      <c r="O84" s="513" t="s">
        <v>195</v>
      </c>
      <c r="P84" s="508" t="e">
        <f>#REF!</f>
        <v>#REF!</v>
      </c>
      <c r="Q84" s="146" t="s">
        <v>190</v>
      </c>
      <c r="R84" s="147">
        <v>95097</v>
      </c>
      <c r="S84" s="476" t="e">
        <f>#REF!+35</f>
        <v>#REF!</v>
      </c>
      <c r="T84" s="476">
        <v>44923</v>
      </c>
      <c r="U84" s="509">
        <v>110226.11</v>
      </c>
      <c r="V84" s="510">
        <f>SUM(U84:U87)-SUM(R84:R87)</f>
        <v>-14.889999999999418</v>
      </c>
      <c r="W84" s="534"/>
      <c r="X84" s="67"/>
      <c r="Y84" s="67"/>
      <c r="Z84" s="141"/>
      <c r="AA84" s="446">
        <f t="shared" si="5"/>
        <v>0</v>
      </c>
      <c r="AB84" s="143">
        <f t="shared" si="6"/>
        <v>0</v>
      </c>
    </row>
    <row r="85" spans="1:28" s="25" customFormat="1" ht="26.45" customHeight="1">
      <c r="B85" s="145">
        <v>11</v>
      </c>
      <c r="C85" s="145" t="s">
        <v>53</v>
      </c>
      <c r="D85" s="67"/>
      <c r="E85" s="383"/>
      <c r="F85" s="67"/>
      <c r="G85" s="141"/>
      <c r="H85" s="145" t="s">
        <v>47</v>
      </c>
      <c r="I85" s="145">
        <v>2</v>
      </c>
      <c r="J85" s="384" t="s">
        <v>60</v>
      </c>
      <c r="K85" s="146" t="s">
        <v>188</v>
      </c>
      <c r="L85" s="147">
        <v>22080</v>
      </c>
      <c r="M85" s="148">
        <v>0.5</v>
      </c>
      <c r="N85" s="147">
        <f t="shared" ref="N85:N87" si="10">L85*M85</f>
        <v>11040</v>
      </c>
      <c r="O85" s="513"/>
      <c r="P85" s="508"/>
      <c r="Q85" s="146" t="s">
        <v>190</v>
      </c>
      <c r="R85" s="147">
        <v>11040</v>
      </c>
      <c r="S85" s="476"/>
      <c r="T85" s="476"/>
      <c r="U85" s="509"/>
      <c r="V85" s="510"/>
      <c r="W85" s="534"/>
      <c r="X85" s="67"/>
      <c r="Y85" s="67"/>
      <c r="Z85" s="141"/>
      <c r="AA85" s="446">
        <f t="shared" si="5"/>
        <v>0</v>
      </c>
      <c r="AB85" s="143">
        <f t="shared" si="6"/>
        <v>0</v>
      </c>
    </row>
    <row r="86" spans="1:28" s="25" customFormat="1" ht="26.45" customHeight="1">
      <c r="B86" s="145">
        <v>11</v>
      </c>
      <c r="C86" s="145" t="s">
        <v>53</v>
      </c>
      <c r="D86" s="67"/>
      <c r="E86" s="383"/>
      <c r="F86" s="67"/>
      <c r="G86" s="141"/>
      <c r="H86" s="145" t="s">
        <v>47</v>
      </c>
      <c r="I86" s="145">
        <v>3</v>
      </c>
      <c r="J86" s="384" t="s">
        <v>60</v>
      </c>
      <c r="K86" s="146" t="s">
        <v>180</v>
      </c>
      <c r="L86" s="147">
        <v>2208</v>
      </c>
      <c r="M86" s="148">
        <v>0.5</v>
      </c>
      <c r="N86" s="147">
        <f t="shared" si="10"/>
        <v>1104</v>
      </c>
      <c r="O86" s="513"/>
      <c r="P86" s="508"/>
      <c r="Q86" s="146" t="s">
        <v>180</v>
      </c>
      <c r="R86" s="147">
        <v>1104</v>
      </c>
      <c r="S86" s="476"/>
      <c r="T86" s="476"/>
      <c r="U86" s="509"/>
      <c r="V86" s="510"/>
      <c r="W86" s="534"/>
      <c r="X86" s="67"/>
      <c r="Y86" s="67"/>
      <c r="Z86" s="141"/>
      <c r="AA86" s="446">
        <f t="shared" si="5"/>
        <v>0</v>
      </c>
      <c r="AB86" s="143">
        <f t="shared" si="6"/>
        <v>0</v>
      </c>
    </row>
    <row r="87" spans="1:28" s="25" customFormat="1" ht="26.45" customHeight="1">
      <c r="B87" s="145">
        <v>11</v>
      </c>
      <c r="C87" s="145" t="s">
        <v>53</v>
      </c>
      <c r="D87" s="67"/>
      <c r="E87" s="383"/>
      <c r="F87" s="67"/>
      <c r="G87" s="141"/>
      <c r="H87" s="145" t="s">
        <v>47</v>
      </c>
      <c r="I87" s="145">
        <v>4</v>
      </c>
      <c r="J87" s="384" t="s">
        <v>62</v>
      </c>
      <c r="K87" s="146" t="s">
        <v>193</v>
      </c>
      <c r="L87" s="147">
        <v>6000</v>
      </c>
      <c r="M87" s="148">
        <v>0.5</v>
      </c>
      <c r="N87" s="147">
        <f t="shared" si="10"/>
        <v>3000</v>
      </c>
      <c r="O87" s="513"/>
      <c r="P87" s="508"/>
      <c r="Q87" s="146" t="s">
        <v>194</v>
      </c>
      <c r="R87" s="147">
        <v>3000</v>
      </c>
      <c r="S87" s="476"/>
      <c r="T87" s="476"/>
      <c r="U87" s="509"/>
      <c r="V87" s="510"/>
      <c r="W87" s="534"/>
      <c r="X87" s="67"/>
      <c r="Y87" s="67"/>
      <c r="Z87" s="141"/>
      <c r="AA87" s="446">
        <f t="shared" si="5"/>
        <v>0</v>
      </c>
      <c r="AB87" s="143">
        <f t="shared" si="6"/>
        <v>0</v>
      </c>
    </row>
    <row r="88" spans="1:28" s="25" customFormat="1" ht="26.45" customHeight="1">
      <c r="B88" s="145">
        <v>11</v>
      </c>
      <c r="C88" s="145" t="s">
        <v>53</v>
      </c>
      <c r="D88" s="67"/>
      <c r="E88" s="383"/>
      <c r="F88" s="67"/>
      <c r="G88" s="141"/>
      <c r="H88" s="145" t="s">
        <v>44</v>
      </c>
      <c r="I88" s="145">
        <v>1</v>
      </c>
      <c r="J88" s="145" t="s">
        <v>60</v>
      </c>
      <c r="K88" s="146" t="s">
        <v>190</v>
      </c>
      <c r="L88" s="147">
        <v>190194</v>
      </c>
      <c r="M88" s="148">
        <v>0.16666666666666666</v>
      </c>
      <c r="N88" s="147">
        <f>L88*M88</f>
        <v>31699</v>
      </c>
      <c r="O88" s="513" t="s">
        <v>196</v>
      </c>
      <c r="P88" s="508" t="s">
        <v>44</v>
      </c>
      <c r="Q88" s="146" t="s">
        <v>190</v>
      </c>
      <c r="R88" s="147">
        <v>35379</v>
      </c>
      <c r="S88" s="476">
        <v>44907</v>
      </c>
      <c r="T88" s="476">
        <v>44799</v>
      </c>
      <c r="U88" s="67">
        <v>35379</v>
      </c>
      <c r="V88" s="510">
        <f>SUM(U88:U91)-SUM(R88:R91)</f>
        <v>0</v>
      </c>
      <c r="W88" s="533" t="s">
        <v>185</v>
      </c>
      <c r="X88" s="67"/>
      <c r="Y88" s="67"/>
      <c r="Z88" s="141"/>
      <c r="AA88" s="446">
        <f t="shared" si="5"/>
        <v>0</v>
      </c>
      <c r="AB88" s="143">
        <f t="shared" si="6"/>
        <v>0</v>
      </c>
    </row>
    <row r="89" spans="1:28" s="25" customFormat="1" ht="26.45" customHeight="1">
      <c r="B89" s="145">
        <v>11</v>
      </c>
      <c r="C89" s="145" t="s">
        <v>53</v>
      </c>
      <c r="D89" s="67"/>
      <c r="E89" s="383"/>
      <c r="F89" s="67"/>
      <c r="G89" s="141"/>
      <c r="H89" s="145" t="s">
        <v>44</v>
      </c>
      <c r="I89" s="145">
        <v>2</v>
      </c>
      <c r="J89" s="145" t="s">
        <v>60</v>
      </c>
      <c r="K89" s="146" t="s">
        <v>190</v>
      </c>
      <c r="L89" s="147">
        <v>22080</v>
      </c>
      <c r="M89" s="148">
        <v>0.16666666666666666</v>
      </c>
      <c r="N89" s="147">
        <f t="shared" ref="N89:N91" si="11">L89*M89</f>
        <v>3680</v>
      </c>
      <c r="O89" s="513"/>
      <c r="P89" s="508"/>
      <c r="Q89" s="146" t="s">
        <v>190</v>
      </c>
      <c r="R89" s="147">
        <v>3537.9</v>
      </c>
      <c r="S89" s="476"/>
      <c r="T89" s="476"/>
      <c r="U89" s="67">
        <v>3537.9</v>
      </c>
      <c r="V89" s="510"/>
      <c r="W89" s="533"/>
      <c r="X89" s="67"/>
      <c r="Y89" s="67"/>
      <c r="Z89" s="141"/>
      <c r="AA89" s="446">
        <f t="shared" si="5"/>
        <v>0</v>
      </c>
      <c r="AB89" s="143">
        <f t="shared" si="6"/>
        <v>0</v>
      </c>
    </row>
    <row r="90" spans="1:28" s="25" customFormat="1" ht="26.45" customHeight="1">
      <c r="B90" s="145">
        <v>11</v>
      </c>
      <c r="C90" s="145" t="s">
        <v>53</v>
      </c>
      <c r="D90" s="67"/>
      <c r="E90" s="383"/>
      <c r="F90" s="67"/>
      <c r="G90" s="141"/>
      <c r="H90" s="145" t="s">
        <v>44</v>
      </c>
      <c r="I90" s="145">
        <v>3</v>
      </c>
      <c r="J90" s="145" t="s">
        <v>60</v>
      </c>
      <c r="K90" s="146" t="s">
        <v>180</v>
      </c>
      <c r="L90" s="147">
        <v>2208</v>
      </c>
      <c r="M90" s="148">
        <v>0.16666666666666666</v>
      </c>
      <c r="N90" s="147">
        <f t="shared" si="11"/>
        <v>368</v>
      </c>
      <c r="O90" s="513"/>
      <c r="P90" s="508"/>
      <c r="Q90" s="385"/>
      <c r="R90" s="147"/>
      <c r="S90" s="476"/>
      <c r="T90" s="476"/>
      <c r="U90" s="67"/>
      <c r="V90" s="510"/>
      <c r="W90" s="533"/>
      <c r="X90" s="67"/>
      <c r="Y90" s="67"/>
      <c r="Z90" s="141"/>
      <c r="AA90" s="446">
        <f t="shared" si="5"/>
        <v>0</v>
      </c>
      <c r="AB90" s="143">
        <f t="shared" si="6"/>
        <v>0</v>
      </c>
    </row>
    <row r="91" spans="1:28" s="25" customFormat="1" ht="26.45" customHeight="1">
      <c r="B91" s="145">
        <v>11</v>
      </c>
      <c r="C91" s="145" t="s">
        <v>53</v>
      </c>
      <c r="D91" s="67"/>
      <c r="E91" s="383"/>
      <c r="F91" s="67"/>
      <c r="G91" s="141"/>
      <c r="H91" s="145" t="s">
        <v>44</v>
      </c>
      <c r="I91" s="145">
        <v>4</v>
      </c>
      <c r="J91" s="145" t="s">
        <v>62</v>
      </c>
      <c r="K91" s="146" t="s">
        <v>194</v>
      </c>
      <c r="L91" s="147">
        <v>6000</v>
      </c>
      <c r="M91" s="148">
        <v>0.16666666666666666</v>
      </c>
      <c r="N91" s="147">
        <f t="shared" si="11"/>
        <v>1000</v>
      </c>
      <c r="O91" s="513"/>
      <c r="P91" s="508"/>
      <c r="Q91" s="146" t="s">
        <v>194</v>
      </c>
      <c r="R91" s="147">
        <v>1000</v>
      </c>
      <c r="S91" s="476"/>
      <c r="T91" s="476"/>
      <c r="U91" s="67">
        <v>1000</v>
      </c>
      <c r="V91" s="510"/>
      <c r="W91" s="533"/>
      <c r="X91" s="67"/>
      <c r="Y91" s="67"/>
      <c r="Z91" s="141"/>
      <c r="AA91" s="446">
        <f t="shared" si="5"/>
        <v>0</v>
      </c>
      <c r="AB91" s="143">
        <f t="shared" si="6"/>
        <v>0</v>
      </c>
    </row>
    <row r="92" spans="1:28" s="25" customFormat="1" ht="26.45" customHeight="1">
      <c r="A92" s="27"/>
      <c r="B92" s="145">
        <v>11</v>
      </c>
      <c r="C92" s="145" t="s">
        <v>53</v>
      </c>
      <c r="D92" s="67"/>
      <c r="E92" s="383"/>
      <c r="F92" s="67"/>
      <c r="G92" s="141"/>
      <c r="H92" s="145"/>
      <c r="I92" s="145"/>
      <c r="J92" s="145"/>
      <c r="K92" s="146"/>
      <c r="L92" s="147"/>
      <c r="M92" s="148"/>
      <c r="N92" s="147"/>
      <c r="O92" s="402"/>
      <c r="P92" s="149"/>
      <c r="Q92" s="385" t="s">
        <v>197</v>
      </c>
      <c r="R92" s="445">
        <f>36747-SUM(R88:R91)</f>
        <v>-3169.9000000000015</v>
      </c>
      <c r="S92" s="141"/>
      <c r="T92" s="141"/>
      <c r="U92" s="445">
        <f>R92</f>
        <v>-3169.9000000000015</v>
      </c>
      <c r="V92" s="445"/>
      <c r="W92" s="533"/>
      <c r="X92" s="67"/>
      <c r="Y92" s="67"/>
      <c r="Z92" s="141"/>
      <c r="AA92" s="446">
        <f t="shared" si="5"/>
        <v>0</v>
      </c>
      <c r="AB92" s="143">
        <f t="shared" si="6"/>
        <v>0</v>
      </c>
    </row>
    <row r="93" spans="1:28" s="391" customFormat="1" ht="26.45" customHeight="1">
      <c r="A93" s="456"/>
      <c r="B93" s="386">
        <v>11</v>
      </c>
      <c r="C93" s="386" t="s">
        <v>111</v>
      </c>
      <c r="D93" s="428"/>
      <c r="E93" s="388"/>
      <c r="F93" s="428"/>
      <c r="G93" s="429"/>
      <c r="H93" s="386" t="s">
        <v>44</v>
      </c>
      <c r="I93" s="386">
        <v>1</v>
      </c>
      <c r="J93" s="386"/>
      <c r="K93" s="389"/>
      <c r="L93" s="392"/>
      <c r="M93" s="396"/>
      <c r="N93" s="392"/>
      <c r="O93" s="514" t="s">
        <v>66</v>
      </c>
      <c r="P93" s="511" t="s">
        <v>44</v>
      </c>
      <c r="Q93" s="395" t="e">
        <f>#REF!</f>
        <v>#REF!</v>
      </c>
      <c r="R93" s="392">
        <v>8844.67</v>
      </c>
      <c r="S93" s="485">
        <v>44894</v>
      </c>
      <c r="T93" s="485">
        <v>44799</v>
      </c>
      <c r="U93" s="428">
        <v>8844.67</v>
      </c>
      <c r="V93" s="512">
        <f>SUM(U93:U96)-SUM(R93:R96)</f>
        <v>-5.0200000000004366</v>
      </c>
      <c r="W93" s="535" t="s">
        <v>185</v>
      </c>
      <c r="X93" s="428"/>
      <c r="Y93" s="428"/>
      <c r="Z93" s="429"/>
      <c r="AA93" s="453">
        <f t="shared" si="5"/>
        <v>0</v>
      </c>
      <c r="AB93" s="390">
        <f t="shared" si="6"/>
        <v>0</v>
      </c>
    </row>
    <row r="94" spans="1:28" s="391" customFormat="1" ht="26.45" customHeight="1">
      <c r="B94" s="386">
        <v>11</v>
      </c>
      <c r="C94" s="386" t="s">
        <v>111</v>
      </c>
      <c r="D94" s="428"/>
      <c r="E94" s="388"/>
      <c r="F94" s="428"/>
      <c r="G94" s="429"/>
      <c r="H94" s="386" t="s">
        <v>44</v>
      </c>
      <c r="I94" s="386">
        <v>2</v>
      </c>
      <c r="J94" s="386"/>
      <c r="K94" s="389"/>
      <c r="L94" s="392"/>
      <c r="M94" s="396"/>
      <c r="N94" s="392"/>
      <c r="O94" s="514"/>
      <c r="P94" s="511"/>
      <c r="Q94" s="395" t="e">
        <f>#REF!</f>
        <v>#REF!</v>
      </c>
      <c r="R94" s="392">
        <v>884.47</v>
      </c>
      <c r="S94" s="485"/>
      <c r="T94" s="485"/>
      <c r="U94" s="428">
        <v>884.47</v>
      </c>
      <c r="V94" s="512"/>
      <c r="W94" s="535"/>
      <c r="X94" s="428"/>
      <c r="Y94" s="428"/>
      <c r="Z94" s="429"/>
      <c r="AA94" s="453">
        <f t="shared" si="5"/>
        <v>0</v>
      </c>
      <c r="AB94" s="390">
        <f t="shared" si="6"/>
        <v>0</v>
      </c>
    </row>
    <row r="95" spans="1:28" s="391" customFormat="1" ht="26.45" customHeight="1">
      <c r="B95" s="386">
        <v>11</v>
      </c>
      <c r="C95" s="386" t="s">
        <v>111</v>
      </c>
      <c r="D95" s="428"/>
      <c r="E95" s="388"/>
      <c r="F95" s="428"/>
      <c r="G95" s="429"/>
      <c r="H95" s="386" t="s">
        <v>44</v>
      </c>
      <c r="I95" s="386">
        <v>3</v>
      </c>
      <c r="J95" s="386"/>
      <c r="K95" s="389"/>
      <c r="L95" s="392"/>
      <c r="M95" s="396"/>
      <c r="N95" s="392"/>
      <c r="O95" s="514"/>
      <c r="P95" s="511"/>
      <c r="Q95" s="395" t="e">
        <f>#REF!</f>
        <v>#REF!</v>
      </c>
      <c r="R95" s="392">
        <v>1000</v>
      </c>
      <c r="S95" s="485"/>
      <c r="T95" s="485"/>
      <c r="U95" s="428">
        <v>1000</v>
      </c>
      <c r="V95" s="512"/>
      <c r="W95" s="535"/>
      <c r="X95" s="428"/>
      <c r="Y95" s="428"/>
      <c r="Z95" s="429"/>
      <c r="AA95" s="453">
        <f t="shared" si="5"/>
        <v>0</v>
      </c>
      <c r="AB95" s="390">
        <f t="shared" si="6"/>
        <v>0</v>
      </c>
    </row>
    <row r="96" spans="1:28" s="391" customFormat="1" ht="26.45" customHeight="1">
      <c r="B96" s="386">
        <v>11</v>
      </c>
      <c r="C96" s="386" t="s">
        <v>111</v>
      </c>
      <c r="D96" s="428"/>
      <c r="E96" s="388"/>
      <c r="F96" s="428"/>
      <c r="G96" s="429"/>
      <c r="H96" s="386" t="s">
        <v>44</v>
      </c>
      <c r="I96" s="386">
        <v>4</v>
      </c>
      <c r="J96" s="386"/>
      <c r="K96" s="389"/>
      <c r="L96" s="392"/>
      <c r="M96" s="396"/>
      <c r="N96" s="392"/>
      <c r="O96" s="514"/>
      <c r="P96" s="511"/>
      <c r="Q96" s="395" t="e">
        <f>#REF!</f>
        <v>#REF!</v>
      </c>
      <c r="R96" s="392">
        <v>5.0999999999999996</v>
      </c>
      <c r="S96" s="485"/>
      <c r="T96" s="485"/>
      <c r="U96" s="428">
        <v>0.08</v>
      </c>
      <c r="V96" s="512"/>
      <c r="W96" s="535"/>
      <c r="X96" s="428"/>
      <c r="Y96" s="428"/>
      <c r="Z96" s="429"/>
      <c r="AA96" s="453">
        <f t="shared" si="5"/>
        <v>0</v>
      </c>
      <c r="AB96" s="390">
        <f t="shared" si="6"/>
        <v>0</v>
      </c>
    </row>
    <row r="97" spans="1:28" s="391" customFormat="1" ht="26.45" customHeight="1">
      <c r="B97" s="386">
        <v>11</v>
      </c>
      <c r="C97" s="386" t="s">
        <v>111</v>
      </c>
      <c r="D97" s="428"/>
      <c r="E97" s="388"/>
      <c r="F97" s="428"/>
      <c r="G97" s="429"/>
      <c r="H97" s="386" t="s">
        <v>44</v>
      </c>
      <c r="I97" s="386"/>
      <c r="J97" s="386"/>
      <c r="K97" s="389"/>
      <c r="L97" s="392"/>
      <c r="M97" s="396"/>
      <c r="N97" s="392"/>
      <c r="O97" s="395"/>
      <c r="P97" s="394" t="s">
        <v>44</v>
      </c>
      <c r="Q97" s="393" t="s">
        <v>198</v>
      </c>
      <c r="R97" s="454">
        <f>90568.04-SUM(R75:R79)-SUM(R88:R92)-SUM(R93:R96)</f>
        <v>6339.7999999999938</v>
      </c>
      <c r="S97" s="486" t="s">
        <v>12</v>
      </c>
      <c r="T97" s="429"/>
      <c r="U97" s="428">
        <f>R97</f>
        <v>6339.7999999999938</v>
      </c>
      <c r="V97" s="425">
        <f>U97-R97</f>
        <v>0</v>
      </c>
      <c r="W97" s="535"/>
      <c r="X97" s="428"/>
      <c r="Y97" s="428"/>
      <c r="Z97" s="429"/>
      <c r="AA97" s="453">
        <f t="shared" si="5"/>
        <v>0</v>
      </c>
      <c r="AB97" s="390">
        <f t="shared" si="6"/>
        <v>0</v>
      </c>
    </row>
    <row r="98" spans="1:28" s="391" customFormat="1" ht="26.45" customHeight="1">
      <c r="B98" s="386">
        <v>11</v>
      </c>
      <c r="C98" s="386" t="s">
        <v>113</v>
      </c>
      <c r="D98" s="428"/>
      <c r="E98" s="388"/>
      <c r="F98" s="428"/>
      <c r="G98" s="429"/>
      <c r="H98" s="386" t="s">
        <v>44</v>
      </c>
      <c r="I98" s="386"/>
      <c r="J98" s="386"/>
      <c r="K98" s="389"/>
      <c r="L98" s="392"/>
      <c r="M98" s="396"/>
      <c r="N98" s="392"/>
      <c r="O98" s="395"/>
      <c r="P98" s="394" t="s">
        <v>44</v>
      </c>
      <c r="Q98" s="393" t="s">
        <v>199</v>
      </c>
      <c r="R98" s="397">
        <v>5.0199999999999996</v>
      </c>
      <c r="S98" s="486"/>
      <c r="T98" s="429"/>
      <c r="U98" s="428"/>
      <c r="V98" s="425">
        <f>U98-R98</f>
        <v>-5.0199999999999996</v>
      </c>
      <c r="W98" s="425"/>
      <c r="X98" s="428"/>
      <c r="Y98" s="428"/>
      <c r="Z98" s="429"/>
      <c r="AA98" s="453">
        <f t="shared" si="5"/>
        <v>0</v>
      </c>
      <c r="AB98" s="390">
        <f t="shared" si="6"/>
        <v>0</v>
      </c>
    </row>
    <row r="99" spans="1:28" s="391" customFormat="1" ht="26.45" customHeight="1">
      <c r="B99" s="386">
        <v>11</v>
      </c>
      <c r="C99" s="386" t="s">
        <v>113</v>
      </c>
      <c r="D99" s="428"/>
      <c r="E99" s="388"/>
      <c r="F99" s="428"/>
      <c r="G99" s="429"/>
      <c r="H99" s="386" t="s">
        <v>44</v>
      </c>
      <c r="I99" s="386"/>
      <c r="J99" s="386"/>
      <c r="K99" s="389"/>
      <c r="L99" s="392"/>
      <c r="M99" s="396"/>
      <c r="N99" s="392"/>
      <c r="O99" s="395"/>
      <c r="P99" s="394" t="str">
        <f>H99</f>
        <v>KT</v>
      </c>
      <c r="Q99" s="393" t="s">
        <v>146</v>
      </c>
      <c r="R99" s="397">
        <v>5.17</v>
      </c>
      <c r="S99" s="486"/>
      <c r="T99" s="429"/>
      <c r="U99" s="428"/>
      <c r="V99" s="425">
        <f>U99-R99</f>
        <v>-5.17</v>
      </c>
      <c r="W99" s="425"/>
      <c r="X99" s="428"/>
      <c r="Y99" s="428"/>
      <c r="Z99" s="429"/>
      <c r="AA99" s="453">
        <f t="shared" si="5"/>
        <v>0</v>
      </c>
      <c r="AB99" s="390">
        <f t="shared" si="6"/>
        <v>0</v>
      </c>
    </row>
    <row r="100" spans="1:28" s="391" customFormat="1" ht="26.45" customHeight="1">
      <c r="B100" s="386">
        <v>11</v>
      </c>
      <c r="C100" s="386" t="s">
        <v>111</v>
      </c>
      <c r="D100" s="428"/>
      <c r="E100" s="388"/>
      <c r="F100" s="428"/>
      <c r="G100" s="429"/>
      <c r="H100" s="386" t="s">
        <v>175</v>
      </c>
      <c r="I100" s="386"/>
      <c r="J100" s="386"/>
      <c r="K100" s="389"/>
      <c r="L100" s="392"/>
      <c r="M100" s="396"/>
      <c r="N100" s="392"/>
      <c r="O100" s="395"/>
      <c r="P100" s="394" t="e">
        <f>#REF!</f>
        <v>#REF!</v>
      </c>
      <c r="Q100" s="393" t="s">
        <v>200</v>
      </c>
      <c r="R100" s="397" t="s">
        <v>12</v>
      </c>
      <c r="S100" s="486" t="s">
        <v>12</v>
      </c>
      <c r="T100" s="429"/>
      <c r="U100" s="428" t="s">
        <v>12</v>
      </c>
      <c r="V100" s="426" t="s">
        <v>12</v>
      </c>
      <c r="W100" s="425"/>
      <c r="X100" s="428"/>
      <c r="Y100" s="428"/>
      <c r="Z100" s="429"/>
      <c r="AA100" s="453">
        <f t="shared" si="5"/>
        <v>0</v>
      </c>
      <c r="AB100" s="390">
        <f t="shared" si="6"/>
        <v>0</v>
      </c>
    </row>
    <row r="101" spans="1:28" s="391" customFormat="1" ht="26.45" customHeight="1">
      <c r="A101" s="401"/>
      <c r="B101" s="386">
        <v>11</v>
      </c>
      <c r="C101" s="386" t="s">
        <v>111</v>
      </c>
      <c r="D101" s="428"/>
      <c r="E101" s="388"/>
      <c r="F101" s="428"/>
      <c r="G101" s="429"/>
      <c r="H101" s="386" t="s">
        <v>47</v>
      </c>
      <c r="I101" s="386"/>
      <c r="J101" s="386"/>
      <c r="K101" s="389"/>
      <c r="L101" s="392"/>
      <c r="M101" s="396"/>
      <c r="N101" s="392"/>
      <c r="O101" s="395"/>
      <c r="P101" s="394" t="e">
        <f>#REF!</f>
        <v>#REF!</v>
      </c>
      <c r="Q101" s="393" t="s">
        <v>200</v>
      </c>
      <c r="R101" s="397" t="s">
        <v>12</v>
      </c>
      <c r="S101" s="486"/>
      <c r="T101" s="429"/>
      <c r="U101" s="428" t="s">
        <v>12</v>
      </c>
      <c r="V101" s="426" t="s">
        <v>12</v>
      </c>
      <c r="W101" s="425"/>
      <c r="X101" s="428"/>
      <c r="Y101" s="428"/>
      <c r="Z101" s="429"/>
      <c r="AA101" s="453">
        <f t="shared" si="5"/>
        <v>0</v>
      </c>
      <c r="AB101" s="390">
        <f t="shared" si="6"/>
        <v>0</v>
      </c>
    </row>
    <row r="102" spans="1:28" s="25" customFormat="1" ht="26.45" customHeight="1">
      <c r="A102" s="23"/>
      <c r="B102" s="145">
        <v>12</v>
      </c>
      <c r="C102" s="145" t="s">
        <v>16</v>
      </c>
      <c r="D102" s="67" t="str">
        <f>J102</f>
        <v>CIENA-USA</v>
      </c>
      <c r="E102" s="383">
        <v>502646</v>
      </c>
      <c r="F102" s="67">
        <v>163412.01</v>
      </c>
      <c r="G102" s="464" t="e">
        <f>#REF!+45</f>
        <v>#REF!</v>
      </c>
      <c r="H102" s="145" t="s">
        <v>47</v>
      </c>
      <c r="I102" s="145">
        <v>1</v>
      </c>
      <c r="J102" s="145" t="s">
        <v>201</v>
      </c>
      <c r="K102" s="146" t="s">
        <v>202</v>
      </c>
      <c r="L102" s="147">
        <v>163412.01</v>
      </c>
      <c r="M102" s="148">
        <v>0.14678612501373278</v>
      </c>
      <c r="N102" s="147">
        <v>23986.62</v>
      </c>
      <c r="O102" s="482" t="s">
        <v>203</v>
      </c>
      <c r="P102" s="508" t="str">
        <f>H102</f>
        <v>CU</v>
      </c>
      <c r="Q102" s="146" t="s">
        <v>202</v>
      </c>
      <c r="R102" s="147">
        <v>23986.62</v>
      </c>
      <c r="S102" s="476" t="e">
        <f>#REF!+35</f>
        <v>#REF!</v>
      </c>
      <c r="T102" s="476">
        <v>44900</v>
      </c>
      <c r="U102" s="509">
        <v>31452.9</v>
      </c>
      <c r="V102" s="510">
        <f>SUM(U102:U106)-SUM(R102:R106)</f>
        <v>-14.909999999999854</v>
      </c>
      <c r="W102" s="533"/>
      <c r="X102" s="67" t="s">
        <v>204</v>
      </c>
      <c r="Y102" s="67">
        <v>145507.24</v>
      </c>
      <c r="Z102" s="402">
        <v>44895</v>
      </c>
      <c r="AA102" s="446">
        <f t="shared" si="5"/>
        <v>-17904.770000000019</v>
      </c>
      <c r="AB102" s="143">
        <f t="shared" si="6"/>
        <v>-17904.770000000019</v>
      </c>
    </row>
    <row r="103" spans="1:28" s="25" customFormat="1" ht="26.45" customHeight="1">
      <c r="B103" s="145">
        <v>12</v>
      </c>
      <c r="C103" s="145" t="s">
        <v>16</v>
      </c>
      <c r="D103" s="67" t="str">
        <f>J103</f>
        <v>CIENA-USA</v>
      </c>
      <c r="E103" s="383">
        <v>6903038</v>
      </c>
      <c r="F103" s="67">
        <v>27487.59</v>
      </c>
      <c r="G103" s="464" t="e">
        <f>#REF!+45</f>
        <v>#REF!</v>
      </c>
      <c r="H103" s="145" t="s">
        <v>47</v>
      </c>
      <c r="I103" s="145">
        <v>2</v>
      </c>
      <c r="J103" s="145" t="s">
        <v>201</v>
      </c>
      <c r="K103" s="146" t="s">
        <v>202</v>
      </c>
      <c r="L103" s="147">
        <v>27487.59</v>
      </c>
      <c r="M103" s="148">
        <v>0.14678612501373278</v>
      </c>
      <c r="N103" s="147">
        <v>4034.8</v>
      </c>
      <c r="O103" s="482"/>
      <c r="P103" s="508"/>
      <c r="Q103" s="146" t="s">
        <v>202</v>
      </c>
      <c r="R103" s="147">
        <v>4034.8</v>
      </c>
      <c r="S103" s="476"/>
      <c r="T103" s="476"/>
      <c r="U103" s="509"/>
      <c r="V103" s="510"/>
      <c r="W103" s="533"/>
      <c r="X103" s="460" t="s">
        <v>201</v>
      </c>
      <c r="Y103" s="460">
        <v>45392.36</v>
      </c>
      <c r="Z103" s="463">
        <v>44924</v>
      </c>
      <c r="AA103" s="446">
        <f t="shared" si="5"/>
        <v>17904.77</v>
      </c>
      <c r="AB103" s="143">
        <f t="shared" si="6"/>
        <v>17904.77</v>
      </c>
    </row>
    <row r="104" spans="1:28" s="25" customFormat="1" ht="26.45" customHeight="1">
      <c r="B104" s="145">
        <v>12</v>
      </c>
      <c r="C104" s="145" t="s">
        <v>103</v>
      </c>
      <c r="D104" s="136" t="str">
        <f>J104</f>
        <v>CIENA-JP</v>
      </c>
      <c r="E104" s="459">
        <v>15088</v>
      </c>
      <c r="F104" s="136">
        <v>15890</v>
      </c>
      <c r="G104" s="464" t="e">
        <f>#REF!+45</f>
        <v>#REF!</v>
      </c>
      <c r="H104" s="145" t="s">
        <v>47</v>
      </c>
      <c r="I104" s="145">
        <v>3</v>
      </c>
      <c r="J104" s="145" t="s">
        <v>205</v>
      </c>
      <c r="K104" s="146" t="s">
        <v>202</v>
      </c>
      <c r="L104" s="147">
        <v>15890</v>
      </c>
      <c r="M104" s="148">
        <v>0.14678612501373278</v>
      </c>
      <c r="N104" s="147">
        <v>2332.4299999999998</v>
      </c>
      <c r="O104" s="482"/>
      <c r="P104" s="508"/>
      <c r="Q104" s="146" t="s">
        <v>202</v>
      </c>
      <c r="R104" s="147">
        <v>2332.4299999999998</v>
      </c>
      <c r="S104" s="476"/>
      <c r="T104" s="476"/>
      <c r="U104" s="509"/>
      <c r="V104" s="510"/>
      <c r="W104" s="533"/>
      <c r="X104" s="67" t="s">
        <v>206</v>
      </c>
      <c r="Y104" s="67">
        <v>17479</v>
      </c>
      <c r="Z104" s="402">
        <v>44895</v>
      </c>
      <c r="AA104" s="446">
        <f t="shared" si="5"/>
        <v>1589</v>
      </c>
      <c r="AB104" s="143">
        <f t="shared" si="6"/>
        <v>1589</v>
      </c>
    </row>
    <row r="105" spans="1:28" s="25" customFormat="1" ht="26.45" customHeight="1">
      <c r="B105" s="145">
        <v>12</v>
      </c>
      <c r="C105" s="145" t="s">
        <v>103</v>
      </c>
      <c r="D105" s="136" t="str">
        <f>J105</f>
        <v>CIENA-JP</v>
      </c>
      <c r="E105" s="459">
        <v>15088</v>
      </c>
      <c r="F105" s="136">
        <v>1589</v>
      </c>
      <c r="G105" s="464" t="e">
        <f>#REF!+45</f>
        <v>#REF!</v>
      </c>
      <c r="H105" s="145" t="s">
        <v>47</v>
      </c>
      <c r="I105" s="145">
        <v>4</v>
      </c>
      <c r="J105" s="145" t="s">
        <v>205</v>
      </c>
      <c r="K105" s="146" t="s">
        <v>180</v>
      </c>
      <c r="L105" s="147">
        <v>1589</v>
      </c>
      <c r="M105" s="148">
        <v>0.14678612501373278</v>
      </c>
      <c r="N105" s="147">
        <v>233.24</v>
      </c>
      <c r="O105" s="482"/>
      <c r="P105" s="508"/>
      <c r="Q105" s="146" t="s">
        <v>180</v>
      </c>
      <c r="R105" s="147">
        <v>233.24</v>
      </c>
      <c r="S105" s="476"/>
      <c r="T105" s="476"/>
      <c r="U105" s="509"/>
      <c r="V105" s="510"/>
      <c r="W105" s="533"/>
      <c r="X105" s="67"/>
      <c r="Y105" s="67"/>
      <c r="Z105" s="141"/>
      <c r="AA105" s="446">
        <f t="shared" si="5"/>
        <v>-1589</v>
      </c>
      <c r="AB105" s="143">
        <f t="shared" si="6"/>
        <v>-1589</v>
      </c>
    </row>
    <row r="106" spans="1:28" s="25" customFormat="1" ht="26.45" customHeight="1">
      <c r="B106" s="145">
        <v>12</v>
      </c>
      <c r="C106" s="145" t="s">
        <v>103</v>
      </c>
      <c r="D106" s="67" t="str">
        <f>J106</f>
        <v>CHT</v>
      </c>
      <c r="E106" s="383" t="s">
        <v>207</v>
      </c>
      <c r="F106" s="67">
        <v>6000</v>
      </c>
      <c r="G106" s="464" t="e">
        <f>#REF!+45</f>
        <v>#REF!</v>
      </c>
      <c r="H106" s="145" t="s">
        <v>47</v>
      </c>
      <c r="I106" s="145">
        <v>5</v>
      </c>
      <c r="J106" s="145" t="s">
        <v>62</v>
      </c>
      <c r="K106" s="146" t="s">
        <v>208</v>
      </c>
      <c r="L106" s="147">
        <v>6000</v>
      </c>
      <c r="M106" s="148">
        <v>0.14678612501373278</v>
      </c>
      <c r="N106" s="147">
        <v>880.72</v>
      </c>
      <c r="O106" s="482"/>
      <c r="P106" s="508"/>
      <c r="Q106" s="146" t="s">
        <v>208</v>
      </c>
      <c r="R106" s="147">
        <v>880.72</v>
      </c>
      <c r="S106" s="476"/>
      <c r="T106" s="476"/>
      <c r="U106" s="509"/>
      <c r="V106" s="510"/>
      <c r="W106" s="533"/>
      <c r="X106" s="462" t="s">
        <v>46</v>
      </c>
      <c r="Y106" s="462">
        <v>6000</v>
      </c>
      <c r="Z106" s="461" t="s">
        <v>209</v>
      </c>
      <c r="AA106" s="446">
        <f t="shared" si="5"/>
        <v>0</v>
      </c>
      <c r="AB106" s="143">
        <f t="shared" si="6"/>
        <v>0</v>
      </c>
    </row>
    <row r="107" spans="1:28" s="25" customFormat="1" ht="26.45" customHeight="1">
      <c r="B107" s="145">
        <v>12</v>
      </c>
      <c r="C107" s="145" t="s">
        <v>103</v>
      </c>
      <c r="D107" s="67"/>
      <c r="E107" s="383"/>
      <c r="F107" s="67"/>
      <c r="G107" s="464"/>
      <c r="H107" s="145" t="s">
        <v>44</v>
      </c>
      <c r="I107" s="145">
        <v>1</v>
      </c>
      <c r="J107" s="145" t="s">
        <v>60</v>
      </c>
      <c r="K107" s="146" t="s">
        <v>202</v>
      </c>
      <c r="L107" s="147">
        <v>163412.01</v>
      </c>
      <c r="M107" s="148">
        <v>0.76029537816809867</v>
      </c>
      <c r="N107" s="147">
        <v>124241.4</v>
      </c>
      <c r="O107" s="482" t="s">
        <v>210</v>
      </c>
      <c r="P107" s="508" t="str">
        <f>H107</f>
        <v>KT</v>
      </c>
      <c r="Q107" s="146" t="s">
        <v>202</v>
      </c>
      <c r="R107" s="147">
        <v>124241.4</v>
      </c>
      <c r="S107" s="476" t="e">
        <f>#REF!+35</f>
        <v>#REF!</v>
      </c>
      <c r="T107" s="476">
        <v>44888</v>
      </c>
      <c r="U107" s="509">
        <v>162986.23999999999</v>
      </c>
      <c r="V107" s="510">
        <f>SUM(U107:U111)-SUM(R107:R111)</f>
        <v>-4.8199999999778811</v>
      </c>
      <c r="W107" s="534"/>
      <c r="X107" s="67"/>
      <c r="Y107" s="67"/>
      <c r="Z107" s="398"/>
      <c r="AA107" s="446">
        <f t="shared" si="5"/>
        <v>0</v>
      </c>
      <c r="AB107" s="143">
        <f>Y107-SUM(F102:F103)</f>
        <v>-190899.6</v>
      </c>
    </row>
    <row r="108" spans="1:28" s="25" customFormat="1" ht="26.45" customHeight="1">
      <c r="B108" s="145">
        <v>12</v>
      </c>
      <c r="C108" s="145" t="s">
        <v>103</v>
      </c>
      <c r="D108" s="67"/>
      <c r="E108" s="383"/>
      <c r="F108" s="67"/>
      <c r="G108" s="464"/>
      <c r="H108" s="145" t="s">
        <v>44</v>
      </c>
      <c r="I108" s="145">
        <v>2</v>
      </c>
      <c r="J108" s="145" t="s">
        <v>60</v>
      </c>
      <c r="K108" s="146" t="s">
        <v>202</v>
      </c>
      <c r="L108" s="147">
        <v>27487.59</v>
      </c>
      <c r="M108" s="148">
        <v>0.76029537816809867</v>
      </c>
      <c r="N108" s="147">
        <v>20898.689999999999</v>
      </c>
      <c r="O108" s="482"/>
      <c r="P108" s="508"/>
      <c r="Q108" s="146" t="s">
        <v>202</v>
      </c>
      <c r="R108" s="147">
        <v>20898.689999999999</v>
      </c>
      <c r="S108" s="476"/>
      <c r="T108" s="476"/>
      <c r="U108" s="509"/>
      <c r="V108" s="510"/>
      <c r="W108" s="534"/>
      <c r="X108" s="67"/>
      <c r="Y108" s="67"/>
      <c r="Z108" s="398"/>
      <c r="AA108" s="446">
        <f t="shared" si="5"/>
        <v>0</v>
      </c>
      <c r="AB108" s="143">
        <f>Y108-SUM(F104:F105)</f>
        <v>-17479</v>
      </c>
    </row>
    <row r="109" spans="1:28" s="25" customFormat="1" ht="26.45" customHeight="1">
      <c r="B109" s="145">
        <v>12</v>
      </c>
      <c r="C109" s="145" t="s">
        <v>103</v>
      </c>
      <c r="D109" s="67"/>
      <c r="E109" s="383"/>
      <c r="F109" s="67"/>
      <c r="G109" s="464"/>
      <c r="H109" s="145" t="s">
        <v>44</v>
      </c>
      <c r="I109" s="145">
        <v>3</v>
      </c>
      <c r="J109" s="145" t="s">
        <v>60</v>
      </c>
      <c r="K109" s="146" t="s">
        <v>202</v>
      </c>
      <c r="L109" s="147">
        <v>15890</v>
      </c>
      <c r="M109" s="148">
        <v>0.76029537816809867</v>
      </c>
      <c r="N109" s="147">
        <v>12081.09</v>
      </c>
      <c r="O109" s="482"/>
      <c r="P109" s="508"/>
      <c r="Q109" s="146" t="s">
        <v>202</v>
      </c>
      <c r="R109" s="147">
        <v>12081.09</v>
      </c>
      <c r="S109" s="476"/>
      <c r="T109" s="476"/>
      <c r="U109" s="509"/>
      <c r="V109" s="510"/>
      <c r="W109" s="534"/>
      <c r="X109" s="67"/>
      <c r="Y109" s="67"/>
      <c r="Z109" s="141"/>
      <c r="AA109" s="446">
        <f t="shared" ref="AA109:AA119" si="12">Y109-F109</f>
        <v>0</v>
      </c>
      <c r="AB109" s="143">
        <f t="shared" ref="AB109:AB119" si="13">Y109-F109</f>
        <v>0</v>
      </c>
    </row>
    <row r="110" spans="1:28" s="25" customFormat="1" ht="26.45" customHeight="1">
      <c r="B110" s="145">
        <v>12</v>
      </c>
      <c r="C110" s="145" t="s">
        <v>103</v>
      </c>
      <c r="D110" s="67"/>
      <c r="E110" s="383"/>
      <c r="F110" s="67"/>
      <c r="G110" s="464"/>
      <c r="H110" s="145" t="s">
        <v>44</v>
      </c>
      <c r="I110" s="145">
        <v>4</v>
      </c>
      <c r="J110" s="145" t="s">
        <v>60</v>
      </c>
      <c r="K110" s="146" t="s">
        <v>180</v>
      </c>
      <c r="L110" s="147">
        <v>1589</v>
      </c>
      <c r="M110" s="148">
        <v>0.76029537816809867</v>
      </c>
      <c r="N110" s="147">
        <v>1208.1099999999999</v>
      </c>
      <c r="O110" s="482"/>
      <c r="P110" s="508"/>
      <c r="Q110" s="146" t="s">
        <v>180</v>
      </c>
      <c r="R110" s="147">
        <v>1208.1099999999999</v>
      </c>
      <c r="S110" s="476"/>
      <c r="T110" s="476"/>
      <c r="U110" s="509"/>
      <c r="V110" s="510"/>
      <c r="W110" s="534"/>
      <c r="X110" s="67"/>
      <c r="Y110" s="67"/>
      <c r="Z110" s="141"/>
      <c r="AA110" s="446">
        <f t="shared" si="12"/>
        <v>0</v>
      </c>
      <c r="AB110" s="143">
        <f t="shared" si="13"/>
        <v>0</v>
      </c>
    </row>
    <row r="111" spans="1:28" s="25" customFormat="1" ht="26.45" customHeight="1">
      <c r="B111" s="145">
        <v>12</v>
      </c>
      <c r="C111" s="145" t="s">
        <v>103</v>
      </c>
      <c r="D111" s="67"/>
      <c r="E111" s="383"/>
      <c r="F111" s="67"/>
      <c r="G111" s="464"/>
      <c r="H111" s="145" t="s">
        <v>44</v>
      </c>
      <c r="I111" s="145">
        <v>5</v>
      </c>
      <c r="J111" s="145" t="s">
        <v>62</v>
      </c>
      <c r="K111" s="146" t="s">
        <v>208</v>
      </c>
      <c r="L111" s="147">
        <v>6000</v>
      </c>
      <c r="M111" s="148">
        <v>0.76029537816809867</v>
      </c>
      <c r="N111" s="147">
        <v>4561.7700000000004</v>
      </c>
      <c r="O111" s="482"/>
      <c r="P111" s="508"/>
      <c r="Q111" s="146" t="s">
        <v>208</v>
      </c>
      <c r="R111" s="147">
        <v>4561.7700000000004</v>
      </c>
      <c r="S111" s="476"/>
      <c r="T111" s="476"/>
      <c r="U111" s="509"/>
      <c r="V111" s="510"/>
      <c r="W111" s="534"/>
      <c r="X111" s="67"/>
      <c r="Y111" s="67"/>
      <c r="Z111" s="141"/>
      <c r="AA111" s="446">
        <f t="shared" si="12"/>
        <v>0</v>
      </c>
      <c r="AB111" s="143">
        <f t="shared" si="13"/>
        <v>0</v>
      </c>
    </row>
    <row r="112" spans="1:28" s="25" customFormat="1" ht="26.45" customHeight="1">
      <c r="B112" s="145">
        <v>12</v>
      </c>
      <c r="C112" s="145" t="s">
        <v>103</v>
      </c>
      <c r="D112" s="67"/>
      <c r="E112" s="383"/>
      <c r="F112" s="67"/>
      <c r="G112" s="464"/>
      <c r="H112" s="145" t="s">
        <v>73</v>
      </c>
      <c r="I112" s="145">
        <v>1</v>
      </c>
      <c r="J112" s="145" t="s">
        <v>60</v>
      </c>
      <c r="K112" s="146" t="s">
        <v>202</v>
      </c>
      <c r="L112" s="147">
        <v>163412.01</v>
      </c>
      <c r="M112" s="148">
        <v>9.291849681816855E-2</v>
      </c>
      <c r="N112" s="147">
        <v>15184</v>
      </c>
      <c r="O112" s="482" t="s">
        <v>211</v>
      </c>
      <c r="P112" s="508" t="str">
        <f>H112</f>
        <v>NTT-LJ</v>
      </c>
      <c r="Q112" s="146" t="s">
        <v>202</v>
      </c>
      <c r="R112" s="147">
        <v>15184</v>
      </c>
      <c r="S112" s="476" t="e">
        <f>#REF!+35</f>
        <v>#REF!</v>
      </c>
      <c r="T112" s="476">
        <v>44923</v>
      </c>
      <c r="U112" s="509">
        <v>19903.84</v>
      </c>
      <c r="V112" s="510">
        <f>SUM(U112:U116)-SUM(R112:R116)</f>
        <v>-15.900000000001455</v>
      </c>
      <c r="W112" s="533"/>
      <c r="X112" s="67"/>
      <c r="Y112" s="67"/>
      <c r="Z112" s="141"/>
      <c r="AA112" s="446">
        <f t="shared" si="12"/>
        <v>0</v>
      </c>
      <c r="AB112" s="143">
        <f t="shared" si="13"/>
        <v>0</v>
      </c>
    </row>
    <row r="113" spans="1:28" s="25" customFormat="1" ht="26.45" customHeight="1">
      <c r="B113" s="145">
        <v>12</v>
      </c>
      <c r="C113" s="145" t="s">
        <v>103</v>
      </c>
      <c r="D113" s="67"/>
      <c r="E113" s="383"/>
      <c r="F113" s="67"/>
      <c r="G113" s="464"/>
      <c r="H113" s="145" t="s">
        <v>73</v>
      </c>
      <c r="I113" s="145">
        <v>2</v>
      </c>
      <c r="J113" s="145" t="s">
        <v>60</v>
      </c>
      <c r="K113" s="146" t="s">
        <v>202</v>
      </c>
      <c r="L113" s="147">
        <v>27487.59</v>
      </c>
      <c r="M113" s="148">
        <v>9.291849681816855E-2</v>
      </c>
      <c r="N113" s="147">
        <v>2554.11</v>
      </c>
      <c r="O113" s="482"/>
      <c r="P113" s="508"/>
      <c r="Q113" s="146" t="s">
        <v>202</v>
      </c>
      <c r="R113" s="147">
        <v>2554.11</v>
      </c>
      <c r="S113" s="476"/>
      <c r="T113" s="476"/>
      <c r="U113" s="509"/>
      <c r="V113" s="510"/>
      <c r="W113" s="533"/>
      <c r="X113" s="67"/>
      <c r="Y113" s="67"/>
      <c r="Z113" s="141"/>
      <c r="AA113" s="446">
        <f t="shared" si="12"/>
        <v>0</v>
      </c>
      <c r="AB113" s="143">
        <f t="shared" si="13"/>
        <v>0</v>
      </c>
    </row>
    <row r="114" spans="1:28" s="25" customFormat="1" ht="26.45" customHeight="1">
      <c r="B114" s="145">
        <v>12</v>
      </c>
      <c r="C114" s="145" t="s">
        <v>103</v>
      </c>
      <c r="D114" s="67"/>
      <c r="E114" s="383"/>
      <c r="F114" s="67"/>
      <c r="G114" s="464"/>
      <c r="H114" s="145" t="s">
        <v>73</v>
      </c>
      <c r="I114" s="145">
        <v>3</v>
      </c>
      <c r="J114" s="145" t="s">
        <v>60</v>
      </c>
      <c r="K114" s="146" t="s">
        <v>202</v>
      </c>
      <c r="L114" s="147">
        <v>15890</v>
      </c>
      <c r="M114" s="148">
        <v>9.291849681816855E-2</v>
      </c>
      <c r="N114" s="147">
        <v>1476.47</v>
      </c>
      <c r="O114" s="482"/>
      <c r="P114" s="508"/>
      <c r="Q114" s="146" t="s">
        <v>202</v>
      </c>
      <c r="R114" s="147">
        <v>1476.47</v>
      </c>
      <c r="S114" s="476"/>
      <c r="T114" s="476"/>
      <c r="U114" s="509"/>
      <c r="V114" s="510"/>
      <c r="W114" s="533"/>
      <c r="X114" s="67"/>
      <c r="Y114" s="67"/>
      <c r="Z114" s="141"/>
      <c r="AA114" s="446">
        <f t="shared" si="12"/>
        <v>0</v>
      </c>
      <c r="AB114" s="143">
        <f t="shared" si="13"/>
        <v>0</v>
      </c>
    </row>
    <row r="115" spans="1:28" s="25" customFormat="1" ht="26.45" customHeight="1">
      <c r="B115" s="145">
        <v>12</v>
      </c>
      <c r="C115" s="145" t="s">
        <v>103</v>
      </c>
      <c r="D115" s="67"/>
      <c r="E115" s="383"/>
      <c r="F115" s="67"/>
      <c r="G115" s="464"/>
      <c r="H115" s="145" t="s">
        <v>73</v>
      </c>
      <c r="I115" s="145">
        <v>4</v>
      </c>
      <c r="J115" s="145" t="s">
        <v>60</v>
      </c>
      <c r="K115" s="146" t="s">
        <v>180</v>
      </c>
      <c r="L115" s="147">
        <v>1589</v>
      </c>
      <c r="M115" s="148">
        <v>9.291849681816855E-2</v>
      </c>
      <c r="N115" s="147">
        <v>147.65</v>
      </c>
      <c r="O115" s="482"/>
      <c r="P115" s="508"/>
      <c r="Q115" s="146" t="s">
        <v>180</v>
      </c>
      <c r="R115" s="147">
        <v>147.65</v>
      </c>
      <c r="S115" s="476"/>
      <c r="T115" s="476"/>
      <c r="U115" s="509"/>
      <c r="V115" s="510"/>
      <c r="W115" s="533"/>
      <c r="X115" s="67"/>
      <c r="Y115" s="67"/>
      <c r="Z115" s="141"/>
      <c r="AA115" s="446">
        <f t="shared" si="12"/>
        <v>0</v>
      </c>
      <c r="AB115" s="143">
        <f t="shared" si="13"/>
        <v>0</v>
      </c>
    </row>
    <row r="116" spans="1:28" s="25" customFormat="1" ht="26.45" customHeight="1">
      <c r="A116" s="27"/>
      <c r="B116" s="145">
        <v>12</v>
      </c>
      <c r="C116" s="145" t="s">
        <v>103</v>
      </c>
      <c r="D116" s="67"/>
      <c r="E116" s="383"/>
      <c r="F116" s="67"/>
      <c r="G116" s="464"/>
      <c r="H116" s="145" t="s">
        <v>73</v>
      </c>
      <c r="I116" s="145">
        <v>5</v>
      </c>
      <c r="J116" s="145" t="s">
        <v>62</v>
      </c>
      <c r="K116" s="146" t="s">
        <v>208</v>
      </c>
      <c r="L116" s="147">
        <v>6000</v>
      </c>
      <c r="M116" s="148">
        <v>9.291849681816855E-2</v>
      </c>
      <c r="N116" s="147">
        <v>557.51</v>
      </c>
      <c r="O116" s="482"/>
      <c r="P116" s="508"/>
      <c r="Q116" s="146" t="s">
        <v>208</v>
      </c>
      <c r="R116" s="147">
        <v>557.51</v>
      </c>
      <c r="S116" s="476"/>
      <c r="T116" s="476"/>
      <c r="U116" s="509"/>
      <c r="V116" s="510"/>
      <c r="W116" s="533"/>
      <c r="X116" s="67"/>
      <c r="Y116" s="67"/>
      <c r="Z116" s="141"/>
      <c r="AA116" s="446">
        <f t="shared" si="12"/>
        <v>0</v>
      </c>
      <c r="AB116" s="143">
        <f t="shared" si="13"/>
        <v>0</v>
      </c>
    </row>
    <row r="117" spans="1:28" s="391" customFormat="1" ht="26.45" customHeight="1">
      <c r="A117" s="387"/>
      <c r="B117" s="386">
        <v>12</v>
      </c>
      <c r="C117" s="536" t="s">
        <v>113</v>
      </c>
      <c r="D117" s="428"/>
      <c r="E117" s="388"/>
      <c r="F117" s="428"/>
      <c r="G117" s="455"/>
      <c r="H117" s="536" t="s">
        <v>44</v>
      </c>
      <c r="I117" s="386">
        <v>1</v>
      </c>
      <c r="J117" s="386" t="s">
        <v>60</v>
      </c>
      <c r="K117" s="389" t="s">
        <v>212</v>
      </c>
      <c r="L117" s="392">
        <v>948934</v>
      </c>
      <c r="M117" s="427">
        <v>1</v>
      </c>
      <c r="N117" s="392">
        <v>948934</v>
      </c>
      <c r="O117" s="483" t="s">
        <v>455</v>
      </c>
      <c r="P117" s="511" t="s">
        <v>44</v>
      </c>
      <c r="Q117" s="389" t="s">
        <v>212</v>
      </c>
      <c r="R117" s="537">
        <f>SUM(N117:N119)</f>
        <v>1048388.77</v>
      </c>
      <c r="S117" s="485">
        <v>44582</v>
      </c>
      <c r="T117" s="477">
        <v>44911</v>
      </c>
      <c r="U117" s="537">
        <v>1048383.88</v>
      </c>
      <c r="V117" s="512">
        <f>U117-R117</f>
        <v>-4.8900000000139698</v>
      </c>
      <c r="W117" s="531" t="s">
        <v>213</v>
      </c>
      <c r="X117" s="428"/>
      <c r="Y117" s="428"/>
      <c r="Z117" s="429"/>
      <c r="AA117" s="453">
        <f t="shared" si="12"/>
        <v>0</v>
      </c>
      <c r="AB117" s="390">
        <f t="shared" si="13"/>
        <v>0</v>
      </c>
    </row>
    <row r="118" spans="1:28" s="391" customFormat="1" ht="26.45" customHeight="1">
      <c r="A118" s="387"/>
      <c r="B118" s="386">
        <v>12</v>
      </c>
      <c r="C118" s="536"/>
      <c r="D118" s="428"/>
      <c r="E118" s="388"/>
      <c r="F118" s="428"/>
      <c r="G118" s="455"/>
      <c r="H118" s="536"/>
      <c r="I118" s="386">
        <v>2</v>
      </c>
      <c r="J118" s="386" t="s">
        <v>60</v>
      </c>
      <c r="K118" s="389" t="s">
        <v>214</v>
      </c>
      <c r="L118" s="392">
        <v>94893</v>
      </c>
      <c r="M118" s="427">
        <v>1</v>
      </c>
      <c r="N118" s="392">
        <v>94893</v>
      </c>
      <c r="O118" s="483"/>
      <c r="P118" s="511"/>
      <c r="Q118" s="389" t="s">
        <v>214</v>
      </c>
      <c r="R118" s="537"/>
      <c r="S118" s="485"/>
      <c r="T118" s="478"/>
      <c r="U118" s="537"/>
      <c r="V118" s="512"/>
      <c r="W118" s="531"/>
      <c r="X118" s="428"/>
      <c r="Y118" s="428"/>
      <c r="Z118" s="429"/>
      <c r="AA118" s="453">
        <f t="shared" si="12"/>
        <v>0</v>
      </c>
      <c r="AB118" s="390">
        <f t="shared" si="13"/>
        <v>0</v>
      </c>
    </row>
    <row r="119" spans="1:28" s="391" customFormat="1" ht="26.45" customHeight="1">
      <c r="A119" s="387"/>
      <c r="B119" s="386">
        <v>12</v>
      </c>
      <c r="C119" s="536"/>
      <c r="D119" s="428"/>
      <c r="E119" s="388"/>
      <c r="F119" s="428"/>
      <c r="G119" s="455"/>
      <c r="H119" s="536"/>
      <c r="I119" s="386">
        <v>3</v>
      </c>
      <c r="J119" s="386" t="s">
        <v>62</v>
      </c>
      <c r="K119" s="389" t="s">
        <v>215</v>
      </c>
      <c r="L119" s="392">
        <v>6000</v>
      </c>
      <c r="M119" s="427">
        <v>0.76029537820000004</v>
      </c>
      <c r="N119" s="392">
        <v>4561.7700000000004</v>
      </c>
      <c r="O119" s="483"/>
      <c r="P119" s="511"/>
      <c r="Q119" s="389" t="s">
        <v>215</v>
      </c>
      <c r="R119" s="537"/>
      <c r="S119" s="485"/>
      <c r="T119" s="479"/>
      <c r="U119" s="537"/>
      <c r="V119" s="512"/>
      <c r="W119" s="531"/>
      <c r="X119" s="428"/>
      <c r="Y119" s="428"/>
      <c r="Z119" s="429"/>
      <c r="AA119" s="453">
        <f t="shared" si="12"/>
        <v>0</v>
      </c>
      <c r="AB119" s="390">
        <f t="shared" si="13"/>
        <v>0</v>
      </c>
    </row>
    <row r="120" spans="1:28" ht="26.45" customHeight="1">
      <c r="D120" s="35"/>
      <c r="E120" s="10"/>
      <c r="F120" s="6">
        <f>SUBTOTAL(9,F11:F119)</f>
        <v>1753425.56</v>
      </c>
      <c r="G120" s="36"/>
      <c r="L120" s="37"/>
      <c r="M120" s="38"/>
      <c r="N120" s="6">
        <f>SUBTOTAL(9,N11:N119)</f>
        <v>2801814.3400000003</v>
      </c>
      <c r="O120" s="39"/>
      <c r="P120" s="40"/>
      <c r="R120" s="6">
        <f>SUBTOTAL(9,R11:R119)</f>
        <v>2819011.4101320803</v>
      </c>
      <c r="T120" s="39"/>
      <c r="U120" s="6">
        <f>SUBTOTAL(9,U11:U119)</f>
        <v>2704946.55</v>
      </c>
      <c r="V120" s="62">
        <f>U120-N120</f>
        <v>-96867.790000000503</v>
      </c>
      <c r="W120" s="66"/>
      <c r="X120" s="35"/>
      <c r="Y120" s="6">
        <f>SUBTOTAL(9,Y11:Y119)</f>
        <v>1272553.1600000001</v>
      </c>
      <c r="Z120" s="5"/>
      <c r="AA120" s="64">
        <f>SUBTOTAL(9,AA11:AA116)</f>
        <v>-480872.4</v>
      </c>
      <c r="AB120" s="44"/>
    </row>
    <row r="121" spans="1:28" ht="18">
      <c r="D121" s="35"/>
      <c r="E121" s="10"/>
      <c r="F121" s="35"/>
      <c r="G121" s="36"/>
      <c r="L121" s="37"/>
      <c r="M121" s="38"/>
      <c r="N121" s="5"/>
      <c r="P121" s="40"/>
      <c r="Q121" s="17" t="s">
        <v>216</v>
      </c>
      <c r="R121" s="18">
        <f>R120-N120</f>
        <v>17197.07013208</v>
      </c>
      <c r="T121" s="39"/>
      <c r="U121" s="51">
        <f>U120-N120</f>
        <v>-96867.790000000503</v>
      </c>
      <c r="V121" s="61"/>
      <c r="W121" s="42"/>
      <c r="X121" s="35"/>
      <c r="Y121" s="66"/>
      <c r="Z121" s="37" t="s">
        <v>217</v>
      </c>
      <c r="AA121" s="65">
        <f>AA11</f>
        <v>-33908.400000000001</v>
      </c>
      <c r="AB121" s="44"/>
    </row>
    <row r="122" spans="1:28" ht="18">
      <c r="D122" s="35"/>
      <c r="E122" s="10"/>
      <c r="F122" s="35"/>
      <c r="G122" s="36"/>
      <c r="L122" s="37"/>
      <c r="M122" s="38"/>
      <c r="N122" s="5"/>
      <c r="O122" s="34"/>
      <c r="P122" s="40"/>
      <c r="Q122" s="50" t="s">
        <v>218</v>
      </c>
      <c r="R122" s="19">
        <f>SUM(R27,R32,R37,R42,R47,R48,R54,R69,R74,R98,R99)</f>
        <v>123.03999999999999</v>
      </c>
      <c r="T122" s="39"/>
      <c r="U122" s="53">
        <f>R121</f>
        <v>17197.07013208</v>
      </c>
      <c r="V122" s="61">
        <f>U122</f>
        <v>17197.07013208</v>
      </c>
      <c r="W122" s="42"/>
      <c r="X122" s="7"/>
      <c r="Y122" s="7"/>
      <c r="Z122" s="37" t="s">
        <v>219</v>
      </c>
      <c r="AA122" s="65">
        <f>SUM(AA65:AA116)</f>
        <v>-440964</v>
      </c>
      <c r="AB122" s="44"/>
    </row>
    <row r="123" spans="1:28" ht="18">
      <c r="D123" s="35"/>
      <c r="E123" s="10"/>
      <c r="F123" s="35"/>
      <c r="G123" s="36"/>
      <c r="L123" s="37"/>
      <c r="M123" s="38"/>
      <c r="N123" s="5"/>
      <c r="O123" s="41"/>
      <c r="P123" s="40"/>
      <c r="Q123" s="50" t="s">
        <v>220</v>
      </c>
      <c r="R123" s="19">
        <f>SUM(R93:R97)</f>
        <v>17074.039999999994</v>
      </c>
      <c r="T123" s="39"/>
      <c r="U123" s="53" t="e">
        <f>U128</f>
        <v>#REF!</v>
      </c>
      <c r="V123" s="61" t="e">
        <f>U123</f>
        <v>#REF!</v>
      </c>
      <c r="W123" s="42"/>
      <c r="X123" s="7"/>
      <c r="Y123" s="7"/>
      <c r="Z123" s="37" t="s">
        <v>221</v>
      </c>
      <c r="AA123" s="35">
        <f>AA44</f>
        <v>1015.9600000000064</v>
      </c>
      <c r="AB123" s="44"/>
    </row>
    <row r="124" spans="1:28" ht="18">
      <c r="D124" s="35"/>
      <c r="E124" s="10"/>
      <c r="F124" s="35"/>
      <c r="G124" s="36"/>
      <c r="L124" s="37"/>
      <c r="M124" s="38"/>
      <c r="N124" s="5"/>
      <c r="O124" s="41"/>
      <c r="P124" s="40"/>
      <c r="Q124" s="17" t="s">
        <v>222</v>
      </c>
      <c r="R124" s="18">
        <f>R121-SUM(R122:R123)</f>
        <v>-9.8679199945763685E-3</v>
      </c>
      <c r="T124" s="39"/>
      <c r="U124" s="54">
        <f>SUM(V11:V64)</f>
        <v>-129.20893768014321</v>
      </c>
      <c r="V124" s="61">
        <f>U124</f>
        <v>-129.20893768014321</v>
      </c>
      <c r="W124" s="42"/>
      <c r="X124" s="7"/>
      <c r="Y124" s="7"/>
      <c r="Z124" s="35"/>
      <c r="AA124" s="51">
        <f>AA120-SUM(AA121:AA123)</f>
        <v>-7015.960000000021</v>
      </c>
      <c r="AB124" s="44"/>
    </row>
    <row r="125" spans="1:28" ht="18">
      <c r="D125" s="35"/>
      <c r="E125" s="10"/>
      <c r="F125" s="35"/>
      <c r="G125" s="36"/>
      <c r="L125" s="37"/>
      <c r="M125" s="38"/>
      <c r="N125" s="5"/>
      <c r="O125" s="41"/>
      <c r="P125" s="40"/>
      <c r="Q125" s="7"/>
      <c r="R125" s="7"/>
      <c r="T125" s="39"/>
      <c r="U125" s="54">
        <f>SUM(U50)</f>
        <v>33152.9288056</v>
      </c>
      <c r="V125" s="61">
        <f>U125</f>
        <v>33152.9288056</v>
      </c>
      <c r="W125" s="42"/>
      <c r="X125" s="7"/>
      <c r="Y125" s="7"/>
      <c r="Z125" s="35"/>
      <c r="AA125" s="66"/>
      <c r="AB125" s="44"/>
    </row>
    <row r="126" spans="1:28" ht="18">
      <c r="D126" s="35"/>
      <c r="E126" s="10"/>
      <c r="F126" s="35"/>
      <c r="G126" s="36"/>
      <c r="L126" s="37"/>
      <c r="M126" s="38"/>
      <c r="N126" s="5"/>
      <c r="O126" s="41"/>
      <c r="P126" s="40"/>
      <c r="Q126" s="7"/>
      <c r="R126" s="7"/>
      <c r="T126" s="39"/>
      <c r="U126" s="55" t="e">
        <f>U121-SUM(U122:U125)</f>
        <v>#REF!</v>
      </c>
      <c r="V126" s="63" t="e">
        <f>V120-SUM(V121:V125)</f>
        <v>#REF!</v>
      </c>
      <c r="W126" s="371"/>
      <c r="X126" s="7"/>
      <c r="Y126" s="7"/>
      <c r="Z126" s="9"/>
      <c r="AA126" s="43"/>
      <c r="AB126" s="44"/>
    </row>
    <row r="127" spans="1:28" ht="18">
      <c r="D127" s="35"/>
      <c r="E127" s="10"/>
      <c r="F127" s="35"/>
      <c r="G127" s="36"/>
      <c r="L127" s="37"/>
      <c r="M127" s="38"/>
      <c r="N127" s="5"/>
      <c r="O127" s="41"/>
      <c r="P127" s="40"/>
      <c r="Q127" s="48" t="s">
        <v>223</v>
      </c>
      <c r="R127" s="49">
        <v>90568.04</v>
      </c>
      <c r="T127" s="39"/>
      <c r="U127" s="35"/>
      <c r="V127" s="42"/>
      <c r="W127" s="42"/>
      <c r="X127" s="35"/>
      <c r="Y127" s="35"/>
      <c r="Z127" s="9"/>
      <c r="AA127" s="43"/>
      <c r="AB127" s="44"/>
    </row>
    <row r="128" spans="1:28" ht="18">
      <c r="D128" s="35"/>
      <c r="E128" s="10"/>
      <c r="F128" s="35"/>
      <c r="G128" s="36"/>
      <c r="L128" s="37"/>
      <c r="M128" s="38"/>
      <c r="N128" s="5"/>
      <c r="O128" s="29" t="s">
        <v>219</v>
      </c>
      <c r="Q128" s="46" t="s">
        <v>224</v>
      </c>
      <c r="R128" s="47">
        <f>SUM(Q75:Q78)</f>
        <v>0</v>
      </c>
      <c r="T128" s="39"/>
      <c r="U128" s="56" t="e">
        <f>SUBTOTAL(9,U65:U116)-SUBTOTAL(9,#REF!)</f>
        <v>#REF!</v>
      </c>
      <c r="X128" s="35"/>
      <c r="Y128" s="35"/>
      <c r="Z128" s="9"/>
      <c r="AA128" s="43"/>
      <c r="AB128" s="44"/>
    </row>
    <row r="129" spans="4:28" ht="18">
      <c r="D129" s="35"/>
      <c r="E129" s="10"/>
      <c r="F129" s="35"/>
      <c r="G129" s="36"/>
      <c r="L129" s="37"/>
      <c r="M129" s="38"/>
      <c r="N129" s="5"/>
      <c r="O129" s="31">
        <v>44894</v>
      </c>
      <c r="P129" s="30" t="s">
        <v>226</v>
      </c>
      <c r="Q129" s="46" t="s">
        <v>225</v>
      </c>
      <c r="R129" s="47">
        <f>SUM(Q88:Q91)</f>
        <v>0</v>
      </c>
      <c r="T129" s="39"/>
      <c r="U129" s="57">
        <f>V65</f>
        <v>-14.910000000003492</v>
      </c>
      <c r="V129" s="33" t="s">
        <v>227</v>
      </c>
      <c r="W129" s="372"/>
      <c r="X129" s="35"/>
      <c r="Y129" s="35"/>
      <c r="Z129" s="9"/>
      <c r="AA129" s="43"/>
      <c r="AB129" s="44"/>
    </row>
    <row r="130" spans="4:28" ht="18">
      <c r="D130" s="35"/>
      <c r="E130" s="10"/>
      <c r="F130" s="35"/>
      <c r="G130" s="36"/>
      <c r="L130" s="37"/>
      <c r="M130" s="38"/>
      <c r="N130" s="5"/>
      <c r="O130" s="28"/>
      <c r="P130" s="30"/>
      <c r="Q130" s="46" t="s">
        <v>228</v>
      </c>
      <c r="R130" s="47">
        <f>SUM(R93:R97)</f>
        <v>17074.039999999994</v>
      </c>
      <c r="T130" s="39"/>
      <c r="U130" s="58">
        <f>V70</f>
        <v>-73509.05</v>
      </c>
      <c r="X130" s="35"/>
      <c r="Y130" s="35"/>
      <c r="Z130" s="9"/>
      <c r="AA130" s="43"/>
      <c r="AB130" s="44"/>
    </row>
    <row r="131" spans="4:28" ht="18">
      <c r="D131" s="35"/>
      <c r="E131" s="10"/>
      <c r="F131" s="35"/>
      <c r="G131" s="36"/>
      <c r="L131" s="37"/>
      <c r="M131" s="38"/>
      <c r="N131" s="5"/>
      <c r="O131" s="22">
        <v>44907</v>
      </c>
      <c r="P131" s="30" t="s">
        <v>229</v>
      </c>
      <c r="Q131" s="48" t="s">
        <v>222</v>
      </c>
      <c r="R131" s="49">
        <f>R127-SUM(R128:R130)</f>
        <v>73494</v>
      </c>
      <c r="T131" s="39"/>
      <c r="U131" s="57">
        <f>V80</f>
        <v>-73494</v>
      </c>
      <c r="V131" s="32" t="s">
        <v>230</v>
      </c>
      <c r="W131" s="373"/>
      <c r="X131" s="35"/>
      <c r="Y131" s="35"/>
      <c r="Z131" s="9"/>
      <c r="AA131" s="43"/>
      <c r="AB131" s="44"/>
    </row>
    <row r="132" spans="4:28" ht="18">
      <c r="D132" s="35"/>
      <c r="E132" s="10"/>
      <c r="F132" s="35"/>
      <c r="G132" s="36"/>
      <c r="L132" s="37"/>
      <c r="M132" s="38"/>
      <c r="N132" s="5"/>
      <c r="O132" s="28"/>
      <c r="Q132" s="7"/>
      <c r="R132" s="7"/>
      <c r="T132" s="39"/>
      <c r="U132" s="58">
        <f>V84</f>
        <v>-14.889999999999418</v>
      </c>
      <c r="X132" s="35"/>
      <c r="Y132" s="35"/>
      <c r="Z132" s="9"/>
      <c r="AA132" s="43"/>
      <c r="AB132" s="44"/>
    </row>
    <row r="133" spans="4:28" ht="18">
      <c r="D133" s="35"/>
      <c r="E133" s="10"/>
      <c r="F133" s="35"/>
      <c r="G133" s="36"/>
      <c r="L133" s="37"/>
      <c r="M133" s="38"/>
      <c r="N133" s="5"/>
      <c r="O133" s="31">
        <v>44900</v>
      </c>
      <c r="P133" s="30" t="s">
        <v>231</v>
      </c>
      <c r="Q133" s="45"/>
      <c r="R133" s="5"/>
      <c r="T133" s="39"/>
      <c r="U133" s="57">
        <f>V102</f>
        <v>-14.909999999999854</v>
      </c>
      <c r="V133" s="33" t="s">
        <v>232</v>
      </c>
      <c r="W133" s="372"/>
      <c r="X133" s="35"/>
      <c r="Y133" s="35"/>
      <c r="Z133" s="9"/>
      <c r="AA133" s="43"/>
      <c r="AB133" s="44"/>
    </row>
    <row r="134" spans="4:28" ht="18">
      <c r="D134" s="14"/>
      <c r="E134" s="14"/>
      <c r="F134" s="14"/>
      <c r="L134" s="34"/>
      <c r="M134" s="52"/>
      <c r="N134" s="34"/>
      <c r="O134" s="24"/>
      <c r="Q134" s="45"/>
      <c r="R134" s="5"/>
      <c r="U134" s="59">
        <f>V107</f>
        <v>-4.8199999999778811</v>
      </c>
    </row>
    <row r="135" spans="4:28" hidden="1">
      <c r="D135" s="14"/>
      <c r="E135" s="14"/>
      <c r="F135" s="14"/>
      <c r="L135" s="34"/>
      <c r="M135" s="52"/>
      <c r="N135" s="34"/>
      <c r="O135" s="26"/>
      <c r="Q135" s="7"/>
      <c r="R135" s="7"/>
      <c r="U135" s="58">
        <f>V112</f>
        <v>-15.900000000001455</v>
      </c>
      <c r="X135" s="14"/>
    </row>
    <row r="136" spans="4:28" hidden="1">
      <c r="D136" s="14"/>
      <c r="E136" s="14"/>
      <c r="F136" s="14"/>
      <c r="L136" s="34"/>
      <c r="M136" s="52"/>
      <c r="N136" s="34"/>
      <c r="O136" s="21"/>
      <c r="Q136" s="7"/>
      <c r="R136" s="7"/>
      <c r="U136" s="60">
        <f>SUM(V93,V98,V99)</f>
        <v>-15.210000000000436</v>
      </c>
      <c r="X136" s="14"/>
    </row>
    <row r="137" spans="4:28" hidden="1">
      <c r="D137" s="14"/>
      <c r="E137" s="14"/>
      <c r="F137" s="14"/>
      <c r="L137" s="34"/>
      <c r="M137" s="52"/>
      <c r="N137" s="34"/>
      <c r="R137" s="34"/>
      <c r="U137" s="16" t="e">
        <f>U128-SUM(U129:U136)</f>
        <v>#REF!</v>
      </c>
      <c r="X137" s="14"/>
    </row>
    <row r="138" spans="4:28" hidden="1">
      <c r="D138" s="14"/>
      <c r="E138" s="14"/>
      <c r="F138" s="14"/>
      <c r="L138" s="34"/>
      <c r="M138" s="52"/>
      <c r="N138" s="34"/>
      <c r="R138" s="34"/>
      <c r="U138" s="16"/>
      <c r="X138" s="14"/>
      <c r="Y138" s="14"/>
    </row>
    <row r="139" spans="4:28" ht="20.45" hidden="1" customHeight="1">
      <c r="D139" s="14"/>
      <c r="E139" s="14"/>
      <c r="F139" s="14"/>
      <c r="L139" s="34"/>
      <c r="M139" s="52"/>
      <c r="N139" s="34"/>
      <c r="Q139" s="7"/>
      <c r="R139" s="7"/>
      <c r="U139" s="8" t="e">
        <f>90563.02-SUM(#REF!)-SUM(#REF!)-#REF!-#REF!</f>
        <v>#REF!</v>
      </c>
      <c r="X139" s="14"/>
      <c r="Y139" s="14"/>
    </row>
    <row r="140" spans="4:28" hidden="1">
      <c r="D140" s="14"/>
      <c r="E140" s="14"/>
      <c r="F140" s="14"/>
      <c r="L140" s="34"/>
      <c r="M140" s="52"/>
      <c r="N140" s="34"/>
      <c r="Q140" s="7"/>
      <c r="R140" s="7"/>
      <c r="X140" s="14"/>
    </row>
    <row r="141" spans="4:28" ht="16.5" hidden="1">
      <c r="D141" s="14"/>
      <c r="E141" s="14"/>
      <c r="F141" s="14"/>
      <c r="J141"/>
      <c r="K141" s="15"/>
      <c r="L141" s="34"/>
      <c r="M141" s="52"/>
      <c r="N141" s="34"/>
      <c r="Q141" s="7"/>
      <c r="R141" s="7"/>
    </row>
    <row r="142" spans="4:28" ht="16.5" hidden="1">
      <c r="J142"/>
      <c r="K142" s="15"/>
      <c r="Q142" s="7"/>
      <c r="R142" s="7"/>
    </row>
    <row r="143" spans="4:28" ht="16.5" hidden="1">
      <c r="J143"/>
      <c r="K143" s="15"/>
      <c r="Q143" s="7"/>
      <c r="R143" s="7"/>
    </row>
    <row r="144" spans="4:28" ht="16.5" hidden="1">
      <c r="J144"/>
      <c r="K144" s="15"/>
    </row>
    <row r="145" spans="10:11" ht="16.5" hidden="1">
      <c r="J145"/>
      <c r="K145" s="15"/>
    </row>
    <row r="146" spans="10:11" ht="16.5" hidden="1">
      <c r="J146"/>
      <c r="K146" s="15"/>
    </row>
    <row r="147" spans="10:11" ht="16.5" hidden="1">
      <c r="J147"/>
      <c r="K147" s="15"/>
    </row>
    <row r="148" spans="10:11" ht="16.5" hidden="1">
      <c r="J148"/>
      <c r="K148" s="15"/>
    </row>
    <row r="149" spans="10:11" ht="16.5" hidden="1">
      <c r="J149"/>
      <c r="K149" s="15"/>
    </row>
    <row r="150" spans="10:11" ht="16.5" hidden="1">
      <c r="J150"/>
      <c r="K150" s="15"/>
    </row>
    <row r="151" spans="10:11" ht="16.5" hidden="1">
      <c r="J151"/>
    </row>
    <row r="152" spans="10:11" ht="16.5">
      <c r="J152"/>
    </row>
    <row r="153" spans="10:11" ht="16.5">
      <c r="J153"/>
    </row>
    <row r="154" spans="10:11" ht="16.5">
      <c r="J154"/>
    </row>
    <row r="155" spans="10:11" ht="16.5">
      <c r="J155"/>
    </row>
    <row r="156" spans="10:11" ht="16.5">
      <c r="J156"/>
    </row>
    <row r="157" spans="10:11" ht="16.5">
      <c r="J157"/>
    </row>
    <row r="158" spans="10:11" ht="16.5">
      <c r="J158"/>
    </row>
    <row r="159" spans="10:11" ht="16.5">
      <c r="J159"/>
    </row>
    <row r="160" spans="10:11" ht="16.5">
      <c r="J160"/>
    </row>
    <row r="161" spans="10:10" ht="16.5">
      <c r="J161"/>
    </row>
    <row r="162" spans="10:10" ht="16.5">
      <c r="J162"/>
    </row>
    <row r="163" spans="10:10" ht="16.5">
      <c r="J163"/>
    </row>
    <row r="164" spans="10:10" ht="16.5">
      <c r="J164"/>
    </row>
    <row r="165" spans="10:10" ht="16.5">
      <c r="J165"/>
    </row>
    <row r="166" spans="10:10" ht="16.5">
      <c r="J166"/>
    </row>
    <row r="167" spans="10:10" ht="16.5">
      <c r="J167"/>
    </row>
    <row r="168" spans="10:10" ht="16.5">
      <c r="J168"/>
    </row>
    <row r="169" spans="10:10" ht="16.5">
      <c r="J169"/>
    </row>
  </sheetData>
  <autoFilter ref="B2:AB134" xr:uid="{00000000-0009-0000-0000-000002000000}"/>
  <mergeCells count="169">
    <mergeCell ref="C117:C119"/>
    <mergeCell ref="H117:H119"/>
    <mergeCell ref="V117:V119"/>
    <mergeCell ref="U117:U119"/>
    <mergeCell ref="P117:P119"/>
    <mergeCell ref="R117:R119"/>
    <mergeCell ref="W117:W119"/>
    <mergeCell ref="W65:W69"/>
    <mergeCell ref="W70:W74"/>
    <mergeCell ref="W75:W79"/>
    <mergeCell ref="W80:W83"/>
    <mergeCell ref="W84:W87"/>
    <mergeCell ref="W88:W92"/>
    <mergeCell ref="W93:W97"/>
    <mergeCell ref="W102:W106"/>
    <mergeCell ref="W107:W111"/>
    <mergeCell ref="W112:W116"/>
    <mergeCell ref="P6:P10"/>
    <mergeCell ref="V6:V10"/>
    <mergeCell ref="P15:P18"/>
    <mergeCell ref="U15:U18"/>
    <mergeCell ref="V15:V18"/>
    <mergeCell ref="AA11:AA13"/>
    <mergeCell ref="B1:C1"/>
    <mergeCell ref="D1:G1"/>
    <mergeCell ref="H1:N1"/>
    <mergeCell ref="X1:AA1"/>
    <mergeCell ref="U6:U10"/>
    <mergeCell ref="P3:P5"/>
    <mergeCell ref="U3:U5"/>
    <mergeCell ref="V3:V5"/>
    <mergeCell ref="P11:P14"/>
    <mergeCell ref="U11:U14"/>
    <mergeCell ref="V11:V14"/>
    <mergeCell ref="P29:P33"/>
    <mergeCell ref="U29:U33"/>
    <mergeCell ref="V29:V33"/>
    <mergeCell ref="P34:P38"/>
    <mergeCell ref="U34:U38"/>
    <mergeCell ref="V34:V38"/>
    <mergeCell ref="P19:P22"/>
    <mergeCell ref="U19:U22"/>
    <mergeCell ref="V19:V22"/>
    <mergeCell ref="P23:P28"/>
    <mergeCell ref="U23:U28"/>
    <mergeCell ref="V23:V28"/>
    <mergeCell ref="P39:P43"/>
    <mergeCell ref="U39:U43"/>
    <mergeCell ref="V39:V43"/>
    <mergeCell ref="U44:U49"/>
    <mergeCell ref="V44:V49"/>
    <mergeCell ref="P56:P58"/>
    <mergeCell ref="U56:U58"/>
    <mergeCell ref="V56:V58"/>
    <mergeCell ref="O44:O49"/>
    <mergeCell ref="O51:O55"/>
    <mergeCell ref="O56:O58"/>
    <mergeCell ref="T44:T49"/>
    <mergeCell ref="T51:T55"/>
    <mergeCell ref="T56:T58"/>
    <mergeCell ref="P51:P55"/>
    <mergeCell ref="P44:P49"/>
    <mergeCell ref="U51:U55"/>
    <mergeCell ref="V51:V55"/>
    <mergeCell ref="U70:U74"/>
    <mergeCell ref="V70:V74"/>
    <mergeCell ref="P75:P78"/>
    <mergeCell ref="V75:V78"/>
    <mergeCell ref="O70:O74"/>
    <mergeCell ref="O75:O78"/>
    <mergeCell ref="T70:T74"/>
    <mergeCell ref="T75:T78"/>
    <mergeCell ref="P65:P69"/>
    <mergeCell ref="U65:U69"/>
    <mergeCell ref="V65:V69"/>
    <mergeCell ref="O65:O69"/>
    <mergeCell ref="T65:T69"/>
    <mergeCell ref="U80:U83"/>
    <mergeCell ref="V80:V83"/>
    <mergeCell ref="P84:P87"/>
    <mergeCell ref="U84:U87"/>
    <mergeCell ref="V84:V87"/>
    <mergeCell ref="O80:O83"/>
    <mergeCell ref="O84:O87"/>
    <mergeCell ref="T80:T83"/>
    <mergeCell ref="T84:T87"/>
    <mergeCell ref="U112:U116"/>
    <mergeCell ref="V112:V116"/>
    <mergeCell ref="P102:P106"/>
    <mergeCell ref="U102:U106"/>
    <mergeCell ref="V102:V106"/>
    <mergeCell ref="P107:P111"/>
    <mergeCell ref="U107:U111"/>
    <mergeCell ref="V107:V111"/>
    <mergeCell ref="P88:P91"/>
    <mergeCell ref="V88:V91"/>
    <mergeCell ref="P93:P96"/>
    <mergeCell ref="V93:V96"/>
    <mergeCell ref="T88:T91"/>
    <mergeCell ref="T93:T96"/>
    <mergeCell ref="T102:T106"/>
    <mergeCell ref="T107:T111"/>
    <mergeCell ref="O1:W1"/>
    <mergeCell ref="W59:W61"/>
    <mergeCell ref="W62:W64"/>
    <mergeCell ref="W3:W5"/>
    <mergeCell ref="W6:W10"/>
    <mergeCell ref="W11:W14"/>
    <mergeCell ref="W15:W18"/>
    <mergeCell ref="W19:W22"/>
    <mergeCell ref="W23:W28"/>
    <mergeCell ref="W29:W33"/>
    <mergeCell ref="W34:W38"/>
    <mergeCell ref="W39:W43"/>
    <mergeCell ref="W44:W49"/>
    <mergeCell ref="W51:W55"/>
    <mergeCell ref="W56:W58"/>
    <mergeCell ref="P62:P64"/>
    <mergeCell ref="P59:P61"/>
    <mergeCell ref="U59:U61"/>
    <mergeCell ref="V59:V61"/>
    <mergeCell ref="V62:V64"/>
    <mergeCell ref="U62:U64"/>
    <mergeCell ref="O59:O61"/>
    <mergeCell ref="O62:O64"/>
    <mergeCell ref="T59:T61"/>
    <mergeCell ref="O3:O5"/>
    <mergeCell ref="O6:O10"/>
    <mergeCell ref="O11:O14"/>
    <mergeCell ref="O15:O18"/>
    <mergeCell ref="O19:O22"/>
    <mergeCell ref="O23:O28"/>
    <mergeCell ref="O29:O33"/>
    <mergeCell ref="O34:O38"/>
    <mergeCell ref="O39:O43"/>
    <mergeCell ref="O112:O116"/>
    <mergeCell ref="O117:O119"/>
    <mergeCell ref="S65:S69"/>
    <mergeCell ref="S70:S74"/>
    <mergeCell ref="S75:S79"/>
    <mergeCell ref="S80:S83"/>
    <mergeCell ref="S84:S87"/>
    <mergeCell ref="S88:S91"/>
    <mergeCell ref="S93:S96"/>
    <mergeCell ref="S97:S99"/>
    <mergeCell ref="S100:S101"/>
    <mergeCell ref="S102:S106"/>
    <mergeCell ref="S107:S111"/>
    <mergeCell ref="S112:S116"/>
    <mergeCell ref="S117:S119"/>
    <mergeCell ref="P112:P116"/>
    <mergeCell ref="O88:O91"/>
    <mergeCell ref="O93:O96"/>
    <mergeCell ref="O102:O106"/>
    <mergeCell ref="O107:O111"/>
    <mergeCell ref="P80:P83"/>
    <mergeCell ref="P70:P74"/>
    <mergeCell ref="T112:T116"/>
    <mergeCell ref="T117:T119"/>
    <mergeCell ref="T3:T5"/>
    <mergeCell ref="T6:T10"/>
    <mergeCell ref="T11:T14"/>
    <mergeCell ref="T15:T18"/>
    <mergeCell ref="T19:T22"/>
    <mergeCell ref="T23:T28"/>
    <mergeCell ref="T29:T33"/>
    <mergeCell ref="T34:T38"/>
    <mergeCell ref="T39:T43"/>
    <mergeCell ref="T62:T64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H22"/>
  <sheetViews>
    <sheetView showGridLines="0" zoomScale="70" zoomScaleNormal="70" workbookViewId="0">
      <selection activeCell="E10" sqref="E10"/>
    </sheetView>
  </sheetViews>
  <sheetFormatPr defaultColWidth="8.75" defaultRowHeight="15"/>
  <cols>
    <col min="1" max="1" width="8.875" style="233" bestFit="1" customWidth="1"/>
    <col min="2" max="2" width="8.75" style="233"/>
    <col min="3" max="3" width="29.375" style="233" bestFit="1" customWidth="1"/>
    <col min="4" max="4" width="49.625" style="233" customWidth="1"/>
    <col min="5" max="5" width="16" style="233" customWidth="1"/>
    <col min="6" max="6" width="15.875" style="233" bestFit="1" customWidth="1"/>
    <col min="7" max="7" width="20.375" style="233" bestFit="1" customWidth="1"/>
    <col min="8" max="16384" width="8.75" style="233"/>
  </cols>
  <sheetData>
    <row r="1" spans="1:8" ht="36.6" customHeight="1">
      <c r="A1" s="406" t="s">
        <v>233</v>
      </c>
      <c r="B1" s="406"/>
      <c r="G1" s="407" t="s">
        <v>234</v>
      </c>
    </row>
    <row r="2" spans="1:8" ht="31.5">
      <c r="A2" s="408" t="s">
        <v>235</v>
      </c>
      <c r="B2" s="408" t="s">
        <v>81</v>
      </c>
      <c r="C2" s="408" t="s">
        <v>236</v>
      </c>
      <c r="D2" s="408" t="s">
        <v>92</v>
      </c>
      <c r="E2" s="408" t="s">
        <v>237</v>
      </c>
      <c r="F2" s="408" t="s">
        <v>238</v>
      </c>
      <c r="G2" s="408" t="s">
        <v>239</v>
      </c>
    </row>
    <row r="3" spans="1:8" ht="15.75">
      <c r="A3" s="409">
        <v>10</v>
      </c>
      <c r="B3" s="409" t="s">
        <v>240</v>
      </c>
      <c r="C3" s="409"/>
      <c r="D3" s="410" t="s">
        <v>241</v>
      </c>
      <c r="E3" s="411"/>
      <c r="F3" s="411">
        <v>60771.14</v>
      </c>
      <c r="G3" s="412">
        <f>F3</f>
        <v>60771.14</v>
      </c>
    </row>
    <row r="4" spans="1:8" ht="15.75">
      <c r="A4" s="409">
        <v>10</v>
      </c>
      <c r="B4" s="409" t="s">
        <v>242</v>
      </c>
      <c r="C4" s="420" t="str">
        <f>'Report_MC#18'!I15</f>
        <v>TPE-UPG10-KT-20220118</v>
      </c>
      <c r="D4" s="410" t="s">
        <v>243</v>
      </c>
      <c r="E4" s="411">
        <f>'Report_MC#18'!J15</f>
        <v>27607.451194399997</v>
      </c>
      <c r="F4" s="411"/>
      <c r="G4" s="413">
        <f>G3-E4+F4</f>
        <v>33163.688805600003</v>
      </c>
    </row>
    <row r="5" spans="1:8" ht="15.75">
      <c r="A5" s="414"/>
      <c r="B5" s="414"/>
      <c r="C5" s="415"/>
      <c r="D5" s="410"/>
      <c r="E5" s="411"/>
      <c r="F5" s="411"/>
      <c r="G5" s="413"/>
    </row>
    <row r="6" spans="1:8" ht="15.75">
      <c r="A6" s="538" t="s">
        <v>244</v>
      </c>
      <c r="B6" s="538"/>
      <c r="C6" s="538"/>
      <c r="D6" s="538"/>
      <c r="E6" s="538"/>
      <c r="F6" s="538"/>
      <c r="G6" s="419">
        <f>G4</f>
        <v>33163.688805600003</v>
      </c>
    </row>
    <row r="8" spans="1:8" ht="31.5">
      <c r="A8" s="408" t="s">
        <v>235</v>
      </c>
      <c r="B8" s="408" t="s">
        <v>81</v>
      </c>
      <c r="C8" s="408" t="s">
        <v>236</v>
      </c>
      <c r="D8" s="408" t="s">
        <v>92</v>
      </c>
      <c r="E8" s="408" t="s">
        <v>245</v>
      </c>
      <c r="F8" s="408" t="s">
        <v>238</v>
      </c>
      <c r="G8" s="408" t="s">
        <v>239</v>
      </c>
    </row>
    <row r="9" spans="1:8" ht="15.75">
      <c r="A9" s="409">
        <v>11</v>
      </c>
      <c r="B9" s="409" t="s">
        <v>246</v>
      </c>
      <c r="C9" s="416"/>
      <c r="D9" s="410" t="s">
        <v>241</v>
      </c>
      <c r="E9" s="411"/>
      <c r="F9" s="411">
        <v>90563.02</v>
      </c>
      <c r="G9" s="412">
        <f>F9</f>
        <v>90563.02</v>
      </c>
    </row>
    <row r="10" spans="1:8" ht="15.75">
      <c r="A10" s="409">
        <v>11</v>
      </c>
      <c r="B10" s="409" t="s">
        <v>247</v>
      </c>
      <c r="C10" s="420" t="str">
        <f>'Report_MC#18'!I23</f>
        <v>TPE-UPG11-KT-20220701</v>
      </c>
      <c r="D10" s="410"/>
      <c r="E10" s="411">
        <f>'Report_MC#18'!J23</f>
        <v>36747</v>
      </c>
      <c r="F10" s="411"/>
      <c r="G10" s="413">
        <f>G9-E10+F10</f>
        <v>53816.020000000004</v>
      </c>
    </row>
    <row r="11" spans="1:8" ht="15.75">
      <c r="A11" s="417">
        <v>11</v>
      </c>
      <c r="B11" s="417" t="s">
        <v>248</v>
      </c>
      <c r="C11" s="421" t="str">
        <f>'Report_MC#18'!I27</f>
        <v>TPE-UPG11-KT-20220701</v>
      </c>
      <c r="D11" s="410"/>
      <c r="E11" s="411">
        <f>'Report_MC#18'!J27</f>
        <v>36747</v>
      </c>
      <c r="F11" s="411"/>
      <c r="G11" s="413">
        <f>G10-E11+F11</f>
        <v>17069.020000000004</v>
      </c>
    </row>
    <row r="12" spans="1:8" ht="15.75">
      <c r="A12" s="414"/>
      <c r="B12" s="414"/>
      <c r="C12" s="415"/>
      <c r="D12" s="410"/>
      <c r="E12" s="411"/>
      <c r="F12" s="411"/>
      <c r="G12" s="413"/>
    </row>
    <row r="13" spans="1:8" ht="15.75">
      <c r="A13" s="538" t="s">
        <v>244</v>
      </c>
      <c r="B13" s="538"/>
      <c r="C13" s="538"/>
      <c r="D13" s="538"/>
      <c r="E13" s="538"/>
      <c r="F13" s="538"/>
      <c r="G13" s="419">
        <f>G11</f>
        <v>17069.020000000004</v>
      </c>
    </row>
    <row r="15" spans="1:8" ht="31.5">
      <c r="A15" s="408" t="s">
        <v>235</v>
      </c>
      <c r="B15" s="408" t="s">
        <v>81</v>
      </c>
      <c r="C15" s="408" t="s">
        <v>236</v>
      </c>
      <c r="D15" s="408" t="s">
        <v>92</v>
      </c>
      <c r="E15" s="408" t="s">
        <v>245</v>
      </c>
      <c r="F15" s="408" t="s">
        <v>238</v>
      </c>
      <c r="G15" s="408" t="s">
        <v>239</v>
      </c>
    </row>
    <row r="16" spans="1:8" ht="15.75">
      <c r="A16" s="409">
        <v>12</v>
      </c>
      <c r="B16" s="409" t="s">
        <v>249</v>
      </c>
      <c r="C16" s="409"/>
      <c r="D16" s="410" t="s">
        <v>250</v>
      </c>
      <c r="E16" s="411"/>
      <c r="F16" s="411">
        <v>1048383.88</v>
      </c>
      <c r="G16" s="412">
        <f>F16</f>
        <v>1048383.88</v>
      </c>
      <c r="H16" s="422"/>
    </row>
    <row r="17" spans="1:7" ht="15.75">
      <c r="A17" s="409"/>
      <c r="B17" s="409"/>
      <c r="C17" s="420"/>
      <c r="D17" s="410"/>
      <c r="E17" s="411"/>
      <c r="F17" s="411"/>
      <c r="G17" s="413"/>
    </row>
    <row r="18" spans="1:7" ht="15.75">
      <c r="A18" s="414"/>
      <c r="B18" s="414"/>
      <c r="C18" s="415"/>
      <c r="D18" s="410"/>
      <c r="E18" s="411"/>
      <c r="F18" s="411"/>
      <c r="G18" s="413"/>
    </row>
    <row r="19" spans="1:7" ht="15.75">
      <c r="A19" s="538" t="s">
        <v>244</v>
      </c>
      <c r="B19" s="538"/>
      <c r="C19" s="538"/>
      <c r="D19" s="538"/>
      <c r="E19" s="538"/>
      <c r="F19" s="538"/>
      <c r="G19" s="419">
        <f>G16</f>
        <v>1048383.88</v>
      </c>
    </row>
    <row r="20" spans="1:7" ht="15.75" thickBot="1"/>
    <row r="21" spans="1:7" ht="24" customHeight="1" thickTop="1" thickBot="1">
      <c r="E21" s="539" t="s">
        <v>251</v>
      </c>
      <c r="F21" s="540"/>
      <c r="G21" s="418">
        <f>SUM(G6,G13,G19)</f>
        <v>1098616.5888056001</v>
      </c>
    </row>
    <row r="22" spans="1:7" ht="15.75" thickTop="1"/>
  </sheetData>
  <mergeCells count="4">
    <mergeCell ref="A6:F6"/>
    <mergeCell ref="A13:F13"/>
    <mergeCell ref="E21:F21"/>
    <mergeCell ref="A19:F19"/>
  </mergeCells>
  <phoneticPr fontId="5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E6"/>
  <sheetViews>
    <sheetView showGridLines="0" workbookViewId="0">
      <selection activeCell="E2" sqref="E2"/>
    </sheetView>
  </sheetViews>
  <sheetFormatPr defaultRowHeight="16.5"/>
  <cols>
    <col min="5" max="5" width="13.875" bestFit="1" customWidth="1"/>
  </cols>
  <sheetData>
    <row r="1" spans="4:5" ht="33.950000000000003" customHeight="1">
      <c r="D1" s="297" t="s">
        <v>252</v>
      </c>
      <c r="E1" s="298">
        <f>SUM(E2:E5)</f>
        <v>33908.3999999999</v>
      </c>
    </row>
    <row r="2" spans="4:5">
      <c r="D2" s="295" t="s">
        <v>118</v>
      </c>
      <c r="E2" s="296">
        <v>6781.68</v>
      </c>
    </row>
    <row r="3" spans="4:5">
      <c r="D3" s="295" t="s">
        <v>126</v>
      </c>
      <c r="E3" s="296">
        <v>2260.5713028</v>
      </c>
    </row>
    <row r="4" spans="4:5">
      <c r="D4" s="295" t="s">
        <v>62</v>
      </c>
      <c r="E4" s="296">
        <f>24866.1486971999</f>
        <v>24866.1486971999</v>
      </c>
    </row>
    <row r="5" spans="4:5">
      <c r="D5" s="295"/>
      <c r="E5" s="296"/>
    </row>
    <row r="6" spans="4:5">
      <c r="D6" s="233"/>
      <c r="E6" s="296">
        <v>6000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J68"/>
  <sheetViews>
    <sheetView topLeftCell="J1" zoomScale="85" zoomScaleNormal="85" workbookViewId="0">
      <pane xSplit="7" ySplit="2" topLeftCell="AF3" activePane="bottomRight" state="frozen"/>
      <selection pane="topRight" activeCell="Q1" sqref="Q1"/>
      <selection pane="bottomLeft" activeCell="J3" sqref="J3"/>
      <selection pane="bottomRight" activeCell="AG36" sqref="AG36"/>
    </sheetView>
  </sheetViews>
  <sheetFormatPr defaultColWidth="8.75" defaultRowHeight="15.75"/>
  <cols>
    <col min="1" max="2" width="6.875" style="68" customWidth="1"/>
    <col min="3" max="3" width="5.125" style="68" customWidth="1"/>
    <col min="4" max="4" width="6.125" style="68" customWidth="1"/>
    <col min="5" max="5" width="7.375" style="68" customWidth="1"/>
    <col min="6" max="6" width="6" style="68" customWidth="1"/>
    <col min="7" max="7" width="5.375" style="68" customWidth="1"/>
    <col min="8" max="8" width="6.625" style="68" customWidth="1"/>
    <col min="9" max="9" width="9.125" style="68" customWidth="1"/>
    <col min="10" max="10" width="13.625" style="68" customWidth="1"/>
    <col min="11" max="11" width="9.125" style="68" customWidth="1"/>
    <col min="12" max="12" width="12.75" style="69" customWidth="1"/>
    <col min="13" max="13" width="4.875" style="68" customWidth="1"/>
    <col min="14" max="14" width="44.875" style="68" customWidth="1"/>
    <col min="15" max="15" width="5.875" style="68" customWidth="1"/>
    <col min="16" max="16" width="18" style="70" bestFit="1" customWidth="1"/>
    <col min="17" max="17" width="12.5" style="68" customWidth="1"/>
    <col min="18" max="18" width="12.125" style="68" customWidth="1"/>
    <col min="19" max="19" width="12.875" style="68" customWidth="1"/>
    <col min="20" max="20" width="9.5" style="68" customWidth="1"/>
    <col min="21" max="21" width="14" style="68" bestFit="1" customWidth="1"/>
    <col min="22" max="22" width="14.75" style="68" bestFit="1" customWidth="1"/>
    <col min="23" max="23" width="9.5" style="68" customWidth="1"/>
    <col min="24" max="24" width="12.125" style="68" customWidth="1"/>
    <col min="25" max="25" width="18.75" style="68" bestFit="1" customWidth="1"/>
    <col min="26" max="26" width="6" style="170" customWidth="1"/>
    <col min="27" max="27" width="12.125" style="68" customWidth="1"/>
    <col min="28" max="28" width="13.375" style="68" customWidth="1"/>
    <col min="29" max="29" width="8" style="68" customWidth="1"/>
    <col min="30" max="30" width="12.125" style="68" customWidth="1"/>
    <col min="31" max="31" width="14.75" style="68" bestFit="1" customWidth="1"/>
    <col min="32" max="32" width="8.25" style="68" customWidth="1"/>
    <col min="33" max="33" width="51.5" style="68" bestFit="1" customWidth="1"/>
    <col min="34" max="34" width="9.5" style="68" customWidth="1"/>
    <col min="35" max="35" width="13.125" style="68" customWidth="1"/>
    <col min="36" max="36" width="34.25" style="68" bestFit="1" customWidth="1"/>
    <col min="37" max="16384" width="8.75" style="68"/>
  </cols>
  <sheetData>
    <row r="1" spans="1:36">
      <c r="R1" s="541" t="s">
        <v>253</v>
      </c>
      <c r="S1" s="542"/>
      <c r="T1" s="543"/>
      <c r="U1" s="545" t="s">
        <v>254</v>
      </c>
      <c r="V1" s="546"/>
      <c r="W1" s="547"/>
      <c r="X1" s="544" t="s">
        <v>255</v>
      </c>
      <c r="Y1" s="544"/>
      <c r="Z1" s="544"/>
      <c r="AA1" s="544" t="s">
        <v>256</v>
      </c>
      <c r="AB1" s="544"/>
      <c r="AC1" s="544"/>
      <c r="AD1" s="544" t="s">
        <v>257</v>
      </c>
      <c r="AE1" s="544"/>
      <c r="AF1" s="544"/>
    </row>
    <row r="2" spans="1:36" ht="30" customHeight="1">
      <c r="A2" s="71" t="s">
        <v>258</v>
      </c>
      <c r="B2" s="71" t="s">
        <v>259</v>
      </c>
      <c r="C2" s="71" t="s">
        <v>260</v>
      </c>
      <c r="D2" s="71" t="s">
        <v>261</v>
      </c>
      <c r="E2" s="71" t="s">
        <v>262</v>
      </c>
      <c r="F2" s="71" t="s">
        <v>263</v>
      </c>
      <c r="G2" s="71" t="s">
        <v>264</v>
      </c>
      <c r="H2" s="71" t="s">
        <v>265</v>
      </c>
      <c r="I2" s="71" t="s">
        <v>266</v>
      </c>
      <c r="J2" s="71" t="s">
        <v>267</v>
      </c>
      <c r="K2" s="71" t="s">
        <v>268</v>
      </c>
      <c r="L2" s="72" t="s">
        <v>269</v>
      </c>
      <c r="M2" s="71" t="s">
        <v>270</v>
      </c>
      <c r="N2" s="71" t="s">
        <v>271</v>
      </c>
      <c r="O2" s="71" t="s">
        <v>272</v>
      </c>
      <c r="P2" s="73" t="s">
        <v>273</v>
      </c>
      <c r="Q2" s="74" t="s">
        <v>274</v>
      </c>
      <c r="R2" s="163" t="s">
        <v>275</v>
      </c>
      <c r="S2" s="163" t="s">
        <v>276</v>
      </c>
      <c r="T2" s="163"/>
      <c r="U2" s="75" t="s">
        <v>275</v>
      </c>
      <c r="V2" s="75" t="s">
        <v>276</v>
      </c>
      <c r="W2" s="76"/>
      <c r="X2" s="75" t="s">
        <v>275</v>
      </c>
      <c r="Y2" s="75" t="s">
        <v>276</v>
      </c>
      <c r="Z2" s="165"/>
      <c r="AA2" s="75" t="s">
        <v>275</v>
      </c>
      <c r="AB2" s="75" t="s">
        <v>276</v>
      </c>
      <c r="AC2" s="77"/>
      <c r="AD2" s="75" t="s">
        <v>275</v>
      </c>
      <c r="AE2" s="75" t="s">
        <v>276</v>
      </c>
      <c r="AF2" s="77"/>
      <c r="AG2" s="71" t="s">
        <v>277</v>
      </c>
      <c r="AH2" s="71" t="s">
        <v>278</v>
      </c>
      <c r="AI2" s="71" t="s">
        <v>279</v>
      </c>
      <c r="AJ2" s="71" t="s">
        <v>280</v>
      </c>
    </row>
    <row r="3" spans="1:36" s="85" customFormat="1" hidden="1">
      <c r="A3" s="78">
        <v>111</v>
      </c>
      <c r="B3" s="79" t="s">
        <v>281</v>
      </c>
      <c r="C3" s="79" t="s">
        <v>282</v>
      </c>
      <c r="D3" s="78">
        <v>2533</v>
      </c>
      <c r="E3" s="78">
        <v>2546</v>
      </c>
      <c r="F3" s="78">
        <v>111</v>
      </c>
      <c r="G3" s="78">
        <v>7</v>
      </c>
      <c r="H3" s="78">
        <v>25</v>
      </c>
      <c r="I3" s="79" t="s">
        <v>283</v>
      </c>
      <c r="J3" s="79" t="s">
        <v>284</v>
      </c>
      <c r="K3" s="79" t="s">
        <v>285</v>
      </c>
      <c r="L3" s="80">
        <v>177726</v>
      </c>
      <c r="M3" s="79" t="s">
        <v>286</v>
      </c>
      <c r="N3" s="79" t="s">
        <v>287</v>
      </c>
      <c r="O3" s="79" t="s">
        <v>288</v>
      </c>
      <c r="P3" s="172">
        <v>6000</v>
      </c>
      <c r="Q3" s="82"/>
      <c r="R3" s="82"/>
      <c r="S3" s="82"/>
      <c r="T3" s="82"/>
      <c r="U3" s="82"/>
      <c r="V3" s="82"/>
      <c r="W3" s="82"/>
      <c r="X3" s="82"/>
      <c r="Y3" s="82"/>
      <c r="Z3" s="173"/>
      <c r="AA3" s="82"/>
      <c r="AB3" s="82"/>
      <c r="AC3" s="82"/>
      <c r="AD3" s="82"/>
      <c r="AE3" s="82"/>
      <c r="AF3" s="82"/>
      <c r="AG3" s="84" t="s">
        <v>289</v>
      </c>
      <c r="AH3" s="79" t="s">
        <v>290</v>
      </c>
      <c r="AI3" s="78">
        <v>-177726</v>
      </c>
      <c r="AJ3" s="79" t="s">
        <v>291</v>
      </c>
    </row>
    <row r="4" spans="1:36" s="85" customFormat="1" hidden="1">
      <c r="A4" s="78">
        <v>109</v>
      </c>
      <c r="B4" s="79" t="s">
        <v>281</v>
      </c>
      <c r="C4" s="79" t="s">
        <v>282</v>
      </c>
      <c r="D4" s="78">
        <v>124</v>
      </c>
      <c r="E4" s="78">
        <v>125</v>
      </c>
      <c r="F4" s="78">
        <v>109</v>
      </c>
      <c r="G4" s="78">
        <v>1</v>
      </c>
      <c r="H4" s="78">
        <v>8</v>
      </c>
      <c r="I4" s="79" t="s">
        <v>283</v>
      </c>
      <c r="J4" s="79" t="s">
        <v>284</v>
      </c>
      <c r="K4" s="79" t="s">
        <v>292</v>
      </c>
      <c r="L4" s="80">
        <v>866734</v>
      </c>
      <c r="M4" s="79" t="s">
        <v>293</v>
      </c>
      <c r="N4" s="79" t="s">
        <v>287</v>
      </c>
      <c r="O4" s="79" t="s">
        <v>294</v>
      </c>
      <c r="P4" s="172">
        <v>0</v>
      </c>
      <c r="Q4" s="82"/>
      <c r="R4" s="82"/>
      <c r="S4" s="82"/>
      <c r="T4" s="82"/>
      <c r="U4" s="82"/>
      <c r="V4" s="82"/>
      <c r="W4" s="82"/>
      <c r="X4" s="82"/>
      <c r="Y4" s="82"/>
      <c r="Z4" s="173"/>
      <c r="AA4" s="82"/>
      <c r="AB4" s="82"/>
      <c r="AC4" s="82"/>
      <c r="AD4" s="82"/>
      <c r="AE4" s="82"/>
      <c r="AF4" s="82"/>
      <c r="AG4" s="84" t="s">
        <v>295</v>
      </c>
      <c r="AH4" s="79" t="s">
        <v>290</v>
      </c>
      <c r="AI4" s="78">
        <v>866734</v>
      </c>
      <c r="AJ4" s="79" t="s">
        <v>291</v>
      </c>
    </row>
    <row r="5" spans="1:36" s="85" customFormat="1" hidden="1">
      <c r="A5" s="78">
        <v>109</v>
      </c>
      <c r="B5" s="79" t="s">
        <v>281</v>
      </c>
      <c r="C5" s="79" t="s">
        <v>282</v>
      </c>
      <c r="D5" s="78">
        <v>343</v>
      </c>
      <c r="E5" s="78">
        <v>301</v>
      </c>
      <c r="F5" s="78">
        <v>109</v>
      </c>
      <c r="G5" s="78">
        <v>1</v>
      </c>
      <c r="H5" s="78">
        <v>15</v>
      </c>
      <c r="I5" s="79" t="s">
        <v>283</v>
      </c>
      <c r="J5" s="79" t="s">
        <v>284</v>
      </c>
      <c r="K5" s="79" t="s">
        <v>285</v>
      </c>
      <c r="L5" s="80">
        <v>1254163</v>
      </c>
      <c r="M5" s="79" t="s">
        <v>293</v>
      </c>
      <c r="N5" s="79" t="s">
        <v>296</v>
      </c>
      <c r="O5" s="79" t="s">
        <v>288</v>
      </c>
      <c r="P5" s="172">
        <v>41138.980000000003</v>
      </c>
      <c r="Q5" s="82"/>
      <c r="R5" s="82"/>
      <c r="S5" s="82"/>
      <c r="T5" s="82"/>
      <c r="U5" s="82"/>
      <c r="V5" s="82"/>
      <c r="W5" s="82"/>
      <c r="X5" s="82"/>
      <c r="Y5" s="82"/>
      <c r="Z5" s="173"/>
      <c r="AA5" s="82"/>
      <c r="AB5" s="82"/>
      <c r="AC5" s="82"/>
      <c r="AD5" s="82"/>
      <c r="AE5" s="82"/>
      <c r="AF5" s="82"/>
      <c r="AG5" s="84" t="s">
        <v>297</v>
      </c>
      <c r="AH5" s="79" t="s">
        <v>290</v>
      </c>
      <c r="AI5" s="78">
        <v>1254163</v>
      </c>
      <c r="AJ5" s="79" t="s">
        <v>291</v>
      </c>
    </row>
    <row r="6" spans="1:36" s="85" customFormat="1" hidden="1">
      <c r="A6" s="78">
        <v>109</v>
      </c>
      <c r="B6" s="79" t="s">
        <v>281</v>
      </c>
      <c r="C6" s="79" t="s">
        <v>282</v>
      </c>
      <c r="D6" s="78">
        <v>345</v>
      </c>
      <c r="E6" s="78">
        <v>303</v>
      </c>
      <c r="F6" s="78">
        <v>109</v>
      </c>
      <c r="G6" s="78">
        <v>1</v>
      </c>
      <c r="H6" s="78">
        <v>15</v>
      </c>
      <c r="I6" s="79" t="s">
        <v>283</v>
      </c>
      <c r="J6" s="79" t="s">
        <v>284</v>
      </c>
      <c r="K6" s="79" t="s">
        <v>285</v>
      </c>
      <c r="L6" s="80">
        <v>3159477</v>
      </c>
      <c r="M6" s="79" t="s">
        <v>293</v>
      </c>
      <c r="N6" s="79" t="s">
        <v>298</v>
      </c>
      <c r="O6" s="79" t="s">
        <v>288</v>
      </c>
      <c r="P6" s="172">
        <v>103636.97</v>
      </c>
      <c r="Q6" s="82"/>
      <c r="R6" s="82"/>
      <c r="S6" s="82"/>
      <c r="T6" s="82"/>
      <c r="U6" s="82"/>
      <c r="V6" s="82"/>
      <c r="W6" s="82"/>
      <c r="X6" s="82"/>
      <c r="Y6" s="82"/>
      <c r="Z6" s="173"/>
      <c r="AA6" s="82"/>
      <c r="AB6" s="82"/>
      <c r="AC6" s="82"/>
      <c r="AD6" s="82"/>
      <c r="AE6" s="82"/>
      <c r="AF6" s="82"/>
      <c r="AG6" s="84" t="s">
        <v>299</v>
      </c>
      <c r="AH6" s="79" t="s">
        <v>290</v>
      </c>
      <c r="AI6" s="78">
        <v>3159477</v>
      </c>
      <c r="AJ6" s="79" t="s">
        <v>291</v>
      </c>
    </row>
    <row r="7" spans="1:36" s="85" customFormat="1" hidden="1">
      <c r="A7" s="78">
        <v>109</v>
      </c>
      <c r="B7" s="79" t="s">
        <v>281</v>
      </c>
      <c r="C7" s="79" t="s">
        <v>282</v>
      </c>
      <c r="D7" s="78">
        <v>573</v>
      </c>
      <c r="E7" s="78">
        <v>543</v>
      </c>
      <c r="F7" s="78">
        <v>109</v>
      </c>
      <c r="G7" s="78">
        <v>1</v>
      </c>
      <c r="H7" s="78">
        <v>31</v>
      </c>
      <c r="I7" s="79" t="s">
        <v>283</v>
      </c>
      <c r="J7" s="79" t="s">
        <v>284</v>
      </c>
      <c r="K7" s="79" t="s">
        <v>300</v>
      </c>
      <c r="L7" s="80">
        <v>752014</v>
      </c>
      <c r="M7" s="79" t="s">
        <v>286</v>
      </c>
      <c r="N7" s="79" t="s">
        <v>287</v>
      </c>
      <c r="O7" s="79" t="s">
        <v>294</v>
      </c>
      <c r="P7" s="172">
        <v>0</v>
      </c>
      <c r="Q7" s="82"/>
      <c r="R7" s="82"/>
      <c r="S7" s="82"/>
      <c r="T7" s="82"/>
      <c r="U7" s="82"/>
      <c r="V7" s="82"/>
      <c r="W7" s="82"/>
      <c r="X7" s="82"/>
      <c r="Y7" s="82"/>
      <c r="Z7" s="173"/>
      <c r="AA7" s="82"/>
      <c r="AB7" s="82"/>
      <c r="AC7" s="82"/>
      <c r="AD7" s="82"/>
      <c r="AE7" s="82"/>
      <c r="AF7" s="82"/>
      <c r="AG7" s="84" t="s">
        <v>301</v>
      </c>
      <c r="AH7" s="79" t="s">
        <v>290</v>
      </c>
      <c r="AI7" s="78">
        <v>-752014</v>
      </c>
      <c r="AJ7" s="79" t="s">
        <v>291</v>
      </c>
    </row>
    <row r="8" spans="1:36" s="85" customFormat="1" hidden="1">
      <c r="A8" s="78">
        <v>109</v>
      </c>
      <c r="B8" s="79" t="s">
        <v>281</v>
      </c>
      <c r="C8" s="79" t="s">
        <v>282</v>
      </c>
      <c r="D8" s="78">
        <v>578</v>
      </c>
      <c r="E8" s="78">
        <v>605</v>
      </c>
      <c r="F8" s="78">
        <v>109</v>
      </c>
      <c r="G8" s="78">
        <v>2</v>
      </c>
      <c r="H8" s="78">
        <v>6</v>
      </c>
      <c r="I8" s="79" t="s">
        <v>283</v>
      </c>
      <c r="J8" s="79" t="s">
        <v>284</v>
      </c>
      <c r="K8" s="79" t="s">
        <v>300</v>
      </c>
      <c r="L8" s="80">
        <v>752014</v>
      </c>
      <c r="M8" s="79" t="s">
        <v>293</v>
      </c>
      <c r="N8" s="79" t="s">
        <v>287</v>
      </c>
      <c r="O8" s="79" t="s">
        <v>294</v>
      </c>
      <c r="P8" s="172">
        <v>0</v>
      </c>
      <c r="Q8" s="82"/>
      <c r="R8" s="82"/>
      <c r="S8" s="82"/>
      <c r="T8" s="82"/>
      <c r="U8" s="82"/>
      <c r="V8" s="82"/>
      <c r="W8" s="82"/>
      <c r="X8" s="82"/>
      <c r="Y8" s="82"/>
      <c r="Z8" s="173"/>
      <c r="AA8" s="82"/>
      <c r="AB8" s="82"/>
      <c r="AC8" s="82"/>
      <c r="AD8" s="82"/>
      <c r="AE8" s="82"/>
      <c r="AF8" s="82"/>
      <c r="AG8" s="84" t="s">
        <v>295</v>
      </c>
      <c r="AH8" s="79" t="s">
        <v>290</v>
      </c>
      <c r="AI8" s="78">
        <v>752014</v>
      </c>
      <c r="AJ8" s="79" t="s">
        <v>291</v>
      </c>
    </row>
    <row r="9" spans="1:36" s="85" customFormat="1" hidden="1">
      <c r="A9" s="78">
        <v>109</v>
      </c>
      <c r="B9" s="79" t="s">
        <v>281</v>
      </c>
      <c r="C9" s="79" t="s">
        <v>282</v>
      </c>
      <c r="D9" s="78">
        <v>585</v>
      </c>
      <c r="E9" s="78">
        <v>626</v>
      </c>
      <c r="F9" s="78">
        <v>109</v>
      </c>
      <c r="G9" s="78">
        <v>2</v>
      </c>
      <c r="H9" s="78">
        <v>6</v>
      </c>
      <c r="I9" s="79" t="s">
        <v>283</v>
      </c>
      <c r="J9" s="79" t="s">
        <v>284</v>
      </c>
      <c r="K9" s="79" t="s">
        <v>285</v>
      </c>
      <c r="L9" s="80">
        <v>88926</v>
      </c>
      <c r="M9" s="79" t="s">
        <v>286</v>
      </c>
      <c r="N9" s="79" t="s">
        <v>287</v>
      </c>
      <c r="O9" s="79" t="s">
        <v>288</v>
      </c>
      <c r="P9" s="172">
        <v>2952</v>
      </c>
      <c r="Q9" s="82"/>
      <c r="R9" s="82"/>
      <c r="S9" s="82"/>
      <c r="T9" s="82"/>
      <c r="U9" s="82"/>
      <c r="V9" s="82"/>
      <c r="W9" s="82"/>
      <c r="X9" s="82"/>
      <c r="Y9" s="82"/>
      <c r="Z9" s="173"/>
      <c r="AA9" s="82"/>
      <c r="AB9" s="82"/>
      <c r="AC9" s="82"/>
      <c r="AD9" s="82"/>
      <c r="AE9" s="82"/>
      <c r="AF9" s="82"/>
      <c r="AG9" s="84" t="s">
        <v>302</v>
      </c>
      <c r="AH9" s="79" t="s">
        <v>290</v>
      </c>
      <c r="AI9" s="78">
        <v>-88926</v>
      </c>
      <c r="AJ9" s="79" t="s">
        <v>291</v>
      </c>
    </row>
    <row r="10" spans="1:36" s="85" customFormat="1" hidden="1">
      <c r="A10" s="78">
        <v>109</v>
      </c>
      <c r="B10" s="79" t="s">
        <v>281</v>
      </c>
      <c r="C10" s="79" t="s">
        <v>282</v>
      </c>
      <c r="D10" s="78">
        <v>586</v>
      </c>
      <c r="E10" s="78">
        <v>627</v>
      </c>
      <c r="F10" s="78">
        <v>109</v>
      </c>
      <c r="G10" s="78">
        <v>2</v>
      </c>
      <c r="H10" s="78">
        <v>6</v>
      </c>
      <c r="I10" s="79" t="s">
        <v>283</v>
      </c>
      <c r="J10" s="79" t="s">
        <v>284</v>
      </c>
      <c r="K10" s="79" t="s">
        <v>285</v>
      </c>
      <c r="L10" s="80">
        <v>11884839</v>
      </c>
      <c r="M10" s="79" t="s">
        <v>286</v>
      </c>
      <c r="N10" s="79" t="s">
        <v>287</v>
      </c>
      <c r="O10" s="79" t="s">
        <v>288</v>
      </c>
      <c r="P10" s="172">
        <v>394530.57</v>
      </c>
      <c r="Q10" s="82"/>
      <c r="R10" s="82"/>
      <c r="S10" s="82"/>
      <c r="T10" s="82"/>
      <c r="U10" s="82"/>
      <c r="V10" s="82"/>
      <c r="W10" s="82"/>
      <c r="X10" s="82"/>
      <c r="Y10" s="82"/>
      <c r="Z10" s="173"/>
      <c r="AA10" s="82"/>
      <c r="AB10" s="82"/>
      <c r="AC10" s="82"/>
      <c r="AD10" s="82"/>
      <c r="AE10" s="82"/>
      <c r="AF10" s="82"/>
      <c r="AG10" s="84" t="s">
        <v>303</v>
      </c>
      <c r="AH10" s="79" t="s">
        <v>290</v>
      </c>
      <c r="AI10" s="78">
        <v>-11884839</v>
      </c>
      <c r="AJ10" s="79" t="s">
        <v>291</v>
      </c>
    </row>
    <row r="11" spans="1:36" s="85" customFormat="1" hidden="1">
      <c r="A11" s="78">
        <v>109</v>
      </c>
      <c r="B11" s="79" t="s">
        <v>281</v>
      </c>
      <c r="C11" s="79" t="s">
        <v>282</v>
      </c>
      <c r="D11" s="78">
        <v>587</v>
      </c>
      <c r="E11" s="78">
        <v>628</v>
      </c>
      <c r="F11" s="78">
        <v>109</v>
      </c>
      <c r="G11" s="78">
        <v>2</v>
      </c>
      <c r="H11" s="78">
        <v>6</v>
      </c>
      <c r="I11" s="79" t="s">
        <v>283</v>
      </c>
      <c r="J11" s="79" t="s">
        <v>284</v>
      </c>
      <c r="K11" s="79" t="s">
        <v>285</v>
      </c>
      <c r="L11" s="80">
        <v>542274</v>
      </c>
      <c r="M11" s="79" t="s">
        <v>286</v>
      </c>
      <c r="N11" s="79" t="s">
        <v>287</v>
      </c>
      <c r="O11" s="79" t="s">
        <v>288</v>
      </c>
      <c r="P11" s="172">
        <v>18001.39</v>
      </c>
      <c r="Q11" s="82"/>
      <c r="R11" s="82"/>
      <c r="S11" s="82"/>
      <c r="T11" s="82"/>
      <c r="U11" s="82"/>
      <c r="V11" s="82"/>
      <c r="W11" s="82"/>
      <c r="X11" s="82"/>
      <c r="Y11" s="82"/>
      <c r="Z11" s="173"/>
      <c r="AA11" s="82"/>
      <c r="AB11" s="82"/>
      <c r="AC11" s="82"/>
      <c r="AD11" s="82"/>
      <c r="AE11" s="82"/>
      <c r="AF11" s="82"/>
      <c r="AG11" s="84" t="s">
        <v>304</v>
      </c>
      <c r="AH11" s="79" t="s">
        <v>290</v>
      </c>
      <c r="AI11" s="78">
        <v>-542274</v>
      </c>
      <c r="AJ11" s="79" t="s">
        <v>291</v>
      </c>
    </row>
    <row r="12" spans="1:36" s="85" customFormat="1" hidden="1">
      <c r="A12" s="78">
        <v>109</v>
      </c>
      <c r="B12" s="79" t="s">
        <v>281</v>
      </c>
      <c r="C12" s="79" t="s">
        <v>282</v>
      </c>
      <c r="D12" s="78">
        <v>1148</v>
      </c>
      <c r="E12" s="78">
        <v>1127</v>
      </c>
      <c r="F12" s="78">
        <v>109</v>
      </c>
      <c r="G12" s="78">
        <v>2</v>
      </c>
      <c r="H12" s="78">
        <v>27</v>
      </c>
      <c r="I12" s="79" t="s">
        <v>283</v>
      </c>
      <c r="J12" s="79" t="s">
        <v>284</v>
      </c>
      <c r="K12" s="79" t="s">
        <v>305</v>
      </c>
      <c r="L12" s="80">
        <v>750656</v>
      </c>
      <c r="M12" s="79" t="s">
        <v>286</v>
      </c>
      <c r="N12" s="79" t="s">
        <v>287</v>
      </c>
      <c r="O12" s="79" t="s">
        <v>294</v>
      </c>
      <c r="P12" s="172">
        <v>0</v>
      </c>
      <c r="Q12" s="82"/>
      <c r="R12" s="82"/>
      <c r="S12" s="82"/>
      <c r="T12" s="82"/>
      <c r="U12" s="82"/>
      <c r="V12" s="82"/>
      <c r="W12" s="82"/>
      <c r="X12" s="82"/>
      <c r="Y12" s="82"/>
      <c r="Z12" s="173"/>
      <c r="AA12" s="82"/>
      <c r="AB12" s="82"/>
      <c r="AC12" s="82"/>
      <c r="AD12" s="82"/>
      <c r="AE12" s="82"/>
      <c r="AF12" s="82"/>
      <c r="AG12" s="84" t="s">
        <v>301</v>
      </c>
      <c r="AH12" s="79" t="s">
        <v>290</v>
      </c>
      <c r="AI12" s="78">
        <v>-750656</v>
      </c>
      <c r="AJ12" s="79" t="s">
        <v>291</v>
      </c>
    </row>
    <row r="13" spans="1:36" s="85" customFormat="1" hidden="1">
      <c r="A13" s="78">
        <v>109</v>
      </c>
      <c r="B13" s="79" t="s">
        <v>281</v>
      </c>
      <c r="C13" s="79" t="s">
        <v>282</v>
      </c>
      <c r="D13" s="78">
        <v>1159</v>
      </c>
      <c r="E13" s="78">
        <v>1165</v>
      </c>
      <c r="F13" s="78">
        <v>109</v>
      </c>
      <c r="G13" s="78">
        <v>3</v>
      </c>
      <c r="H13" s="78">
        <v>4</v>
      </c>
      <c r="I13" s="79" t="s">
        <v>283</v>
      </c>
      <c r="J13" s="79" t="s">
        <v>284</v>
      </c>
      <c r="K13" s="79" t="s">
        <v>305</v>
      </c>
      <c r="L13" s="80">
        <v>750656</v>
      </c>
      <c r="M13" s="79" t="s">
        <v>293</v>
      </c>
      <c r="N13" s="79" t="s">
        <v>287</v>
      </c>
      <c r="O13" s="79" t="s">
        <v>294</v>
      </c>
      <c r="P13" s="172">
        <v>0</v>
      </c>
      <c r="Q13" s="82"/>
      <c r="R13" s="82"/>
      <c r="S13" s="82"/>
      <c r="T13" s="82"/>
      <c r="U13" s="82"/>
      <c r="V13" s="82"/>
      <c r="W13" s="82"/>
      <c r="X13" s="82"/>
      <c r="Y13" s="82"/>
      <c r="Z13" s="173"/>
      <c r="AA13" s="82"/>
      <c r="AB13" s="82"/>
      <c r="AC13" s="82"/>
      <c r="AD13" s="82"/>
      <c r="AE13" s="82"/>
      <c r="AF13" s="82"/>
      <c r="AG13" s="84" t="s">
        <v>295</v>
      </c>
      <c r="AH13" s="79" t="s">
        <v>290</v>
      </c>
      <c r="AI13" s="78">
        <v>750656</v>
      </c>
      <c r="AJ13" s="79" t="s">
        <v>291</v>
      </c>
    </row>
    <row r="14" spans="1:36" s="85" customFormat="1" hidden="1">
      <c r="A14" s="78">
        <v>109</v>
      </c>
      <c r="B14" s="79" t="s">
        <v>281</v>
      </c>
      <c r="C14" s="79" t="s">
        <v>282</v>
      </c>
      <c r="D14" s="78">
        <v>1746</v>
      </c>
      <c r="E14" s="78">
        <v>1721</v>
      </c>
      <c r="F14" s="78">
        <v>109</v>
      </c>
      <c r="G14" s="78">
        <v>3</v>
      </c>
      <c r="H14" s="78">
        <v>31</v>
      </c>
      <c r="I14" s="79" t="s">
        <v>283</v>
      </c>
      <c r="J14" s="79" t="s">
        <v>284</v>
      </c>
      <c r="K14" s="79" t="s">
        <v>306</v>
      </c>
      <c r="L14" s="80">
        <v>762647</v>
      </c>
      <c r="M14" s="79" t="s">
        <v>286</v>
      </c>
      <c r="N14" s="79" t="s">
        <v>287</v>
      </c>
      <c r="O14" s="79" t="s">
        <v>294</v>
      </c>
      <c r="P14" s="172">
        <v>0</v>
      </c>
      <c r="Q14" s="82"/>
      <c r="R14" s="82"/>
      <c r="S14" s="82"/>
      <c r="T14" s="82"/>
      <c r="U14" s="82"/>
      <c r="V14" s="82"/>
      <c r="W14" s="82"/>
      <c r="X14" s="82"/>
      <c r="Y14" s="82"/>
      <c r="Z14" s="173"/>
      <c r="AA14" s="82"/>
      <c r="AB14" s="82"/>
      <c r="AC14" s="82"/>
      <c r="AD14" s="82"/>
      <c r="AE14" s="82"/>
      <c r="AF14" s="82"/>
      <c r="AG14" s="84" t="s">
        <v>301</v>
      </c>
      <c r="AH14" s="79" t="s">
        <v>290</v>
      </c>
      <c r="AI14" s="78">
        <v>-762647</v>
      </c>
      <c r="AJ14" s="79" t="s">
        <v>291</v>
      </c>
    </row>
    <row r="15" spans="1:36" s="85" customFormat="1" hidden="1">
      <c r="A15" s="78">
        <v>109</v>
      </c>
      <c r="B15" s="79" t="s">
        <v>281</v>
      </c>
      <c r="C15" s="79" t="s">
        <v>282</v>
      </c>
      <c r="D15" s="78">
        <v>1763</v>
      </c>
      <c r="E15" s="78">
        <v>1769</v>
      </c>
      <c r="F15" s="78">
        <v>109</v>
      </c>
      <c r="G15" s="78">
        <v>4</v>
      </c>
      <c r="H15" s="78">
        <v>7</v>
      </c>
      <c r="I15" s="79" t="s">
        <v>283</v>
      </c>
      <c r="J15" s="79" t="s">
        <v>284</v>
      </c>
      <c r="K15" s="79" t="s">
        <v>306</v>
      </c>
      <c r="L15" s="80">
        <v>762647</v>
      </c>
      <c r="M15" s="79" t="s">
        <v>293</v>
      </c>
      <c r="N15" s="79" t="s">
        <v>287</v>
      </c>
      <c r="O15" s="79" t="s">
        <v>294</v>
      </c>
      <c r="P15" s="172">
        <v>0</v>
      </c>
      <c r="Q15" s="82"/>
      <c r="R15" s="82"/>
      <c r="S15" s="82"/>
      <c r="T15" s="82"/>
      <c r="U15" s="82"/>
      <c r="V15" s="82"/>
      <c r="W15" s="82"/>
      <c r="X15" s="82"/>
      <c r="Y15" s="82"/>
      <c r="Z15" s="173"/>
      <c r="AA15" s="82"/>
      <c r="AB15" s="82"/>
      <c r="AC15" s="82"/>
      <c r="AD15" s="82"/>
      <c r="AE15" s="82"/>
      <c r="AF15" s="82"/>
      <c r="AG15" s="84" t="s">
        <v>307</v>
      </c>
      <c r="AH15" s="79" t="s">
        <v>290</v>
      </c>
      <c r="AI15" s="78">
        <v>762647</v>
      </c>
      <c r="AJ15" s="79" t="s">
        <v>291</v>
      </c>
    </row>
    <row r="16" spans="1:36" s="85" customFormat="1" hidden="1">
      <c r="A16" s="78">
        <v>109</v>
      </c>
      <c r="B16" s="79" t="s">
        <v>281</v>
      </c>
      <c r="C16" s="79" t="s">
        <v>282</v>
      </c>
      <c r="D16" s="78">
        <v>2247</v>
      </c>
      <c r="E16" s="78">
        <v>2237</v>
      </c>
      <c r="F16" s="78">
        <v>109</v>
      </c>
      <c r="G16" s="78">
        <v>4</v>
      </c>
      <c r="H16" s="78">
        <v>30</v>
      </c>
      <c r="I16" s="79" t="s">
        <v>283</v>
      </c>
      <c r="J16" s="79" t="s">
        <v>284</v>
      </c>
      <c r="K16" s="79" t="s">
        <v>308</v>
      </c>
      <c r="L16" s="80">
        <v>995276</v>
      </c>
      <c r="M16" s="79" t="s">
        <v>286</v>
      </c>
      <c r="N16" s="79" t="s">
        <v>287</v>
      </c>
      <c r="O16" s="79" t="s">
        <v>294</v>
      </c>
      <c r="P16" s="172">
        <v>0</v>
      </c>
      <c r="Q16" s="82"/>
      <c r="R16" s="82"/>
      <c r="S16" s="82"/>
      <c r="T16" s="82"/>
      <c r="U16" s="82"/>
      <c r="V16" s="82"/>
      <c r="W16" s="82"/>
      <c r="X16" s="82"/>
      <c r="Y16" s="82"/>
      <c r="Z16" s="173"/>
      <c r="AA16" s="82"/>
      <c r="AB16" s="82"/>
      <c r="AC16" s="82"/>
      <c r="AD16" s="82"/>
      <c r="AE16" s="82"/>
      <c r="AF16" s="82"/>
      <c r="AG16" s="84" t="s">
        <v>301</v>
      </c>
      <c r="AH16" s="79" t="s">
        <v>290</v>
      </c>
      <c r="AI16" s="78">
        <v>-995276</v>
      </c>
      <c r="AJ16" s="79" t="s">
        <v>291</v>
      </c>
    </row>
    <row r="17" spans="1:36" s="85" customFormat="1" hidden="1">
      <c r="A17" s="78">
        <v>109</v>
      </c>
      <c r="B17" s="79" t="s">
        <v>281</v>
      </c>
      <c r="C17" s="79" t="s">
        <v>282</v>
      </c>
      <c r="D17" s="78">
        <v>2248</v>
      </c>
      <c r="E17" s="78">
        <v>2264</v>
      </c>
      <c r="F17" s="78">
        <v>109</v>
      </c>
      <c r="G17" s="78">
        <v>5</v>
      </c>
      <c r="H17" s="78">
        <v>5</v>
      </c>
      <c r="I17" s="79" t="s">
        <v>283</v>
      </c>
      <c r="J17" s="79" t="s">
        <v>284</v>
      </c>
      <c r="K17" s="79" t="s">
        <v>308</v>
      </c>
      <c r="L17" s="80">
        <v>995276</v>
      </c>
      <c r="M17" s="79" t="s">
        <v>293</v>
      </c>
      <c r="N17" s="79" t="s">
        <v>287</v>
      </c>
      <c r="O17" s="79" t="s">
        <v>294</v>
      </c>
      <c r="P17" s="172">
        <v>0</v>
      </c>
      <c r="Q17" s="82"/>
      <c r="R17" s="82"/>
      <c r="S17" s="82"/>
      <c r="T17" s="82"/>
      <c r="U17" s="82"/>
      <c r="V17" s="82"/>
      <c r="W17" s="82"/>
      <c r="X17" s="82"/>
      <c r="Y17" s="82"/>
      <c r="Z17" s="173"/>
      <c r="AA17" s="82"/>
      <c r="AB17" s="82"/>
      <c r="AC17" s="82"/>
      <c r="AD17" s="82"/>
      <c r="AE17" s="82"/>
      <c r="AF17" s="82"/>
      <c r="AG17" s="84" t="s">
        <v>307</v>
      </c>
      <c r="AH17" s="79" t="s">
        <v>290</v>
      </c>
      <c r="AI17" s="78">
        <v>995276</v>
      </c>
      <c r="AJ17" s="79" t="s">
        <v>291</v>
      </c>
    </row>
    <row r="18" spans="1:36" s="85" customFormat="1" hidden="1">
      <c r="A18" s="78">
        <v>109</v>
      </c>
      <c r="B18" s="79" t="s">
        <v>281</v>
      </c>
      <c r="C18" s="79" t="s">
        <v>282</v>
      </c>
      <c r="D18" s="78">
        <v>2296</v>
      </c>
      <c r="E18" s="78">
        <v>2268</v>
      </c>
      <c r="F18" s="78">
        <v>109</v>
      </c>
      <c r="G18" s="78">
        <v>5</v>
      </c>
      <c r="H18" s="78">
        <v>5</v>
      </c>
      <c r="I18" s="79" t="s">
        <v>283</v>
      </c>
      <c r="J18" s="79" t="s">
        <v>284</v>
      </c>
      <c r="K18" s="79" t="s">
        <v>285</v>
      </c>
      <c r="L18" s="80">
        <v>3242261</v>
      </c>
      <c r="M18" s="79" t="s">
        <v>293</v>
      </c>
      <c r="N18" s="79" t="s">
        <v>309</v>
      </c>
      <c r="O18" s="79" t="s">
        <v>288</v>
      </c>
      <c r="P18" s="172">
        <v>107698.42</v>
      </c>
      <c r="Q18" s="82"/>
      <c r="R18" s="82"/>
      <c r="S18" s="82"/>
      <c r="T18" s="82"/>
      <c r="U18" s="82"/>
      <c r="V18" s="82"/>
      <c r="W18" s="82"/>
      <c r="X18" s="82"/>
      <c r="Y18" s="82"/>
      <c r="Z18" s="173"/>
      <c r="AA18" s="82"/>
      <c r="AB18" s="82"/>
      <c r="AC18" s="82"/>
      <c r="AD18" s="82"/>
      <c r="AE18" s="82"/>
      <c r="AF18" s="82"/>
      <c r="AG18" s="84" t="s">
        <v>310</v>
      </c>
      <c r="AH18" s="79" t="s">
        <v>290</v>
      </c>
      <c r="AI18" s="78">
        <v>3242261</v>
      </c>
      <c r="AJ18" s="79" t="s">
        <v>291</v>
      </c>
    </row>
    <row r="19" spans="1:36" s="85" customFormat="1" hidden="1">
      <c r="A19" s="78">
        <v>109</v>
      </c>
      <c r="B19" s="79" t="s">
        <v>281</v>
      </c>
      <c r="C19" s="79" t="s">
        <v>282</v>
      </c>
      <c r="D19" s="78">
        <v>2360</v>
      </c>
      <c r="E19" s="78">
        <v>2402</v>
      </c>
      <c r="F19" s="78">
        <v>109</v>
      </c>
      <c r="G19" s="78">
        <v>5</v>
      </c>
      <c r="H19" s="78">
        <v>12</v>
      </c>
      <c r="I19" s="79" t="s">
        <v>283</v>
      </c>
      <c r="J19" s="79" t="s">
        <v>284</v>
      </c>
      <c r="K19" s="79" t="s">
        <v>285</v>
      </c>
      <c r="L19" s="80">
        <v>3061783</v>
      </c>
      <c r="M19" s="79" t="s">
        <v>286</v>
      </c>
      <c r="N19" s="79" t="s">
        <v>287</v>
      </c>
      <c r="O19" s="79" t="s">
        <v>288</v>
      </c>
      <c r="P19" s="172">
        <v>101703.46</v>
      </c>
      <c r="Q19" s="82"/>
      <c r="R19" s="82"/>
      <c r="S19" s="82"/>
      <c r="T19" s="82"/>
      <c r="U19" s="82"/>
      <c r="V19" s="82"/>
      <c r="W19" s="82"/>
      <c r="X19" s="82"/>
      <c r="Y19" s="82"/>
      <c r="Z19" s="173"/>
      <c r="AA19" s="82"/>
      <c r="AB19" s="82"/>
      <c r="AC19" s="82"/>
      <c r="AD19" s="82"/>
      <c r="AE19" s="82"/>
      <c r="AF19" s="82"/>
      <c r="AG19" s="84" t="s">
        <v>311</v>
      </c>
      <c r="AH19" s="79" t="s">
        <v>290</v>
      </c>
      <c r="AI19" s="78">
        <v>-3061783</v>
      </c>
      <c r="AJ19" s="79" t="s">
        <v>291</v>
      </c>
    </row>
    <row r="20" spans="1:36" s="85" customFormat="1" hidden="1">
      <c r="A20" s="78">
        <v>109</v>
      </c>
      <c r="B20" s="79" t="s">
        <v>281</v>
      </c>
      <c r="C20" s="79" t="s">
        <v>282</v>
      </c>
      <c r="D20" s="78">
        <v>2763</v>
      </c>
      <c r="E20" s="78">
        <v>2763</v>
      </c>
      <c r="F20" s="78">
        <v>109</v>
      </c>
      <c r="G20" s="78">
        <v>5</v>
      </c>
      <c r="H20" s="78">
        <v>29</v>
      </c>
      <c r="I20" s="79" t="s">
        <v>283</v>
      </c>
      <c r="J20" s="79" t="s">
        <v>284</v>
      </c>
      <c r="K20" s="79" t="s">
        <v>312</v>
      </c>
      <c r="L20" s="80">
        <v>861484</v>
      </c>
      <c r="M20" s="79" t="s">
        <v>286</v>
      </c>
      <c r="N20" s="79" t="s">
        <v>287</v>
      </c>
      <c r="O20" s="79" t="s">
        <v>294</v>
      </c>
      <c r="P20" s="172">
        <v>0</v>
      </c>
      <c r="Q20" s="82"/>
      <c r="R20" s="82"/>
      <c r="S20" s="82"/>
      <c r="T20" s="82"/>
      <c r="U20" s="82"/>
      <c r="V20" s="82"/>
      <c r="W20" s="82"/>
      <c r="X20" s="82"/>
      <c r="Y20" s="82"/>
      <c r="Z20" s="173"/>
      <c r="AA20" s="82"/>
      <c r="AB20" s="82"/>
      <c r="AC20" s="82"/>
      <c r="AD20" s="82"/>
      <c r="AE20" s="82"/>
      <c r="AF20" s="82"/>
      <c r="AG20" s="174" t="s">
        <v>301</v>
      </c>
      <c r="AH20" s="79" t="s">
        <v>290</v>
      </c>
      <c r="AI20" s="78">
        <v>-861484</v>
      </c>
      <c r="AJ20" s="79" t="s">
        <v>291</v>
      </c>
    </row>
    <row r="21" spans="1:36" s="85" customFormat="1" hidden="1">
      <c r="A21" s="78">
        <v>109</v>
      </c>
      <c r="B21" s="79" t="s">
        <v>281</v>
      </c>
      <c r="C21" s="79" t="s">
        <v>282</v>
      </c>
      <c r="D21" s="78">
        <v>2782</v>
      </c>
      <c r="E21" s="78">
        <v>2802</v>
      </c>
      <c r="F21" s="78">
        <v>109</v>
      </c>
      <c r="G21" s="78">
        <v>6</v>
      </c>
      <c r="H21" s="78">
        <v>4</v>
      </c>
      <c r="I21" s="79" t="s">
        <v>283</v>
      </c>
      <c r="J21" s="79" t="s">
        <v>284</v>
      </c>
      <c r="K21" s="79" t="s">
        <v>312</v>
      </c>
      <c r="L21" s="80">
        <v>861484</v>
      </c>
      <c r="M21" s="79" t="s">
        <v>293</v>
      </c>
      <c r="N21" s="79" t="s">
        <v>287</v>
      </c>
      <c r="O21" s="79" t="s">
        <v>294</v>
      </c>
      <c r="P21" s="172">
        <v>0</v>
      </c>
      <c r="Q21" s="82"/>
      <c r="R21" s="82"/>
      <c r="S21" s="82"/>
      <c r="T21" s="82"/>
      <c r="U21" s="82"/>
      <c r="V21" s="82"/>
      <c r="W21" s="82"/>
      <c r="X21" s="82"/>
      <c r="Y21" s="82"/>
      <c r="Z21" s="173"/>
      <c r="AA21" s="82"/>
      <c r="AB21" s="82"/>
      <c r="AC21" s="82"/>
      <c r="AD21" s="82"/>
      <c r="AE21" s="82"/>
      <c r="AF21" s="82"/>
      <c r="AG21" s="174" t="s">
        <v>307</v>
      </c>
      <c r="AH21" s="79" t="s">
        <v>290</v>
      </c>
      <c r="AI21" s="78">
        <v>861484</v>
      </c>
      <c r="AJ21" s="79" t="s">
        <v>291</v>
      </c>
    </row>
    <row r="22" spans="1:36">
      <c r="A22" s="86">
        <v>109</v>
      </c>
      <c r="B22" s="87" t="s">
        <v>281</v>
      </c>
      <c r="C22" s="87" t="s">
        <v>282</v>
      </c>
      <c r="D22" s="86">
        <v>3194</v>
      </c>
      <c r="E22" s="86">
        <v>3163</v>
      </c>
      <c r="F22" s="86">
        <v>109</v>
      </c>
      <c r="G22" s="86">
        <v>6</v>
      </c>
      <c r="H22" s="86">
        <v>22</v>
      </c>
      <c r="I22" s="87" t="s">
        <v>283</v>
      </c>
      <c r="J22" s="89" t="s">
        <v>284</v>
      </c>
      <c r="K22" s="89" t="s">
        <v>285</v>
      </c>
      <c r="L22" s="88">
        <v>18246</v>
      </c>
      <c r="M22" s="89" t="s">
        <v>293</v>
      </c>
      <c r="N22" s="89" t="s">
        <v>287</v>
      </c>
      <c r="O22" s="89" t="s">
        <v>288</v>
      </c>
      <c r="P22" s="90">
        <v>616.82000000000005</v>
      </c>
      <c r="Q22" s="83">
        <f>P22</f>
        <v>616.82000000000005</v>
      </c>
      <c r="R22" s="125"/>
      <c r="S22" s="125"/>
      <c r="T22" s="125"/>
      <c r="U22" s="83"/>
      <c r="V22" s="83"/>
      <c r="W22" s="83"/>
      <c r="X22" s="83"/>
      <c r="Y22" s="83"/>
      <c r="Z22" s="166"/>
      <c r="AA22" s="83"/>
      <c r="AB22" s="83"/>
      <c r="AC22" s="83"/>
      <c r="AD22" s="83"/>
      <c r="AE22" s="83"/>
      <c r="AF22" s="83"/>
      <c r="AG22" s="91" t="s">
        <v>313</v>
      </c>
      <c r="AH22" s="87" t="s">
        <v>290</v>
      </c>
      <c r="AI22" s="86">
        <v>18246</v>
      </c>
      <c r="AJ22" s="87" t="s">
        <v>291</v>
      </c>
    </row>
    <row r="23" spans="1:36">
      <c r="A23" s="86">
        <v>109</v>
      </c>
      <c r="B23" s="87" t="s">
        <v>281</v>
      </c>
      <c r="C23" s="87" t="s">
        <v>282</v>
      </c>
      <c r="D23" s="86">
        <v>5401</v>
      </c>
      <c r="E23" s="86">
        <v>5361</v>
      </c>
      <c r="F23" s="86">
        <v>109</v>
      </c>
      <c r="G23" s="86">
        <v>10</v>
      </c>
      <c r="H23" s="86">
        <v>23</v>
      </c>
      <c r="I23" s="87" t="s">
        <v>283</v>
      </c>
      <c r="J23" s="87" t="s">
        <v>284</v>
      </c>
      <c r="K23" s="87" t="s">
        <v>285</v>
      </c>
      <c r="L23" s="88">
        <v>1403744</v>
      </c>
      <c r="M23" s="87" t="s">
        <v>293</v>
      </c>
      <c r="N23" s="89" t="s">
        <v>314</v>
      </c>
      <c r="O23" s="92" t="s">
        <v>288</v>
      </c>
      <c r="P23" s="93">
        <v>47966.64</v>
      </c>
      <c r="Q23" s="94"/>
      <c r="R23" s="125">
        <f>P23</f>
        <v>47966.64</v>
      </c>
      <c r="S23" s="125"/>
      <c r="T23" s="125"/>
      <c r="U23" s="83"/>
      <c r="V23" s="83"/>
      <c r="W23" s="83"/>
      <c r="X23" s="83"/>
      <c r="Y23" s="83"/>
      <c r="Z23" s="166"/>
      <c r="AA23" s="83"/>
      <c r="AB23" s="83"/>
      <c r="AC23" s="83"/>
      <c r="AD23" s="83"/>
      <c r="AE23" s="83"/>
      <c r="AF23" s="83"/>
      <c r="AG23" s="91" t="s">
        <v>315</v>
      </c>
      <c r="AH23" s="87" t="s">
        <v>290</v>
      </c>
      <c r="AI23" s="86">
        <v>1403744</v>
      </c>
      <c r="AJ23" s="87" t="s">
        <v>291</v>
      </c>
    </row>
    <row r="24" spans="1:36">
      <c r="A24" s="86">
        <v>109</v>
      </c>
      <c r="B24" s="87" t="s">
        <v>281</v>
      </c>
      <c r="C24" s="87" t="s">
        <v>282</v>
      </c>
      <c r="D24" s="86">
        <v>6072</v>
      </c>
      <c r="E24" s="86">
        <v>6060</v>
      </c>
      <c r="F24" s="86">
        <v>109</v>
      </c>
      <c r="G24" s="86">
        <v>11</v>
      </c>
      <c r="H24" s="86">
        <v>30</v>
      </c>
      <c r="I24" s="87" t="s">
        <v>283</v>
      </c>
      <c r="J24" s="87" t="s">
        <v>284</v>
      </c>
      <c r="K24" s="87" t="s">
        <v>285</v>
      </c>
      <c r="L24" s="88">
        <v>11315535</v>
      </c>
      <c r="M24" s="87" t="s">
        <v>293</v>
      </c>
      <c r="N24" s="89" t="s">
        <v>316</v>
      </c>
      <c r="O24" s="92" t="s">
        <v>288</v>
      </c>
      <c r="P24" s="93">
        <v>391513.91</v>
      </c>
      <c r="Q24" s="94"/>
      <c r="R24" s="125">
        <f>P24</f>
        <v>391513.91</v>
      </c>
      <c r="S24" s="125"/>
      <c r="T24" s="125"/>
      <c r="U24" s="83"/>
      <c r="V24" s="83"/>
      <c r="W24" s="83"/>
      <c r="X24" s="83"/>
      <c r="Y24" s="83"/>
      <c r="Z24" s="166"/>
      <c r="AA24" s="83"/>
      <c r="AB24" s="83"/>
      <c r="AC24" s="83"/>
      <c r="AD24" s="83"/>
      <c r="AE24" s="83"/>
      <c r="AF24" s="83"/>
      <c r="AG24" s="91" t="s">
        <v>315</v>
      </c>
      <c r="AH24" s="87" t="s">
        <v>290</v>
      </c>
      <c r="AI24" s="86">
        <v>11315535</v>
      </c>
      <c r="AJ24" s="87" t="s">
        <v>291</v>
      </c>
    </row>
    <row r="25" spans="1:36">
      <c r="A25" s="86">
        <v>109</v>
      </c>
      <c r="B25" s="87" t="s">
        <v>281</v>
      </c>
      <c r="C25" s="87" t="s">
        <v>282</v>
      </c>
      <c r="D25" s="86">
        <v>6600</v>
      </c>
      <c r="E25" s="86">
        <v>6554</v>
      </c>
      <c r="F25" s="86">
        <v>109</v>
      </c>
      <c r="G25" s="86">
        <v>12</v>
      </c>
      <c r="H25" s="86">
        <v>22</v>
      </c>
      <c r="I25" s="87" t="s">
        <v>283</v>
      </c>
      <c r="J25" s="87" t="s">
        <v>284</v>
      </c>
      <c r="K25" s="87" t="s">
        <v>285</v>
      </c>
      <c r="L25" s="88">
        <v>3975</v>
      </c>
      <c r="M25" s="87" t="s">
        <v>293</v>
      </c>
      <c r="N25" s="89" t="s">
        <v>287</v>
      </c>
      <c r="O25" s="92" t="s">
        <v>288</v>
      </c>
      <c r="P25" s="93">
        <v>139.93</v>
      </c>
      <c r="Q25" s="94">
        <f>P25</f>
        <v>139.93</v>
      </c>
      <c r="R25" s="125"/>
      <c r="S25" s="125"/>
      <c r="T25" s="125"/>
      <c r="U25" s="83"/>
      <c r="V25" s="83"/>
      <c r="W25" s="83"/>
      <c r="X25" s="83"/>
      <c r="Y25" s="83"/>
      <c r="Z25" s="166"/>
      <c r="AA25" s="83"/>
      <c r="AB25" s="83"/>
      <c r="AC25" s="83"/>
      <c r="AD25" s="83"/>
      <c r="AE25" s="83"/>
      <c r="AF25" s="83"/>
      <c r="AG25" s="97" t="s">
        <v>317</v>
      </c>
      <c r="AH25" s="87" t="s">
        <v>290</v>
      </c>
      <c r="AI25" s="86">
        <v>3975</v>
      </c>
      <c r="AJ25" s="87" t="s">
        <v>291</v>
      </c>
    </row>
    <row r="26" spans="1:36">
      <c r="A26" s="86">
        <v>110</v>
      </c>
      <c r="B26" s="87" t="s">
        <v>281</v>
      </c>
      <c r="C26" s="87" t="s">
        <v>282</v>
      </c>
      <c r="D26" s="86">
        <v>436</v>
      </c>
      <c r="E26" s="86">
        <v>483</v>
      </c>
      <c r="F26" s="86">
        <v>110</v>
      </c>
      <c r="G26" s="86">
        <v>1</v>
      </c>
      <c r="H26" s="86">
        <v>28</v>
      </c>
      <c r="I26" s="87" t="s">
        <v>283</v>
      </c>
      <c r="J26" s="87" t="s">
        <v>284</v>
      </c>
      <c r="K26" s="87" t="s">
        <v>285</v>
      </c>
      <c r="L26" s="88">
        <v>11915802</v>
      </c>
      <c r="M26" s="87" t="s">
        <v>286</v>
      </c>
      <c r="N26" s="87" t="s">
        <v>287</v>
      </c>
      <c r="O26" s="98" t="s">
        <v>288</v>
      </c>
      <c r="P26" s="93">
        <v>419289.97</v>
      </c>
      <c r="Q26" s="94"/>
      <c r="R26" s="125"/>
      <c r="S26" s="125">
        <f>-P26</f>
        <v>-419289.97</v>
      </c>
      <c r="T26" s="125" t="s">
        <v>318</v>
      </c>
      <c r="U26" s="83"/>
      <c r="V26" s="83"/>
      <c r="W26" s="83"/>
      <c r="X26" s="83"/>
      <c r="Y26" s="83"/>
      <c r="Z26" s="166"/>
      <c r="AA26" s="83"/>
      <c r="AB26" s="83"/>
      <c r="AC26" s="83"/>
      <c r="AD26" s="83"/>
      <c r="AE26" s="83"/>
      <c r="AF26" s="83"/>
      <c r="AG26" s="91" t="s">
        <v>319</v>
      </c>
      <c r="AH26" s="87" t="s">
        <v>290</v>
      </c>
      <c r="AI26" s="86">
        <v>-11915802</v>
      </c>
      <c r="AJ26" s="87" t="s">
        <v>291</v>
      </c>
    </row>
    <row r="27" spans="1:36">
      <c r="A27" s="86">
        <v>110</v>
      </c>
      <c r="B27" s="87" t="s">
        <v>281</v>
      </c>
      <c r="C27" s="87" t="s">
        <v>282</v>
      </c>
      <c r="D27" s="86">
        <v>439</v>
      </c>
      <c r="E27" s="86">
        <v>484</v>
      </c>
      <c r="F27" s="86">
        <v>110</v>
      </c>
      <c r="G27" s="86">
        <v>1</v>
      </c>
      <c r="H27" s="86">
        <v>28</v>
      </c>
      <c r="I27" s="87" t="s">
        <v>283</v>
      </c>
      <c r="J27" s="87" t="s">
        <v>284</v>
      </c>
      <c r="K27" s="87" t="s">
        <v>285</v>
      </c>
      <c r="L27" s="88">
        <v>233036</v>
      </c>
      <c r="M27" s="87" t="s">
        <v>286</v>
      </c>
      <c r="N27" s="87" t="s">
        <v>287</v>
      </c>
      <c r="O27" s="98" t="s">
        <v>288</v>
      </c>
      <c r="P27" s="93">
        <v>8200</v>
      </c>
      <c r="Q27" s="94"/>
      <c r="R27" s="125"/>
      <c r="S27" s="125">
        <f>-P27</f>
        <v>-8200</v>
      </c>
      <c r="T27" s="125" t="s">
        <v>318</v>
      </c>
      <c r="U27" s="83"/>
      <c r="V27" s="83"/>
      <c r="W27" s="83"/>
      <c r="X27" s="83"/>
      <c r="Y27" s="83"/>
      <c r="Z27" s="166"/>
      <c r="AA27" s="83"/>
      <c r="AB27" s="83"/>
      <c r="AC27" s="83"/>
      <c r="AD27" s="83"/>
      <c r="AE27" s="83"/>
      <c r="AF27" s="83"/>
      <c r="AG27" s="91" t="s">
        <v>320</v>
      </c>
      <c r="AH27" s="87" t="s">
        <v>290</v>
      </c>
      <c r="AI27" s="86">
        <v>-233036</v>
      </c>
      <c r="AJ27" s="87" t="s">
        <v>291</v>
      </c>
    </row>
    <row r="28" spans="1:36">
      <c r="A28" s="86">
        <v>110</v>
      </c>
      <c r="B28" s="87" t="s">
        <v>281</v>
      </c>
      <c r="C28" s="87" t="s">
        <v>282</v>
      </c>
      <c r="D28" s="86">
        <v>441</v>
      </c>
      <c r="E28" s="86">
        <v>485</v>
      </c>
      <c r="F28" s="86">
        <v>110</v>
      </c>
      <c r="G28" s="86">
        <v>1</v>
      </c>
      <c r="H28" s="86">
        <v>28</v>
      </c>
      <c r="I28" s="87" t="s">
        <v>283</v>
      </c>
      <c r="J28" s="87" t="s">
        <v>284</v>
      </c>
      <c r="K28" s="87" t="s">
        <v>285</v>
      </c>
      <c r="L28" s="88">
        <v>682056</v>
      </c>
      <c r="M28" s="87" t="s">
        <v>286</v>
      </c>
      <c r="N28" s="87" t="s">
        <v>287</v>
      </c>
      <c r="O28" s="98" t="s">
        <v>288</v>
      </c>
      <c r="P28" s="93">
        <v>24000</v>
      </c>
      <c r="Q28" s="94"/>
      <c r="R28" s="125"/>
      <c r="S28" s="126">
        <f>-P28</f>
        <v>-24000</v>
      </c>
      <c r="T28" s="125" t="s">
        <v>318</v>
      </c>
      <c r="U28" s="83"/>
      <c r="V28" s="150"/>
      <c r="W28" s="83"/>
      <c r="X28" s="83"/>
      <c r="Y28" s="83"/>
      <c r="Z28" s="166"/>
      <c r="AA28" s="83"/>
      <c r="AB28" s="83"/>
      <c r="AC28" s="83"/>
      <c r="AD28" s="83"/>
      <c r="AE28" s="83"/>
      <c r="AF28" s="83"/>
      <c r="AG28" s="91" t="s">
        <v>321</v>
      </c>
      <c r="AH28" s="87" t="s">
        <v>290</v>
      </c>
      <c r="AI28" s="86">
        <v>-682056</v>
      </c>
      <c r="AJ28" s="87" t="s">
        <v>291</v>
      </c>
    </row>
    <row r="29" spans="1:36">
      <c r="A29" s="86">
        <v>109</v>
      </c>
      <c r="B29" s="87" t="s">
        <v>281</v>
      </c>
      <c r="C29" s="87" t="s">
        <v>282</v>
      </c>
      <c r="D29" s="86">
        <v>6160</v>
      </c>
      <c r="E29" s="86">
        <v>6107</v>
      </c>
      <c r="F29" s="86">
        <v>109</v>
      </c>
      <c r="G29" s="86">
        <v>12</v>
      </c>
      <c r="H29" s="86">
        <v>3</v>
      </c>
      <c r="I29" s="87" t="s">
        <v>283</v>
      </c>
      <c r="J29" s="87" t="s">
        <v>284</v>
      </c>
      <c r="K29" s="87" t="s">
        <v>285</v>
      </c>
      <c r="L29" s="88">
        <v>1140795</v>
      </c>
      <c r="M29" s="87" t="s">
        <v>293</v>
      </c>
      <c r="N29" s="89" t="s">
        <v>322</v>
      </c>
      <c r="O29" s="92" t="s">
        <v>288</v>
      </c>
      <c r="P29" s="93">
        <v>39892.129999999997</v>
      </c>
      <c r="Q29" s="94"/>
      <c r="R29" s="125"/>
      <c r="S29" s="125"/>
      <c r="T29" s="125"/>
      <c r="U29" s="96">
        <f>P29</f>
        <v>39892.129999999997</v>
      </c>
      <c r="V29" s="83"/>
      <c r="W29" s="83"/>
      <c r="X29" s="83"/>
      <c r="Y29" s="83"/>
      <c r="Z29" s="166"/>
      <c r="AA29" s="83"/>
      <c r="AB29" s="83"/>
      <c r="AC29" s="83"/>
      <c r="AD29" s="83"/>
      <c r="AE29" s="83"/>
      <c r="AF29" s="83"/>
      <c r="AG29" s="97" t="s">
        <v>323</v>
      </c>
      <c r="AH29" s="87" t="s">
        <v>290</v>
      </c>
      <c r="AI29" s="86">
        <v>1140795</v>
      </c>
      <c r="AJ29" s="87" t="s">
        <v>291</v>
      </c>
    </row>
    <row r="30" spans="1:36">
      <c r="A30" s="86">
        <v>110</v>
      </c>
      <c r="B30" s="87" t="s">
        <v>281</v>
      </c>
      <c r="C30" s="87" t="s">
        <v>282</v>
      </c>
      <c r="D30" s="86">
        <v>2531</v>
      </c>
      <c r="E30" s="86">
        <v>2506</v>
      </c>
      <c r="F30" s="86">
        <v>110</v>
      </c>
      <c r="G30" s="86">
        <v>5</v>
      </c>
      <c r="H30" s="86">
        <v>21</v>
      </c>
      <c r="I30" s="87" t="s">
        <v>283</v>
      </c>
      <c r="J30" s="87" t="s">
        <v>284</v>
      </c>
      <c r="K30" s="87" t="s">
        <v>285</v>
      </c>
      <c r="L30" s="88">
        <v>1718608</v>
      </c>
      <c r="M30" s="87" t="s">
        <v>293</v>
      </c>
      <c r="N30" s="89" t="s">
        <v>324</v>
      </c>
      <c r="O30" s="92" t="s">
        <v>288</v>
      </c>
      <c r="P30" s="93">
        <v>60760.39</v>
      </c>
      <c r="Q30" s="94"/>
      <c r="R30" s="125"/>
      <c r="S30" s="125"/>
      <c r="T30" s="125"/>
      <c r="U30" s="83"/>
      <c r="V30" s="83"/>
      <c r="W30" s="83"/>
      <c r="X30" s="95">
        <f>P30</f>
        <v>60760.39</v>
      </c>
      <c r="Y30" s="83"/>
      <c r="Z30" s="166"/>
      <c r="AA30" s="83"/>
      <c r="AB30" s="83"/>
      <c r="AC30" s="83"/>
      <c r="AD30" s="83"/>
      <c r="AE30" s="83"/>
      <c r="AF30" s="83"/>
      <c r="AG30" s="97" t="s">
        <v>325</v>
      </c>
      <c r="AH30" s="87" t="s">
        <v>290</v>
      </c>
      <c r="AI30" s="86">
        <v>1718608</v>
      </c>
      <c r="AJ30" s="87" t="s">
        <v>291</v>
      </c>
    </row>
    <row r="31" spans="1:36">
      <c r="A31" s="86">
        <v>110</v>
      </c>
      <c r="B31" s="87" t="s">
        <v>281</v>
      </c>
      <c r="C31" s="87" t="s">
        <v>282</v>
      </c>
      <c r="D31" s="86">
        <v>3002</v>
      </c>
      <c r="E31" s="86">
        <v>2950</v>
      </c>
      <c r="F31" s="86">
        <v>110</v>
      </c>
      <c r="G31" s="86">
        <v>6</v>
      </c>
      <c r="H31" s="86">
        <v>21</v>
      </c>
      <c r="I31" s="87" t="s">
        <v>283</v>
      </c>
      <c r="J31" s="87" t="s">
        <v>284</v>
      </c>
      <c r="K31" s="87" t="s">
        <v>285</v>
      </c>
      <c r="L31" s="88">
        <v>3779</v>
      </c>
      <c r="M31" s="87" t="s">
        <v>293</v>
      </c>
      <c r="N31" s="89" t="s">
        <v>287</v>
      </c>
      <c r="O31" s="89" t="s">
        <v>288</v>
      </c>
      <c r="P31" s="99">
        <v>136.29</v>
      </c>
      <c r="Q31" s="83">
        <f>P31</f>
        <v>136.29</v>
      </c>
      <c r="R31" s="125"/>
      <c r="S31" s="125"/>
      <c r="T31" s="125"/>
      <c r="U31" s="83"/>
      <c r="V31" s="83"/>
      <c r="W31" s="83"/>
      <c r="X31" s="83"/>
      <c r="Y31" s="83"/>
      <c r="Z31" s="166"/>
      <c r="AA31" s="83"/>
      <c r="AB31" s="83"/>
      <c r="AC31" s="83"/>
      <c r="AD31" s="83"/>
      <c r="AE31" s="83"/>
      <c r="AF31" s="83"/>
      <c r="AG31" s="97" t="s">
        <v>326</v>
      </c>
      <c r="AH31" s="87" t="s">
        <v>290</v>
      </c>
      <c r="AI31" s="86">
        <v>3779</v>
      </c>
      <c r="AJ31" s="87" t="s">
        <v>291</v>
      </c>
    </row>
    <row r="32" spans="1:36">
      <c r="A32" s="86">
        <v>110</v>
      </c>
      <c r="B32" s="87" t="s">
        <v>281</v>
      </c>
      <c r="C32" s="87" t="s">
        <v>282</v>
      </c>
      <c r="D32" s="86">
        <v>3118</v>
      </c>
      <c r="E32" s="86">
        <v>3104</v>
      </c>
      <c r="F32" s="86">
        <v>110</v>
      </c>
      <c r="G32" s="86">
        <v>6</v>
      </c>
      <c r="H32" s="86">
        <v>30</v>
      </c>
      <c r="I32" s="87" t="s">
        <v>283</v>
      </c>
      <c r="J32" s="87" t="s">
        <v>284</v>
      </c>
      <c r="K32" s="87" t="s">
        <v>285</v>
      </c>
      <c r="L32" s="88">
        <v>1357542</v>
      </c>
      <c r="M32" s="87" t="s">
        <v>293</v>
      </c>
      <c r="N32" s="89" t="s">
        <v>327</v>
      </c>
      <c r="O32" s="89" t="s">
        <v>288</v>
      </c>
      <c r="P32" s="81">
        <v>48514.84</v>
      </c>
      <c r="Q32" s="83"/>
      <c r="R32" s="125"/>
      <c r="S32" s="125"/>
      <c r="T32" s="125"/>
      <c r="U32" s="83"/>
      <c r="V32" s="83"/>
      <c r="W32" s="83"/>
      <c r="X32" s="95">
        <f>P32</f>
        <v>48514.84</v>
      </c>
      <c r="Y32" s="83"/>
      <c r="Z32" s="166"/>
      <c r="AA32" s="83"/>
      <c r="AB32" s="83"/>
      <c r="AC32" s="83"/>
      <c r="AD32" s="83"/>
      <c r="AE32" s="83"/>
      <c r="AF32" s="83"/>
      <c r="AG32" s="97" t="s">
        <v>328</v>
      </c>
      <c r="AH32" s="87" t="s">
        <v>290</v>
      </c>
      <c r="AI32" s="86">
        <v>1357542</v>
      </c>
      <c r="AJ32" s="87" t="s">
        <v>291</v>
      </c>
    </row>
    <row r="33" spans="1:36">
      <c r="A33" s="86">
        <v>110</v>
      </c>
      <c r="B33" s="87" t="s">
        <v>281</v>
      </c>
      <c r="C33" s="87" t="s">
        <v>282</v>
      </c>
      <c r="D33" s="86">
        <v>3466</v>
      </c>
      <c r="E33" s="86">
        <v>3471</v>
      </c>
      <c r="F33" s="86">
        <v>110</v>
      </c>
      <c r="G33" s="86">
        <v>7</v>
      </c>
      <c r="H33" s="86">
        <v>27</v>
      </c>
      <c r="I33" s="87" t="s">
        <v>283</v>
      </c>
      <c r="J33" s="87" t="s">
        <v>284</v>
      </c>
      <c r="K33" s="87" t="s">
        <v>285</v>
      </c>
      <c r="L33" s="88">
        <v>88325</v>
      </c>
      <c r="M33" s="87" t="s">
        <v>286</v>
      </c>
      <c r="N33" s="87" t="s">
        <v>329</v>
      </c>
      <c r="O33" s="87" t="s">
        <v>288</v>
      </c>
      <c r="P33" s="81">
        <v>-3179</v>
      </c>
      <c r="Q33" s="83"/>
      <c r="R33" s="125"/>
      <c r="S33" s="125"/>
      <c r="T33" s="125"/>
      <c r="U33" s="83"/>
      <c r="V33" s="83"/>
      <c r="W33" s="83"/>
      <c r="X33" s="83"/>
      <c r="Y33" s="82">
        <f>P33</f>
        <v>-3179</v>
      </c>
      <c r="Z33" s="166" t="s">
        <v>330</v>
      </c>
      <c r="AA33" s="83"/>
      <c r="AB33" s="83"/>
      <c r="AC33" s="83"/>
      <c r="AD33" s="83"/>
      <c r="AE33" s="83"/>
      <c r="AF33" s="83"/>
      <c r="AG33" s="91" t="s">
        <v>331</v>
      </c>
      <c r="AH33" s="87" t="s">
        <v>290</v>
      </c>
      <c r="AI33" s="86">
        <v>-88325</v>
      </c>
      <c r="AJ33" s="87" t="s">
        <v>291</v>
      </c>
    </row>
    <row r="34" spans="1:36">
      <c r="A34" s="86">
        <v>110</v>
      </c>
      <c r="B34" s="87" t="s">
        <v>281</v>
      </c>
      <c r="C34" s="87" t="s">
        <v>282</v>
      </c>
      <c r="D34" s="86">
        <v>3467</v>
      </c>
      <c r="E34" s="86">
        <v>3473</v>
      </c>
      <c r="F34" s="86">
        <v>110</v>
      </c>
      <c r="G34" s="86">
        <v>7</v>
      </c>
      <c r="H34" s="86">
        <v>27</v>
      </c>
      <c r="I34" s="87" t="s">
        <v>283</v>
      </c>
      <c r="J34" s="87" t="s">
        <v>284</v>
      </c>
      <c r="K34" s="87" t="s">
        <v>285</v>
      </c>
      <c r="L34" s="88">
        <v>2782067</v>
      </c>
      <c r="M34" s="87" t="s">
        <v>286</v>
      </c>
      <c r="N34" s="87" t="s">
        <v>287</v>
      </c>
      <c r="O34" s="87" t="s">
        <v>288</v>
      </c>
      <c r="P34" s="81">
        <v>-100132</v>
      </c>
      <c r="Q34" s="83"/>
      <c r="R34" s="125"/>
      <c r="S34" s="125"/>
      <c r="T34" s="125"/>
      <c r="U34" s="83"/>
      <c r="V34" s="83"/>
      <c r="W34" s="83"/>
      <c r="X34" s="83"/>
      <c r="Y34" s="82">
        <f t="shared" ref="Y34:Y35" si="0">P34</f>
        <v>-100132</v>
      </c>
      <c r="Z34" s="166" t="s">
        <v>330</v>
      </c>
      <c r="AA34" s="83"/>
      <c r="AB34" s="83"/>
      <c r="AC34" s="83"/>
      <c r="AD34" s="83"/>
      <c r="AE34" s="83"/>
      <c r="AF34" s="83"/>
      <c r="AG34" s="91" t="s">
        <v>332</v>
      </c>
      <c r="AH34" s="87" t="s">
        <v>290</v>
      </c>
      <c r="AI34" s="86">
        <v>-2782067</v>
      </c>
      <c r="AJ34" s="87" t="s">
        <v>291</v>
      </c>
    </row>
    <row r="35" spans="1:36">
      <c r="A35" s="86">
        <v>110</v>
      </c>
      <c r="B35" s="87" t="s">
        <v>281</v>
      </c>
      <c r="C35" s="87" t="s">
        <v>282</v>
      </c>
      <c r="D35" s="86">
        <v>3468</v>
      </c>
      <c r="E35" s="86">
        <v>3474</v>
      </c>
      <c r="F35" s="86">
        <v>110</v>
      </c>
      <c r="G35" s="86">
        <v>7</v>
      </c>
      <c r="H35" s="86">
        <v>27</v>
      </c>
      <c r="I35" s="87" t="s">
        <v>283</v>
      </c>
      <c r="J35" s="87" t="s">
        <v>284</v>
      </c>
      <c r="K35" s="87" t="s">
        <v>285</v>
      </c>
      <c r="L35" s="88">
        <v>166704</v>
      </c>
      <c r="M35" s="87" t="s">
        <v>286</v>
      </c>
      <c r="N35" s="87" t="s">
        <v>333</v>
      </c>
      <c r="O35" s="87" t="s">
        <v>288</v>
      </c>
      <c r="P35" s="81">
        <v>-6000</v>
      </c>
      <c r="Q35" s="83"/>
      <c r="R35" s="125"/>
      <c r="S35" s="125"/>
      <c r="T35" s="125"/>
      <c r="U35" s="83"/>
      <c r="V35" s="83"/>
      <c r="W35" s="83"/>
      <c r="X35" s="83"/>
      <c r="Y35" s="82">
        <f t="shared" si="0"/>
        <v>-6000</v>
      </c>
      <c r="Z35" s="166" t="s">
        <v>330</v>
      </c>
      <c r="AA35" s="83"/>
      <c r="AB35" s="83"/>
      <c r="AC35" s="83"/>
      <c r="AD35" s="83"/>
      <c r="AE35" s="83"/>
      <c r="AF35" s="83"/>
      <c r="AG35" s="91" t="s">
        <v>334</v>
      </c>
      <c r="AH35" s="87" t="s">
        <v>290</v>
      </c>
      <c r="AI35" s="86">
        <v>-166704</v>
      </c>
      <c r="AJ35" s="87" t="s">
        <v>291</v>
      </c>
    </row>
    <row r="36" spans="1:36">
      <c r="A36" s="86">
        <v>110</v>
      </c>
      <c r="B36" s="87" t="s">
        <v>281</v>
      </c>
      <c r="C36" s="87" t="s">
        <v>282</v>
      </c>
      <c r="D36" s="86">
        <v>4482</v>
      </c>
      <c r="E36" s="86">
        <v>4453</v>
      </c>
      <c r="F36" s="86">
        <v>110</v>
      </c>
      <c r="G36" s="86">
        <v>10</v>
      </c>
      <c r="H36" s="86">
        <v>1</v>
      </c>
      <c r="I36" s="87" t="s">
        <v>283</v>
      </c>
      <c r="J36" s="87" t="s">
        <v>284</v>
      </c>
      <c r="K36" s="87" t="s">
        <v>285</v>
      </c>
      <c r="L36" s="88">
        <v>6497419</v>
      </c>
      <c r="M36" s="87" t="s">
        <v>293</v>
      </c>
      <c r="N36" s="89" t="s">
        <v>335</v>
      </c>
      <c r="O36" s="89" t="s">
        <v>288</v>
      </c>
      <c r="P36" s="81">
        <v>234149.65</v>
      </c>
      <c r="Q36" s="83"/>
      <c r="R36" s="125"/>
      <c r="S36" s="125"/>
      <c r="T36" s="125"/>
      <c r="U36" s="83"/>
      <c r="V36" s="83"/>
      <c r="W36" s="83"/>
      <c r="X36" s="95">
        <f>P36</f>
        <v>234149.65</v>
      </c>
      <c r="Y36" s="83"/>
      <c r="Z36" s="166"/>
      <c r="AA36" s="83"/>
      <c r="AB36" s="83"/>
      <c r="AC36" s="83"/>
      <c r="AD36" s="83"/>
      <c r="AE36" s="83"/>
      <c r="AF36" s="83"/>
      <c r="AG36" s="97" t="s">
        <v>336</v>
      </c>
      <c r="AH36" s="87" t="s">
        <v>290</v>
      </c>
      <c r="AI36" s="86">
        <v>6497419</v>
      </c>
      <c r="AJ36" s="87" t="s">
        <v>291</v>
      </c>
    </row>
    <row r="37" spans="1:36">
      <c r="A37" s="86">
        <v>110</v>
      </c>
      <c r="B37" s="87" t="s">
        <v>281</v>
      </c>
      <c r="C37" s="87" t="s">
        <v>282</v>
      </c>
      <c r="D37" s="86">
        <v>4785</v>
      </c>
      <c r="E37" s="86">
        <v>4730</v>
      </c>
      <c r="F37" s="86">
        <v>110</v>
      </c>
      <c r="G37" s="86">
        <v>10</v>
      </c>
      <c r="H37" s="86">
        <v>21</v>
      </c>
      <c r="I37" s="87" t="s">
        <v>283</v>
      </c>
      <c r="J37" s="87" t="s">
        <v>284</v>
      </c>
      <c r="K37" s="87" t="s">
        <v>285</v>
      </c>
      <c r="L37" s="88">
        <v>5166922</v>
      </c>
      <c r="M37" s="87" t="s">
        <v>293</v>
      </c>
      <c r="N37" s="87" t="s">
        <v>337</v>
      </c>
      <c r="O37" s="87" t="s">
        <v>288</v>
      </c>
      <c r="P37" s="81">
        <v>186202.1</v>
      </c>
      <c r="Q37" s="83"/>
      <c r="R37" s="125"/>
      <c r="S37" s="125"/>
      <c r="T37" s="125"/>
      <c r="U37" s="83"/>
      <c r="V37" s="83"/>
      <c r="W37" s="83"/>
      <c r="X37" s="95">
        <f>P37</f>
        <v>186202.1</v>
      </c>
      <c r="Y37" s="83"/>
      <c r="Z37" s="166"/>
      <c r="AA37" s="83"/>
      <c r="AB37" s="83"/>
      <c r="AC37" s="83"/>
      <c r="AD37" s="83"/>
      <c r="AE37" s="83"/>
      <c r="AF37" s="83"/>
      <c r="AG37" s="97" t="s">
        <v>338</v>
      </c>
      <c r="AH37" s="87" t="s">
        <v>290</v>
      </c>
      <c r="AI37" s="86">
        <v>5166922</v>
      </c>
      <c r="AJ37" s="87" t="s">
        <v>291</v>
      </c>
    </row>
    <row r="38" spans="1:36">
      <c r="A38" s="86">
        <v>110</v>
      </c>
      <c r="B38" s="87" t="s">
        <v>281</v>
      </c>
      <c r="C38" s="87" t="s">
        <v>282</v>
      </c>
      <c r="D38" s="86">
        <v>4836</v>
      </c>
      <c r="E38" s="86">
        <v>4846</v>
      </c>
      <c r="F38" s="86">
        <v>110</v>
      </c>
      <c r="G38" s="86">
        <v>10</v>
      </c>
      <c r="H38" s="86">
        <v>27</v>
      </c>
      <c r="I38" s="87" t="s">
        <v>283</v>
      </c>
      <c r="J38" s="87" t="s">
        <v>284</v>
      </c>
      <c r="K38" s="87" t="s">
        <v>285</v>
      </c>
      <c r="L38" s="88">
        <v>11114251</v>
      </c>
      <c r="M38" s="87" t="s">
        <v>286</v>
      </c>
      <c r="N38" s="87" t="s">
        <v>339</v>
      </c>
      <c r="O38" s="87" t="s">
        <v>288</v>
      </c>
      <c r="P38" s="81">
        <v>-400528</v>
      </c>
      <c r="Q38" s="83"/>
      <c r="R38" s="125"/>
      <c r="S38" s="125"/>
      <c r="T38" s="125"/>
      <c r="U38" s="83"/>
      <c r="V38" s="83"/>
      <c r="W38" s="83"/>
      <c r="X38" s="83"/>
      <c r="Y38" s="82">
        <f t="shared" ref="Y38:Y40" si="1">P38</f>
        <v>-400528</v>
      </c>
      <c r="Z38" s="166" t="s">
        <v>340</v>
      </c>
      <c r="AA38" s="83"/>
      <c r="AB38" s="83"/>
      <c r="AC38" s="83"/>
      <c r="AD38" s="83"/>
      <c r="AE38" s="83"/>
      <c r="AF38" s="83"/>
      <c r="AG38" s="91" t="s">
        <v>341</v>
      </c>
      <c r="AH38" s="87" t="s">
        <v>290</v>
      </c>
      <c r="AI38" s="86">
        <v>-11114251</v>
      </c>
      <c r="AJ38" s="87" t="s">
        <v>291</v>
      </c>
    </row>
    <row r="39" spans="1:36">
      <c r="A39" s="86">
        <v>110</v>
      </c>
      <c r="B39" s="87" t="s">
        <v>281</v>
      </c>
      <c r="C39" s="87" t="s">
        <v>282</v>
      </c>
      <c r="D39" s="86">
        <v>4839</v>
      </c>
      <c r="E39" s="86">
        <v>4847</v>
      </c>
      <c r="F39" s="86">
        <v>110</v>
      </c>
      <c r="G39" s="86">
        <v>10</v>
      </c>
      <c r="H39" s="86">
        <v>27</v>
      </c>
      <c r="I39" s="87" t="s">
        <v>283</v>
      </c>
      <c r="J39" s="87" t="s">
        <v>284</v>
      </c>
      <c r="K39" s="87" t="s">
        <v>285</v>
      </c>
      <c r="L39" s="88">
        <v>383179</v>
      </c>
      <c r="M39" s="87" t="s">
        <v>286</v>
      </c>
      <c r="N39" s="87" t="s">
        <v>342</v>
      </c>
      <c r="O39" s="87" t="s">
        <v>288</v>
      </c>
      <c r="P39" s="81">
        <v>-13808.76</v>
      </c>
      <c r="Q39" s="83"/>
      <c r="R39" s="125"/>
      <c r="S39" s="125"/>
      <c r="T39" s="125"/>
      <c r="U39" s="83"/>
      <c r="V39" s="83"/>
      <c r="W39" s="83"/>
      <c r="X39" s="83"/>
      <c r="Y39" s="82">
        <f t="shared" si="1"/>
        <v>-13808.76</v>
      </c>
      <c r="Z39" s="166" t="s">
        <v>340</v>
      </c>
      <c r="AA39" s="83"/>
      <c r="AB39" s="83"/>
      <c r="AC39" s="83"/>
      <c r="AD39" s="83"/>
      <c r="AE39" s="83"/>
      <c r="AF39" s="83"/>
      <c r="AG39" s="91" t="s">
        <v>343</v>
      </c>
      <c r="AH39" s="87" t="s">
        <v>290</v>
      </c>
      <c r="AI39" s="86">
        <v>-383179</v>
      </c>
      <c r="AJ39" s="87" t="s">
        <v>291</v>
      </c>
    </row>
    <row r="40" spans="1:36">
      <c r="A40" s="86">
        <v>110</v>
      </c>
      <c r="B40" s="87" t="s">
        <v>281</v>
      </c>
      <c r="C40" s="87" t="s">
        <v>282</v>
      </c>
      <c r="D40" s="86">
        <v>4842</v>
      </c>
      <c r="E40" s="86">
        <v>4848</v>
      </c>
      <c r="F40" s="86">
        <v>110</v>
      </c>
      <c r="G40" s="86">
        <v>10</v>
      </c>
      <c r="H40" s="86">
        <v>27</v>
      </c>
      <c r="I40" s="87" t="s">
        <v>283</v>
      </c>
      <c r="J40" s="87" t="s">
        <v>284</v>
      </c>
      <c r="K40" s="87" t="s">
        <v>285</v>
      </c>
      <c r="L40" s="88">
        <v>166494</v>
      </c>
      <c r="M40" s="87" t="s">
        <v>286</v>
      </c>
      <c r="N40" s="87" t="s">
        <v>344</v>
      </c>
      <c r="O40" s="87" t="s">
        <v>288</v>
      </c>
      <c r="P40" s="81">
        <v>-6000</v>
      </c>
      <c r="Q40" s="83"/>
      <c r="R40" s="125"/>
      <c r="S40" s="125"/>
      <c r="T40" s="125"/>
      <c r="U40" s="83"/>
      <c r="V40" s="83"/>
      <c r="W40" s="83"/>
      <c r="X40" s="83"/>
      <c r="Y40" s="82">
        <f t="shared" si="1"/>
        <v>-6000</v>
      </c>
      <c r="Z40" s="166" t="s">
        <v>340</v>
      </c>
      <c r="AA40" s="83"/>
      <c r="AB40" s="83"/>
      <c r="AC40" s="83"/>
      <c r="AD40" s="83"/>
      <c r="AE40" s="83"/>
      <c r="AF40" s="83"/>
      <c r="AG40" s="91" t="s">
        <v>345</v>
      </c>
      <c r="AH40" s="87" t="s">
        <v>290</v>
      </c>
      <c r="AI40" s="86">
        <v>-166494</v>
      </c>
      <c r="AJ40" s="87" t="s">
        <v>291</v>
      </c>
    </row>
    <row r="41" spans="1:36">
      <c r="A41" s="86">
        <v>110</v>
      </c>
      <c r="B41" s="87" t="s">
        <v>281</v>
      </c>
      <c r="C41" s="87" t="s">
        <v>282</v>
      </c>
      <c r="D41" s="86">
        <v>5214</v>
      </c>
      <c r="E41" s="86">
        <v>5187</v>
      </c>
      <c r="F41" s="86">
        <v>110</v>
      </c>
      <c r="G41" s="86">
        <v>11</v>
      </c>
      <c r="H41" s="86">
        <v>19</v>
      </c>
      <c r="I41" s="87" t="s">
        <v>283</v>
      </c>
      <c r="J41" s="87" t="s">
        <v>284</v>
      </c>
      <c r="K41" s="87" t="s">
        <v>285</v>
      </c>
      <c r="L41" s="88">
        <v>6524194</v>
      </c>
      <c r="M41" s="87" t="s">
        <v>293</v>
      </c>
      <c r="N41" s="87" t="s">
        <v>346</v>
      </c>
      <c r="O41" s="87" t="s">
        <v>288</v>
      </c>
      <c r="P41" s="100">
        <v>233056.88</v>
      </c>
      <c r="Q41" s="101"/>
      <c r="R41" s="125"/>
      <c r="S41" s="125"/>
      <c r="T41" s="125"/>
      <c r="U41" s="83"/>
      <c r="V41" s="83"/>
      <c r="W41" s="83"/>
      <c r="X41" s="95">
        <f>P41</f>
        <v>233056.88</v>
      </c>
      <c r="Y41" s="83"/>
      <c r="Z41" s="166"/>
      <c r="AA41" s="83"/>
      <c r="AB41" s="83"/>
      <c r="AC41" s="83"/>
      <c r="AD41" s="83"/>
      <c r="AE41" s="83"/>
      <c r="AF41" s="83"/>
      <c r="AG41" s="102" t="s">
        <v>347</v>
      </c>
      <c r="AH41" s="87" t="s">
        <v>290</v>
      </c>
      <c r="AI41" s="86">
        <v>6524194</v>
      </c>
      <c r="AJ41" s="87" t="s">
        <v>291</v>
      </c>
    </row>
    <row r="42" spans="1:36">
      <c r="A42" s="86">
        <v>110</v>
      </c>
      <c r="B42" s="87" t="s">
        <v>281</v>
      </c>
      <c r="C42" s="87" t="s">
        <v>282</v>
      </c>
      <c r="D42" s="86">
        <v>5297</v>
      </c>
      <c r="E42" s="86">
        <v>5281</v>
      </c>
      <c r="F42" s="86">
        <v>110</v>
      </c>
      <c r="G42" s="86">
        <v>11</v>
      </c>
      <c r="H42" s="86">
        <v>25</v>
      </c>
      <c r="I42" s="87" t="s">
        <v>283</v>
      </c>
      <c r="J42" s="87" t="s">
        <v>284</v>
      </c>
      <c r="K42" s="87" t="s">
        <v>285</v>
      </c>
      <c r="L42" s="88">
        <v>5212121</v>
      </c>
      <c r="M42" s="87" t="s">
        <v>293</v>
      </c>
      <c r="N42" s="87" t="s">
        <v>348</v>
      </c>
      <c r="O42" s="87" t="s">
        <v>288</v>
      </c>
      <c r="P42" s="162">
        <v>186187.08</v>
      </c>
      <c r="Q42" s="83"/>
      <c r="R42" s="125"/>
      <c r="S42" s="125"/>
      <c r="T42" s="125"/>
      <c r="U42" s="83"/>
      <c r="V42" s="83"/>
      <c r="W42" s="83"/>
      <c r="X42" s="95">
        <f>P42</f>
        <v>186187.08</v>
      </c>
      <c r="Y42" s="83"/>
      <c r="Z42" s="166"/>
      <c r="AA42" s="83"/>
      <c r="AB42" s="83"/>
      <c r="AC42" s="83"/>
      <c r="AD42" s="83"/>
      <c r="AE42" s="83"/>
      <c r="AF42" s="83"/>
      <c r="AG42" s="97" t="s">
        <v>349</v>
      </c>
      <c r="AH42" s="87" t="s">
        <v>290</v>
      </c>
      <c r="AI42" s="86">
        <v>5212121</v>
      </c>
      <c r="AJ42" s="87" t="s">
        <v>291</v>
      </c>
    </row>
    <row r="43" spans="1:36">
      <c r="A43" s="86">
        <v>110</v>
      </c>
      <c r="B43" s="87" t="s">
        <v>281</v>
      </c>
      <c r="C43" s="87" t="s">
        <v>282</v>
      </c>
      <c r="D43" s="86">
        <v>5349</v>
      </c>
      <c r="E43" s="86">
        <v>5369</v>
      </c>
      <c r="F43" s="86">
        <v>110</v>
      </c>
      <c r="G43" s="86">
        <v>12</v>
      </c>
      <c r="H43" s="86">
        <v>6</v>
      </c>
      <c r="I43" s="87" t="s">
        <v>283</v>
      </c>
      <c r="J43" s="87" t="s">
        <v>284</v>
      </c>
      <c r="K43" s="87" t="s">
        <v>285</v>
      </c>
      <c r="L43" s="88">
        <v>11139885</v>
      </c>
      <c r="M43" s="87" t="s">
        <v>286</v>
      </c>
      <c r="N43" s="87" t="s">
        <v>350</v>
      </c>
      <c r="O43" s="87" t="s">
        <v>288</v>
      </c>
      <c r="P43" s="81">
        <v>-400528</v>
      </c>
      <c r="Q43" s="83"/>
      <c r="R43" s="125"/>
      <c r="S43" s="125"/>
      <c r="T43" s="125"/>
      <c r="U43" s="83"/>
      <c r="V43" s="83"/>
      <c r="W43" s="83"/>
      <c r="X43" s="83"/>
      <c r="Y43" s="82">
        <f t="shared" ref="Y43:Y45" si="2">P43</f>
        <v>-400528</v>
      </c>
      <c r="Z43" s="166" t="s">
        <v>351</v>
      </c>
      <c r="AA43" s="83"/>
      <c r="AB43" s="83"/>
      <c r="AC43" s="83"/>
      <c r="AD43" s="83"/>
      <c r="AE43" s="83"/>
      <c r="AF43" s="83"/>
      <c r="AG43" s="91" t="s">
        <v>352</v>
      </c>
      <c r="AH43" s="87" t="s">
        <v>290</v>
      </c>
      <c r="AI43" s="86">
        <v>-11139885</v>
      </c>
      <c r="AJ43" s="87" t="s">
        <v>291</v>
      </c>
    </row>
    <row r="44" spans="1:36">
      <c r="A44" s="86">
        <v>110</v>
      </c>
      <c r="B44" s="87" t="s">
        <v>281</v>
      </c>
      <c r="C44" s="87" t="s">
        <v>282</v>
      </c>
      <c r="D44" s="86">
        <v>5350</v>
      </c>
      <c r="E44" s="86">
        <v>5370</v>
      </c>
      <c r="F44" s="86">
        <v>110</v>
      </c>
      <c r="G44" s="86">
        <v>12</v>
      </c>
      <c r="H44" s="86">
        <v>6</v>
      </c>
      <c r="I44" s="87" t="s">
        <v>283</v>
      </c>
      <c r="J44" s="87" t="s">
        <v>284</v>
      </c>
      <c r="K44" s="87" t="s">
        <v>285</v>
      </c>
      <c r="L44" s="88">
        <v>353670</v>
      </c>
      <c r="M44" s="87" t="s">
        <v>286</v>
      </c>
      <c r="N44" s="87" t="s">
        <v>353</v>
      </c>
      <c r="O44" s="87" t="s">
        <v>288</v>
      </c>
      <c r="P44" s="81">
        <v>-12716</v>
      </c>
      <c r="Q44" s="83"/>
      <c r="R44" s="125"/>
      <c r="S44" s="125"/>
      <c r="T44" s="125"/>
      <c r="U44" s="83"/>
      <c r="V44" s="83"/>
      <c r="W44" s="83"/>
      <c r="X44" s="83"/>
      <c r="Y44" s="82">
        <f t="shared" si="2"/>
        <v>-12716</v>
      </c>
      <c r="Z44" s="166" t="s">
        <v>351</v>
      </c>
      <c r="AA44" s="83"/>
      <c r="AB44" s="83"/>
      <c r="AC44" s="83"/>
      <c r="AD44" s="83"/>
      <c r="AE44" s="83"/>
      <c r="AF44" s="83"/>
      <c r="AG44" s="91" t="s">
        <v>354</v>
      </c>
      <c r="AH44" s="87" t="s">
        <v>290</v>
      </c>
      <c r="AI44" s="86">
        <v>-353670</v>
      </c>
      <c r="AJ44" s="87" t="s">
        <v>291</v>
      </c>
    </row>
    <row r="45" spans="1:36">
      <c r="A45" s="86">
        <v>110</v>
      </c>
      <c r="B45" s="87" t="s">
        <v>281</v>
      </c>
      <c r="C45" s="87" t="s">
        <v>282</v>
      </c>
      <c r="D45" s="86">
        <v>5351</v>
      </c>
      <c r="E45" s="86">
        <v>5371</v>
      </c>
      <c r="F45" s="86">
        <v>110</v>
      </c>
      <c r="G45" s="86">
        <v>12</v>
      </c>
      <c r="H45" s="86">
        <v>6</v>
      </c>
      <c r="I45" s="87" t="s">
        <v>283</v>
      </c>
      <c r="J45" s="87" t="s">
        <v>284</v>
      </c>
      <c r="K45" s="87" t="s">
        <v>285</v>
      </c>
      <c r="L45" s="88">
        <v>166878</v>
      </c>
      <c r="M45" s="87" t="s">
        <v>286</v>
      </c>
      <c r="N45" s="87" t="s">
        <v>355</v>
      </c>
      <c r="O45" s="87" t="s">
        <v>288</v>
      </c>
      <c r="P45" s="81">
        <v>-6000</v>
      </c>
      <c r="Q45" s="83"/>
      <c r="R45" s="125"/>
      <c r="S45" s="125"/>
      <c r="T45" s="125"/>
      <c r="U45" s="83"/>
      <c r="V45" s="83"/>
      <c r="W45" s="83"/>
      <c r="X45" s="83"/>
      <c r="Y45" s="82">
        <f t="shared" si="2"/>
        <v>-6000</v>
      </c>
      <c r="Z45" s="166" t="s">
        <v>351</v>
      </c>
      <c r="AA45" s="83"/>
      <c r="AB45" s="83"/>
      <c r="AC45" s="83"/>
      <c r="AD45" s="83"/>
      <c r="AE45" s="83"/>
      <c r="AF45" s="83"/>
      <c r="AG45" s="91" t="s">
        <v>356</v>
      </c>
      <c r="AH45" s="87" t="s">
        <v>290</v>
      </c>
      <c r="AI45" s="86">
        <v>-166878</v>
      </c>
      <c r="AJ45" s="87" t="s">
        <v>291</v>
      </c>
    </row>
    <row r="46" spans="1:36">
      <c r="A46" s="86">
        <v>110</v>
      </c>
      <c r="B46" s="87" t="s">
        <v>281</v>
      </c>
      <c r="C46" s="87" t="s">
        <v>282</v>
      </c>
      <c r="D46" s="86">
        <v>5685</v>
      </c>
      <c r="E46" s="86">
        <v>5655</v>
      </c>
      <c r="F46" s="86">
        <v>110</v>
      </c>
      <c r="G46" s="86">
        <v>12</v>
      </c>
      <c r="H46" s="86">
        <v>21</v>
      </c>
      <c r="I46" s="87" t="s">
        <v>283</v>
      </c>
      <c r="J46" s="87" t="s">
        <v>284</v>
      </c>
      <c r="K46" s="87" t="s">
        <v>285</v>
      </c>
      <c r="L46" s="88">
        <v>2087</v>
      </c>
      <c r="M46" s="87" t="s">
        <v>293</v>
      </c>
      <c r="N46" s="87" t="s">
        <v>287</v>
      </c>
      <c r="O46" s="87" t="s">
        <v>288</v>
      </c>
      <c r="P46" s="90">
        <v>75.13</v>
      </c>
      <c r="Q46" s="83">
        <f>P46</f>
        <v>75.13</v>
      </c>
      <c r="R46" s="125"/>
      <c r="S46" s="125"/>
      <c r="T46" s="125"/>
      <c r="U46" s="83"/>
      <c r="V46" s="83"/>
      <c r="W46" s="83"/>
      <c r="X46" s="83"/>
      <c r="Y46" s="83"/>
      <c r="Z46" s="166"/>
      <c r="AA46" s="83"/>
      <c r="AB46" s="83"/>
      <c r="AC46" s="83"/>
      <c r="AD46" s="83"/>
      <c r="AE46" s="83"/>
      <c r="AF46" s="83"/>
      <c r="AG46" s="91" t="s">
        <v>357</v>
      </c>
      <c r="AH46" s="87" t="s">
        <v>290</v>
      </c>
      <c r="AI46" s="86">
        <v>2087</v>
      </c>
      <c r="AJ46" s="87" t="s">
        <v>291</v>
      </c>
    </row>
    <row r="47" spans="1:36">
      <c r="A47" s="86">
        <v>110</v>
      </c>
      <c r="B47" s="87" t="s">
        <v>281</v>
      </c>
      <c r="C47" s="87" t="s">
        <v>282</v>
      </c>
      <c r="D47" s="86">
        <v>5239</v>
      </c>
      <c r="E47" s="86">
        <v>5211</v>
      </c>
      <c r="F47" s="86">
        <v>110</v>
      </c>
      <c r="G47" s="86">
        <v>11</v>
      </c>
      <c r="H47" s="86">
        <v>22</v>
      </c>
      <c r="I47" s="87" t="s">
        <v>283</v>
      </c>
      <c r="J47" s="87" t="s">
        <v>284</v>
      </c>
      <c r="K47" s="87" t="s">
        <v>285</v>
      </c>
      <c r="L47" s="88">
        <v>1701227</v>
      </c>
      <c r="M47" s="87" t="s">
        <v>293</v>
      </c>
      <c r="N47" s="87" t="s">
        <v>358</v>
      </c>
      <c r="O47" s="98" t="s">
        <v>288</v>
      </c>
      <c r="P47" s="103">
        <v>60771.14</v>
      </c>
      <c r="Q47" s="101"/>
      <c r="R47" s="125"/>
      <c r="S47" s="125"/>
      <c r="T47" s="125"/>
      <c r="U47" s="83"/>
      <c r="V47" s="83"/>
      <c r="W47" s="83"/>
      <c r="X47" s="138">
        <f>P47</f>
        <v>60771.14</v>
      </c>
      <c r="Y47" s="83"/>
      <c r="Z47" s="166"/>
      <c r="AA47" s="83"/>
      <c r="AB47" s="83"/>
      <c r="AC47" s="83"/>
      <c r="AD47" s="83"/>
      <c r="AE47" s="83"/>
      <c r="AF47" s="83"/>
      <c r="AG47" s="104" t="s">
        <v>359</v>
      </c>
      <c r="AH47" s="87" t="s">
        <v>290</v>
      </c>
      <c r="AI47" s="86">
        <v>1701227</v>
      </c>
      <c r="AJ47" s="87" t="s">
        <v>291</v>
      </c>
    </row>
    <row r="48" spans="1:36">
      <c r="A48" s="86">
        <v>111</v>
      </c>
      <c r="B48" s="87" t="s">
        <v>281</v>
      </c>
      <c r="C48" s="87" t="s">
        <v>282</v>
      </c>
      <c r="D48" s="86">
        <v>1044</v>
      </c>
      <c r="E48" s="86">
        <v>1020</v>
      </c>
      <c r="F48" s="86">
        <v>111</v>
      </c>
      <c r="G48" s="86">
        <v>3</v>
      </c>
      <c r="H48" s="86">
        <v>16</v>
      </c>
      <c r="I48" s="87" t="s">
        <v>283</v>
      </c>
      <c r="J48" s="87" t="s">
        <v>284</v>
      </c>
      <c r="K48" s="87" t="s">
        <v>285</v>
      </c>
      <c r="L48" s="88">
        <v>614729</v>
      </c>
      <c r="M48" s="87" t="s">
        <v>293</v>
      </c>
      <c r="N48" s="87" t="s">
        <v>360</v>
      </c>
      <c r="O48" s="87" t="s">
        <v>288</v>
      </c>
      <c r="P48" s="99">
        <v>22070.48</v>
      </c>
      <c r="Q48" s="83"/>
      <c r="R48" s="125"/>
      <c r="S48" s="125"/>
      <c r="T48" s="125"/>
      <c r="U48" s="83"/>
      <c r="V48" s="83"/>
      <c r="W48" s="83"/>
      <c r="X48" s="138">
        <f>P48</f>
        <v>22070.48</v>
      </c>
      <c r="Y48" s="83"/>
      <c r="Z48" s="166"/>
      <c r="AA48" s="83"/>
      <c r="AB48" s="83"/>
      <c r="AC48" s="83"/>
      <c r="AD48" s="83"/>
      <c r="AE48" s="83"/>
      <c r="AF48" s="83"/>
      <c r="AG48" s="91" t="s">
        <v>361</v>
      </c>
      <c r="AH48" s="87" t="s">
        <v>290</v>
      </c>
      <c r="AI48" s="86">
        <v>614729</v>
      </c>
      <c r="AJ48" s="87" t="s">
        <v>291</v>
      </c>
    </row>
    <row r="49" spans="1:36">
      <c r="A49" s="86">
        <v>111</v>
      </c>
      <c r="B49" s="87" t="s">
        <v>281</v>
      </c>
      <c r="C49" s="87" t="s">
        <v>282</v>
      </c>
      <c r="D49" s="86">
        <v>1067</v>
      </c>
      <c r="E49" s="86">
        <v>1114</v>
      </c>
      <c r="F49" s="86">
        <v>111</v>
      </c>
      <c r="G49" s="86">
        <v>3</v>
      </c>
      <c r="H49" s="86">
        <v>23</v>
      </c>
      <c r="I49" s="87" t="s">
        <v>283</v>
      </c>
      <c r="J49" s="87" t="s">
        <v>284</v>
      </c>
      <c r="K49" s="87" t="s">
        <v>285</v>
      </c>
      <c r="L49" s="88">
        <v>1216140</v>
      </c>
      <c r="M49" s="87" t="s">
        <v>286</v>
      </c>
      <c r="N49" s="87" t="s">
        <v>287</v>
      </c>
      <c r="O49" s="87" t="s">
        <v>288</v>
      </c>
      <c r="P49" s="81">
        <v>-43662.8</v>
      </c>
      <c r="Q49" s="83"/>
      <c r="R49" s="125"/>
      <c r="S49" s="125"/>
      <c r="T49" s="125"/>
      <c r="U49" s="83"/>
      <c r="V49" s="83"/>
      <c r="W49" s="83"/>
      <c r="X49" s="83"/>
      <c r="Y49" s="82">
        <f t="shared" ref="Y49:Y50" si="3">P49</f>
        <v>-43662.8</v>
      </c>
      <c r="Z49" s="113" t="s">
        <v>362</v>
      </c>
      <c r="AA49" s="83"/>
      <c r="AB49" s="83"/>
      <c r="AC49" s="83"/>
      <c r="AD49" s="83"/>
      <c r="AE49" s="83"/>
      <c r="AF49" s="83"/>
      <c r="AG49" s="91" t="s">
        <v>363</v>
      </c>
      <c r="AH49" s="87" t="s">
        <v>290</v>
      </c>
      <c r="AI49" s="86">
        <v>-1216140</v>
      </c>
      <c r="AJ49" s="87" t="s">
        <v>291</v>
      </c>
    </row>
    <row r="50" spans="1:36">
      <c r="A50" s="86">
        <v>111</v>
      </c>
      <c r="B50" s="87" t="s">
        <v>281</v>
      </c>
      <c r="C50" s="87" t="s">
        <v>282</v>
      </c>
      <c r="D50" s="86">
        <v>1069</v>
      </c>
      <c r="E50" s="86">
        <v>1115</v>
      </c>
      <c r="F50" s="86">
        <v>111</v>
      </c>
      <c r="G50" s="86">
        <v>3</v>
      </c>
      <c r="H50" s="86">
        <v>23</v>
      </c>
      <c r="I50" s="87" t="s">
        <v>283</v>
      </c>
      <c r="J50" s="87" t="s">
        <v>284</v>
      </c>
      <c r="K50" s="87" t="s">
        <v>285</v>
      </c>
      <c r="L50" s="88">
        <v>167118</v>
      </c>
      <c r="M50" s="87" t="s">
        <v>286</v>
      </c>
      <c r="N50" s="87" t="s">
        <v>287</v>
      </c>
      <c r="O50" s="87" t="s">
        <v>288</v>
      </c>
      <c r="P50" s="81">
        <v>-6000</v>
      </c>
      <c r="Q50" s="83"/>
      <c r="R50" s="125"/>
      <c r="S50" s="125"/>
      <c r="T50" s="125"/>
      <c r="U50" s="83"/>
      <c r="V50" s="83"/>
      <c r="W50" s="83"/>
      <c r="X50" s="83"/>
      <c r="Y50" s="82">
        <f t="shared" si="3"/>
        <v>-6000</v>
      </c>
      <c r="Z50" s="113" t="s">
        <v>362</v>
      </c>
      <c r="AA50" s="83"/>
      <c r="AB50" s="83"/>
      <c r="AC50" s="83"/>
      <c r="AD50" s="83"/>
      <c r="AE50" s="83"/>
      <c r="AF50" s="83"/>
      <c r="AG50" s="91" t="s">
        <v>364</v>
      </c>
      <c r="AH50" s="87" t="s">
        <v>290</v>
      </c>
      <c r="AI50" s="86">
        <v>-167118</v>
      </c>
      <c r="AJ50" s="87" t="s">
        <v>291</v>
      </c>
    </row>
    <row r="51" spans="1:36">
      <c r="A51" s="86">
        <v>111</v>
      </c>
      <c r="B51" s="87" t="s">
        <v>281</v>
      </c>
      <c r="C51" s="87" t="s">
        <v>282</v>
      </c>
      <c r="D51" s="86">
        <v>1438</v>
      </c>
      <c r="E51" s="86">
        <v>1417</v>
      </c>
      <c r="F51" s="86">
        <v>111</v>
      </c>
      <c r="G51" s="86">
        <v>4</v>
      </c>
      <c r="H51" s="86">
        <v>15</v>
      </c>
      <c r="I51" s="87" t="s">
        <v>283</v>
      </c>
      <c r="J51" s="87" t="s">
        <v>284</v>
      </c>
      <c r="K51" s="87" t="s">
        <v>285</v>
      </c>
      <c r="L51" s="88">
        <v>282442</v>
      </c>
      <c r="M51" s="87" t="s">
        <v>293</v>
      </c>
      <c r="N51" s="87" t="s">
        <v>365</v>
      </c>
      <c r="O51" s="87" t="s">
        <v>288</v>
      </c>
      <c r="P51" s="81">
        <v>9931.5</v>
      </c>
      <c r="Q51" s="83"/>
      <c r="R51" s="125"/>
      <c r="S51" s="125"/>
      <c r="T51" s="125"/>
      <c r="U51" s="83"/>
      <c r="V51" s="83"/>
      <c r="W51" s="83"/>
      <c r="X51" s="83"/>
      <c r="Y51" s="83"/>
      <c r="Z51" s="166"/>
      <c r="AA51" s="95">
        <f>P51</f>
        <v>9931.5</v>
      </c>
      <c r="AB51" s="83"/>
      <c r="AC51" s="83"/>
      <c r="AD51" s="83"/>
      <c r="AE51" s="83"/>
      <c r="AF51" s="83"/>
      <c r="AG51" s="91" t="s">
        <v>366</v>
      </c>
      <c r="AH51" s="87" t="s">
        <v>290</v>
      </c>
      <c r="AI51" s="86">
        <v>282442</v>
      </c>
      <c r="AJ51" s="87" t="s">
        <v>291</v>
      </c>
    </row>
    <row r="52" spans="1:36">
      <c r="A52" s="86">
        <v>111</v>
      </c>
      <c r="B52" s="87" t="s">
        <v>281</v>
      </c>
      <c r="C52" s="87" t="s">
        <v>282</v>
      </c>
      <c r="D52" s="86">
        <v>2169</v>
      </c>
      <c r="E52" s="86">
        <v>2155</v>
      </c>
      <c r="F52" s="86">
        <v>111</v>
      </c>
      <c r="G52" s="86">
        <v>6</v>
      </c>
      <c r="H52" s="86">
        <v>21</v>
      </c>
      <c r="I52" s="87" t="s">
        <v>283</v>
      </c>
      <c r="J52" s="87" t="s">
        <v>284</v>
      </c>
      <c r="K52" s="87" t="s">
        <v>285</v>
      </c>
      <c r="L52" s="88">
        <v>6331</v>
      </c>
      <c r="M52" s="87" t="s">
        <v>293</v>
      </c>
      <c r="N52" s="87" t="s">
        <v>287</v>
      </c>
      <c r="O52" s="87" t="s">
        <v>288</v>
      </c>
      <c r="P52" s="81">
        <v>213.24</v>
      </c>
      <c r="Q52" s="83">
        <f>P52</f>
        <v>213.24</v>
      </c>
      <c r="R52" s="125"/>
      <c r="S52" s="125"/>
      <c r="T52" s="125"/>
      <c r="U52" s="83"/>
      <c r="V52" s="83"/>
      <c r="W52" s="83"/>
      <c r="X52" s="83"/>
      <c r="Y52" s="83"/>
      <c r="Z52" s="166"/>
      <c r="AA52" s="95"/>
      <c r="AB52" s="83"/>
      <c r="AC52" s="83"/>
      <c r="AD52" s="83"/>
      <c r="AE52" s="83"/>
      <c r="AF52" s="83"/>
      <c r="AG52" s="91" t="s">
        <v>367</v>
      </c>
      <c r="AH52" s="87" t="s">
        <v>290</v>
      </c>
      <c r="AI52" s="86">
        <v>6331</v>
      </c>
      <c r="AJ52" s="87" t="s">
        <v>291</v>
      </c>
    </row>
    <row r="53" spans="1:36">
      <c r="A53" s="86">
        <v>111</v>
      </c>
      <c r="B53" s="87" t="s">
        <v>281</v>
      </c>
      <c r="C53" s="87" t="s">
        <v>282</v>
      </c>
      <c r="D53" s="86">
        <v>2240</v>
      </c>
      <c r="E53" s="86">
        <v>2217</v>
      </c>
      <c r="F53" s="86">
        <v>111</v>
      </c>
      <c r="G53" s="86">
        <v>6</v>
      </c>
      <c r="H53" s="86">
        <v>27</v>
      </c>
      <c r="I53" s="87" t="s">
        <v>283</v>
      </c>
      <c r="J53" s="87" t="s">
        <v>284</v>
      </c>
      <c r="K53" s="87" t="s">
        <v>285</v>
      </c>
      <c r="L53" s="88">
        <v>884760</v>
      </c>
      <c r="M53" s="87" t="s">
        <v>293</v>
      </c>
      <c r="N53" s="87" t="s">
        <v>368</v>
      </c>
      <c r="O53" s="87" t="s">
        <v>288</v>
      </c>
      <c r="P53" s="81">
        <v>29794.92</v>
      </c>
      <c r="Q53" s="83"/>
      <c r="R53" s="125"/>
      <c r="S53" s="125"/>
      <c r="T53" s="125"/>
      <c r="U53" s="83"/>
      <c r="V53" s="83"/>
      <c r="W53" s="83"/>
      <c r="X53" s="83"/>
      <c r="Y53" s="83"/>
      <c r="Z53" s="166"/>
      <c r="AA53" s="95">
        <f>P53</f>
        <v>29794.92</v>
      </c>
      <c r="AB53" s="83"/>
      <c r="AC53" s="83"/>
      <c r="AD53" s="83"/>
      <c r="AE53" s="83"/>
      <c r="AF53" s="83"/>
      <c r="AG53" s="91" t="s">
        <v>369</v>
      </c>
      <c r="AH53" s="87" t="s">
        <v>290</v>
      </c>
      <c r="AI53" s="86">
        <v>884760</v>
      </c>
      <c r="AJ53" s="87" t="s">
        <v>291</v>
      </c>
    </row>
    <row r="54" spans="1:36">
      <c r="A54" s="86">
        <v>111</v>
      </c>
      <c r="B54" s="87" t="s">
        <v>281</v>
      </c>
      <c r="C54" s="87" t="s">
        <v>282</v>
      </c>
      <c r="D54" s="86">
        <v>2333</v>
      </c>
      <c r="E54" s="86">
        <v>2304</v>
      </c>
      <c r="F54" s="86">
        <v>111</v>
      </c>
      <c r="G54" s="86">
        <v>7</v>
      </c>
      <c r="H54" s="86">
        <v>5</v>
      </c>
      <c r="I54" s="87" t="s">
        <v>283</v>
      </c>
      <c r="J54" s="87" t="s">
        <v>284</v>
      </c>
      <c r="K54" s="87" t="s">
        <v>285</v>
      </c>
      <c r="L54" s="88">
        <v>588222</v>
      </c>
      <c r="M54" s="87" t="s">
        <v>293</v>
      </c>
      <c r="N54" s="87" t="s">
        <v>370</v>
      </c>
      <c r="O54" s="87" t="s">
        <v>288</v>
      </c>
      <c r="P54" s="81">
        <v>19858.28</v>
      </c>
      <c r="Q54" s="83"/>
      <c r="R54" s="125"/>
      <c r="S54" s="125"/>
      <c r="T54" s="125"/>
      <c r="U54" s="83"/>
      <c r="V54" s="83"/>
      <c r="W54" s="83"/>
      <c r="X54" s="83"/>
      <c r="Y54" s="83"/>
      <c r="Z54" s="166"/>
      <c r="AA54" s="95">
        <f>P54</f>
        <v>19858.28</v>
      </c>
      <c r="AB54" s="83"/>
      <c r="AC54" s="83"/>
      <c r="AD54" s="83"/>
      <c r="AE54" s="83"/>
      <c r="AF54" s="83"/>
      <c r="AG54" s="91" t="s">
        <v>371</v>
      </c>
      <c r="AH54" s="87" t="s">
        <v>290</v>
      </c>
      <c r="AI54" s="86">
        <v>588222</v>
      </c>
      <c r="AJ54" s="87" t="s">
        <v>291</v>
      </c>
    </row>
    <row r="55" spans="1:36">
      <c r="A55" s="86">
        <v>111</v>
      </c>
      <c r="B55" s="87" t="s">
        <v>281</v>
      </c>
      <c r="C55" s="87" t="s">
        <v>282</v>
      </c>
      <c r="D55" s="86">
        <v>2360</v>
      </c>
      <c r="E55" s="86">
        <v>2476</v>
      </c>
      <c r="F55" s="86">
        <v>111</v>
      </c>
      <c r="G55" s="86">
        <v>7</v>
      </c>
      <c r="H55" s="86">
        <v>19</v>
      </c>
      <c r="I55" s="87" t="s">
        <v>283</v>
      </c>
      <c r="J55" s="87" t="s">
        <v>284</v>
      </c>
      <c r="K55" s="87" t="s">
        <v>285</v>
      </c>
      <c r="L55" s="88">
        <v>1408419</v>
      </c>
      <c r="M55" s="87" t="s">
        <v>286</v>
      </c>
      <c r="N55" s="87" t="s">
        <v>287</v>
      </c>
      <c r="O55" s="87" t="s">
        <v>288</v>
      </c>
      <c r="P55" s="81">
        <v>-47548</v>
      </c>
      <c r="Q55" s="83"/>
      <c r="R55" s="125"/>
      <c r="S55" s="125"/>
      <c r="T55" s="125"/>
      <c r="U55" s="83"/>
      <c r="V55" s="83"/>
      <c r="W55" s="83"/>
      <c r="X55" s="83"/>
      <c r="Y55" s="83"/>
      <c r="Z55" s="166"/>
      <c r="AA55" s="83"/>
      <c r="AB55" s="82">
        <f>P55</f>
        <v>-47548</v>
      </c>
      <c r="AC55" s="83" t="s">
        <v>330</v>
      </c>
      <c r="AD55" s="83"/>
      <c r="AE55" s="83"/>
      <c r="AF55" s="83"/>
      <c r="AG55" s="91" t="s">
        <v>372</v>
      </c>
      <c r="AH55" s="87" t="s">
        <v>290</v>
      </c>
      <c r="AI55" s="86">
        <v>-1408419</v>
      </c>
      <c r="AJ55" s="87" t="s">
        <v>291</v>
      </c>
    </row>
    <row r="56" spans="1:36">
      <c r="A56" s="86">
        <v>111</v>
      </c>
      <c r="B56" s="87" t="s">
        <v>281</v>
      </c>
      <c r="C56" s="87" t="s">
        <v>282</v>
      </c>
      <c r="D56" s="86">
        <v>2361</v>
      </c>
      <c r="E56" s="86">
        <v>2477</v>
      </c>
      <c r="F56" s="86">
        <v>111</v>
      </c>
      <c r="G56" s="86">
        <v>7</v>
      </c>
      <c r="H56" s="86">
        <v>19</v>
      </c>
      <c r="I56" s="87" t="s">
        <v>283</v>
      </c>
      <c r="J56" s="87" t="s">
        <v>284</v>
      </c>
      <c r="K56" s="87" t="s">
        <v>285</v>
      </c>
      <c r="L56" s="88">
        <v>179859</v>
      </c>
      <c r="M56" s="87" t="s">
        <v>286</v>
      </c>
      <c r="N56" s="87" t="s">
        <v>287</v>
      </c>
      <c r="O56" s="87" t="s">
        <v>288</v>
      </c>
      <c r="P56" s="81">
        <v>-6072</v>
      </c>
      <c r="Q56" s="83"/>
      <c r="R56" s="125"/>
      <c r="S56" s="125"/>
      <c r="T56" s="125"/>
      <c r="U56" s="83"/>
      <c r="V56" s="83"/>
      <c r="W56" s="83"/>
      <c r="X56" s="83"/>
      <c r="Y56" s="83"/>
      <c r="Z56" s="166"/>
      <c r="AA56" s="83"/>
      <c r="AB56" s="82">
        <f t="shared" ref="AB56:AB57" si="4">P56</f>
        <v>-6072</v>
      </c>
      <c r="AC56" s="83" t="s">
        <v>330</v>
      </c>
      <c r="AD56" s="83"/>
      <c r="AE56" s="83"/>
      <c r="AF56" s="83"/>
      <c r="AG56" s="91" t="s">
        <v>373</v>
      </c>
      <c r="AH56" s="87" t="s">
        <v>290</v>
      </c>
      <c r="AI56" s="86">
        <v>-179859</v>
      </c>
      <c r="AJ56" s="87" t="s">
        <v>291</v>
      </c>
    </row>
    <row r="57" spans="1:36">
      <c r="A57" s="86">
        <v>111</v>
      </c>
      <c r="B57" s="87" t="s">
        <v>281</v>
      </c>
      <c r="C57" s="87" t="s">
        <v>282</v>
      </c>
      <c r="D57" s="86">
        <v>2362</v>
      </c>
      <c r="E57" s="86">
        <v>2545</v>
      </c>
      <c r="F57" s="86">
        <v>111</v>
      </c>
      <c r="G57" s="86">
        <v>7</v>
      </c>
      <c r="H57" s="86">
        <v>25</v>
      </c>
      <c r="I57" s="87" t="s">
        <v>283</v>
      </c>
      <c r="J57" s="87" t="s">
        <v>284</v>
      </c>
      <c r="K57" s="87" t="s">
        <v>285</v>
      </c>
      <c r="L57" s="88">
        <v>177726</v>
      </c>
      <c r="M57" s="87" t="s">
        <v>286</v>
      </c>
      <c r="N57" s="87" t="s">
        <v>287</v>
      </c>
      <c r="O57" s="87" t="s">
        <v>288</v>
      </c>
      <c r="P57" s="81">
        <v>-6000</v>
      </c>
      <c r="Q57" s="83"/>
      <c r="R57" s="125"/>
      <c r="S57" s="125"/>
      <c r="T57" s="125"/>
      <c r="U57" s="83"/>
      <c r="V57" s="83"/>
      <c r="W57" s="83"/>
      <c r="X57" s="83"/>
      <c r="Y57" s="83"/>
      <c r="Z57" s="166"/>
      <c r="AA57" s="83"/>
      <c r="AB57" s="82">
        <f t="shared" si="4"/>
        <v>-6000</v>
      </c>
      <c r="AC57" s="83" t="s">
        <v>330</v>
      </c>
      <c r="AD57" s="83"/>
      <c r="AE57" s="83"/>
      <c r="AF57" s="83"/>
      <c r="AG57" s="91" t="s">
        <v>374</v>
      </c>
      <c r="AH57" s="87" t="s">
        <v>290</v>
      </c>
      <c r="AI57" s="86">
        <v>-177726</v>
      </c>
      <c r="AJ57" s="87" t="s">
        <v>291</v>
      </c>
    </row>
    <row r="58" spans="1:36">
      <c r="A58" s="86">
        <v>111</v>
      </c>
      <c r="B58" s="87" t="s">
        <v>281</v>
      </c>
      <c r="C58" s="87" t="s">
        <v>282</v>
      </c>
      <c r="D58" s="86">
        <v>2618</v>
      </c>
      <c r="E58" s="86">
        <v>2592</v>
      </c>
      <c r="F58" s="86">
        <v>111</v>
      </c>
      <c r="G58" s="86">
        <v>7</v>
      </c>
      <c r="H58" s="86">
        <v>27</v>
      </c>
      <c r="I58" s="87" t="s">
        <v>283</v>
      </c>
      <c r="J58" s="87" t="s">
        <v>284</v>
      </c>
      <c r="K58" s="87" t="s">
        <v>285</v>
      </c>
      <c r="L58" s="88">
        <v>2682567</v>
      </c>
      <c r="M58" s="87" t="s">
        <v>293</v>
      </c>
      <c r="N58" s="87" t="s">
        <v>375</v>
      </c>
      <c r="O58" s="87" t="s">
        <v>288</v>
      </c>
      <c r="P58" s="81">
        <v>90563.02</v>
      </c>
      <c r="Q58" s="83"/>
      <c r="R58" s="125"/>
      <c r="S58" s="125"/>
      <c r="T58" s="125"/>
      <c r="U58" s="83"/>
      <c r="V58" s="83"/>
      <c r="W58" s="83"/>
      <c r="X58" s="83"/>
      <c r="Y58" s="83"/>
      <c r="Z58" s="166"/>
      <c r="AA58" s="138">
        <f>P58</f>
        <v>90563.02</v>
      </c>
      <c r="AB58" s="83"/>
      <c r="AC58" s="83" t="s">
        <v>109</v>
      </c>
      <c r="AD58" s="83"/>
      <c r="AE58" s="83"/>
      <c r="AF58" s="83"/>
      <c r="AG58" s="91" t="s">
        <v>376</v>
      </c>
      <c r="AH58" s="87" t="s">
        <v>290</v>
      </c>
      <c r="AI58" s="86">
        <v>2682567</v>
      </c>
      <c r="AJ58" s="87" t="s">
        <v>291</v>
      </c>
    </row>
    <row r="59" spans="1:36">
      <c r="P59" s="105">
        <f>SUM(P29:P58)</f>
        <v>164002.50999999983</v>
      </c>
      <c r="Q59" s="108">
        <f>SUM(Q29:Q58)</f>
        <v>424.65999999999997</v>
      </c>
      <c r="R59" s="164"/>
      <c r="S59" s="164"/>
      <c r="T59" s="164"/>
      <c r="U59" s="106">
        <f>SUM(U4:U58)</f>
        <v>39892.129999999997</v>
      </c>
      <c r="V59" s="107">
        <f>SUM(V4:V58)</f>
        <v>0</v>
      </c>
      <c r="W59" s="108"/>
      <c r="X59" s="106">
        <f>SUM(X4:X58)</f>
        <v>1031712.5599999999</v>
      </c>
      <c r="Y59" s="107">
        <f>SUM(Y4:Y58)</f>
        <v>-998554.56</v>
      </c>
      <c r="Z59" s="167"/>
      <c r="AA59" s="106">
        <f>SUM(AA4:AA58)</f>
        <v>150147.72</v>
      </c>
      <c r="AB59" s="107">
        <f>SUM(AB4:AB58)</f>
        <v>-59620</v>
      </c>
      <c r="AC59" s="108"/>
      <c r="AD59" s="106">
        <f>SUM(AD4:AD58)</f>
        <v>0</v>
      </c>
      <c r="AE59" s="107">
        <f>SUM(AE4:AE58)</f>
        <v>0</v>
      </c>
      <c r="AF59" s="108"/>
    </row>
    <row r="60" spans="1:36" s="160" customFormat="1" ht="14.25" hidden="1">
      <c r="L60" s="161"/>
      <c r="O60" s="153" t="s">
        <v>377</v>
      </c>
      <c r="P60" s="154">
        <f>SUM(Q60:AF60)-P59</f>
        <v>0</v>
      </c>
      <c r="Q60" s="151">
        <f>SUM(Q29:Q58)</f>
        <v>424.65999999999997</v>
      </c>
      <c r="R60" s="151"/>
      <c r="S60" s="151"/>
      <c r="T60" s="151"/>
      <c r="U60" s="151">
        <f>U59</f>
        <v>39892.129999999997</v>
      </c>
      <c r="V60" s="151">
        <f>V59</f>
        <v>0</v>
      </c>
      <c r="W60" s="151"/>
      <c r="X60" s="151">
        <f>X59</f>
        <v>1031712.5599999999</v>
      </c>
      <c r="Y60" s="151">
        <f>Y59</f>
        <v>-998554.56</v>
      </c>
      <c r="Z60" s="168"/>
      <c r="AA60" s="151">
        <f>AA59</f>
        <v>150147.72</v>
      </c>
      <c r="AB60" s="151">
        <f>AB59</f>
        <v>-59620</v>
      </c>
      <c r="AC60" s="152"/>
      <c r="AD60" s="151">
        <f>AD59</f>
        <v>0</v>
      </c>
      <c r="AE60" s="151">
        <f>AE59</f>
        <v>0</v>
      </c>
      <c r="AF60" s="152"/>
    </row>
    <row r="61" spans="1:36" s="155" customFormat="1" ht="18.600000000000001" customHeight="1">
      <c r="O61" s="158" t="s">
        <v>222</v>
      </c>
      <c r="P61" s="159">
        <f>SUM(Q61:AF61)</f>
        <v>163577.84999999989</v>
      </c>
      <c r="U61" s="156"/>
      <c r="V61" s="157">
        <f>U59+V59</f>
        <v>39892.129999999997</v>
      </c>
      <c r="Y61" s="157">
        <f>X59+Y59</f>
        <v>33157.999999999884</v>
      </c>
      <c r="Z61" s="169"/>
      <c r="AB61" s="157">
        <f>AA59+AB59</f>
        <v>90527.72</v>
      </c>
      <c r="AE61" s="157">
        <f>AD59+AE59</f>
        <v>0</v>
      </c>
    </row>
    <row r="62" spans="1:36">
      <c r="O62" s="68" t="s">
        <v>378</v>
      </c>
      <c r="P62" s="171">
        <f>SUM(U59,X59,AA59,AD59)</f>
        <v>1221752.4099999999</v>
      </c>
    </row>
    <row r="63" spans="1:36">
      <c r="O63" s="68" t="s">
        <v>379</v>
      </c>
      <c r="P63" s="171">
        <f>SUM(V59,Y59,,AB59,AE59)</f>
        <v>-1058174.56</v>
      </c>
    </row>
    <row r="64" spans="1:36">
      <c r="P64" s="175"/>
      <c r="X64" s="114"/>
    </row>
    <row r="68" spans="14:14" ht="18.75">
      <c r="N68" s="279">
        <f>163618.8388056-P61</f>
        <v>40.98880560012185</v>
      </c>
    </row>
  </sheetData>
  <autoFilter ref="A2:AJ60" xr:uid="{00000000-0009-0000-0000-000005000000}"/>
  <mergeCells count="5">
    <mergeCell ref="R1:T1"/>
    <mergeCell ref="X1:Z1"/>
    <mergeCell ref="AA1:AC1"/>
    <mergeCell ref="AD1:AF1"/>
    <mergeCell ref="U1:W1"/>
  </mergeCells>
  <phoneticPr fontId="5" type="noConversion"/>
  <pageMargins left="0" right="0" top="0" bottom="0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4"/>
  <sheetViews>
    <sheetView workbookViewId="0">
      <selection activeCell="G19" sqref="G19"/>
    </sheetView>
  </sheetViews>
  <sheetFormatPr defaultColWidth="8.75" defaultRowHeight="16.5"/>
  <cols>
    <col min="1" max="1" width="8.75" style="109"/>
    <col min="2" max="3" width="12" style="109" bestFit="1" customWidth="1"/>
    <col min="4" max="4" width="13.125" style="109" bestFit="1" customWidth="1"/>
    <col min="5" max="5" width="12" style="109" bestFit="1" customWidth="1"/>
    <col min="6" max="16384" width="8.75" style="109"/>
  </cols>
  <sheetData>
    <row r="2" spans="1:4">
      <c r="A2" s="111" t="s">
        <v>380</v>
      </c>
      <c r="D2" s="110" t="s">
        <v>252</v>
      </c>
    </row>
    <row r="3" spans="1:4">
      <c r="A3" s="109" t="s">
        <v>16</v>
      </c>
      <c r="B3" s="109">
        <v>100132</v>
      </c>
      <c r="C3" s="109">
        <v>3179</v>
      </c>
      <c r="D3" s="111">
        <f>SUM(B3:C3)</f>
        <v>103311</v>
      </c>
    </row>
    <row r="4" spans="1:4">
      <c r="A4" s="109" t="s">
        <v>50</v>
      </c>
      <c r="B4" s="109">
        <v>400528</v>
      </c>
      <c r="C4" s="109">
        <v>12716</v>
      </c>
      <c r="D4" s="111">
        <f t="shared" ref="D4:D5" si="0">SUM(B4:C4)</f>
        <v>413244</v>
      </c>
    </row>
    <row r="5" spans="1:4">
      <c r="A5" s="109" t="s">
        <v>53</v>
      </c>
      <c r="B5" s="109">
        <v>400528</v>
      </c>
      <c r="C5" s="109">
        <v>12716</v>
      </c>
      <c r="D5" s="111">
        <f t="shared" si="0"/>
        <v>413244</v>
      </c>
    </row>
    <row r="6" spans="1:4">
      <c r="C6" s="111" t="s">
        <v>252</v>
      </c>
      <c r="D6" s="111">
        <f>SUM(D3:D5)</f>
        <v>929799</v>
      </c>
    </row>
    <row r="7" spans="1:4">
      <c r="A7" s="111" t="s">
        <v>380</v>
      </c>
    </row>
    <row r="8" spans="1:4">
      <c r="A8" s="109" t="s">
        <v>381</v>
      </c>
      <c r="D8" s="109">
        <v>507.98</v>
      </c>
    </row>
    <row r="9" spans="1:4">
      <c r="A9" s="109" t="s">
        <v>381</v>
      </c>
      <c r="D9" s="109">
        <v>507.98</v>
      </c>
    </row>
    <row r="10" spans="1:4">
      <c r="A10" s="109" t="s">
        <v>158</v>
      </c>
      <c r="D10" s="109">
        <v>42646.84</v>
      </c>
    </row>
    <row r="11" spans="1:4">
      <c r="C11" s="111" t="s">
        <v>252</v>
      </c>
      <c r="D11" s="111">
        <f>SUM(D8:D10)</f>
        <v>43662.799999999996</v>
      </c>
    </row>
    <row r="14" spans="1:4">
      <c r="C14" s="112" t="s">
        <v>382</v>
      </c>
      <c r="D14" s="112">
        <f>D6+D11</f>
        <v>973461.8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8"/>
  <sheetViews>
    <sheetView zoomScaleNormal="100" workbookViewId="0">
      <selection activeCell="I9" sqref="I9"/>
    </sheetView>
  </sheetViews>
  <sheetFormatPr defaultColWidth="8.625" defaultRowHeight="16.5"/>
  <cols>
    <col min="1" max="1" width="11.25" style="176" customWidth="1"/>
    <col min="2" max="2" width="11.5" style="176" customWidth="1"/>
    <col min="3" max="3" width="20.5" style="176" customWidth="1"/>
    <col min="4" max="4" width="24.625" style="176" hidden="1" customWidth="1"/>
    <col min="5" max="5" width="20.875" style="176" hidden="1" customWidth="1"/>
    <col min="6" max="6" width="13.75" style="176" hidden="1" customWidth="1"/>
    <col min="7" max="7" width="20.5" style="176" hidden="1" customWidth="1"/>
    <col min="8" max="8" width="14.75" style="176" customWidth="1"/>
    <col min="9" max="9" width="16.25" style="176" customWidth="1"/>
    <col min="10" max="10" width="9.875" style="176" customWidth="1"/>
    <col min="11" max="11" width="15.125" style="176" customWidth="1"/>
    <col min="12" max="13" width="16.5" style="176" customWidth="1"/>
    <col min="14" max="14" width="9.875" style="176" bestFit="1" customWidth="1"/>
    <col min="15" max="15" width="15.625" style="176" bestFit="1" customWidth="1"/>
    <col min="16" max="16" width="17.125" style="176" bestFit="1" customWidth="1"/>
    <col min="17" max="17" width="18.875" style="176" bestFit="1" customWidth="1"/>
    <col min="18" max="18" width="9.875" style="176" bestFit="1" customWidth="1"/>
    <col min="19" max="20" width="11.125" style="176" bestFit="1" customWidth="1"/>
    <col min="21" max="21" width="9.875" style="176" bestFit="1" customWidth="1"/>
    <col min="22" max="22" width="11.125" style="176" bestFit="1" customWidth="1"/>
    <col min="23" max="23" width="8.625" style="177"/>
    <col min="24" max="16384" width="8.625" style="176"/>
  </cols>
  <sheetData>
    <row r="1" spans="1:23">
      <c r="B1" s="176" t="s">
        <v>383</v>
      </c>
    </row>
    <row r="2" spans="1:23" ht="31.5">
      <c r="A2" s="178"/>
      <c r="B2" s="179" t="s">
        <v>384</v>
      </c>
      <c r="C2" s="179" t="s">
        <v>385</v>
      </c>
      <c r="D2" s="179" t="s">
        <v>386</v>
      </c>
      <c r="E2" s="179" t="s">
        <v>387</v>
      </c>
      <c r="F2" s="180" t="s">
        <v>388</v>
      </c>
      <c r="G2" s="179" t="s">
        <v>389</v>
      </c>
      <c r="V2" s="177"/>
      <c r="W2" s="176"/>
    </row>
    <row r="3" spans="1:23" s="187" customFormat="1" ht="15.75">
      <c r="A3" s="181" t="s">
        <v>390</v>
      </c>
      <c r="B3" s="182"/>
      <c r="C3" s="183"/>
      <c r="D3" s="184">
        <v>530684</v>
      </c>
      <c r="E3" s="184">
        <v>63343.22928163399</v>
      </c>
      <c r="F3" s="185">
        <v>594027.22928163398</v>
      </c>
      <c r="G3" s="186"/>
    </row>
    <row r="4" spans="1:23" s="187" customFormat="1" ht="15.75">
      <c r="A4" s="178" t="s">
        <v>103</v>
      </c>
      <c r="B4" s="188">
        <v>0.1</v>
      </c>
      <c r="C4" s="189"/>
      <c r="D4" s="190">
        <v>53068</v>
      </c>
      <c r="E4" s="190">
        <v>552</v>
      </c>
      <c r="F4" s="191">
        <v>53620</v>
      </c>
      <c r="G4" s="192"/>
    </row>
    <row r="5" spans="1:23" s="187" customFormat="1" ht="15.75">
      <c r="A5" s="178" t="s">
        <v>391</v>
      </c>
      <c r="B5" s="188">
        <v>0.4</v>
      </c>
      <c r="C5" s="189"/>
      <c r="D5" s="190">
        <v>212274</v>
      </c>
      <c r="E5" s="190">
        <v>2208</v>
      </c>
      <c r="F5" s="191">
        <v>214482</v>
      </c>
      <c r="G5" s="193"/>
    </row>
    <row r="6" spans="1:23" s="187" customFormat="1" ht="15.75">
      <c r="A6" s="178" t="s">
        <v>110</v>
      </c>
      <c r="B6" s="188">
        <v>0.4</v>
      </c>
      <c r="C6" s="189"/>
      <c r="D6" s="190">
        <v>212274</v>
      </c>
      <c r="E6" s="190">
        <v>2208</v>
      </c>
      <c r="F6" s="191">
        <v>214482</v>
      </c>
      <c r="G6" s="193"/>
    </row>
    <row r="7" spans="1:23" s="187" customFormat="1" ht="15.75">
      <c r="A7" s="178" t="s">
        <v>392</v>
      </c>
      <c r="B7" s="188">
        <v>0.1</v>
      </c>
      <c r="C7" s="189"/>
      <c r="D7" s="190">
        <v>53068</v>
      </c>
      <c r="E7" s="190">
        <v>5306.8</v>
      </c>
      <c r="F7" s="191">
        <v>58374.8</v>
      </c>
      <c r="G7" s="193"/>
    </row>
    <row r="8" spans="1:23" s="187" customFormat="1" ht="15.75">
      <c r="A8" s="178" t="s">
        <v>393</v>
      </c>
      <c r="B8" s="182"/>
      <c r="C8" s="189"/>
      <c r="D8" s="194"/>
      <c r="E8" s="190">
        <v>53068.429281633995</v>
      </c>
      <c r="F8" s="195"/>
      <c r="G8" s="196"/>
    </row>
    <row r="9" spans="1:23" s="187" customFormat="1" ht="15.75">
      <c r="A9" s="181"/>
      <c r="B9" s="197"/>
      <c r="C9" s="183"/>
      <c r="D9" s="198"/>
      <c r="E9" s="198"/>
      <c r="F9" s="199"/>
      <c r="G9" s="181"/>
    </row>
    <row r="10" spans="1:23" s="187" customFormat="1" ht="15.75">
      <c r="A10" s="178"/>
      <c r="B10" s="197"/>
      <c r="C10" s="183"/>
      <c r="D10" s="198"/>
      <c r="E10" s="198"/>
      <c r="F10" s="199"/>
      <c r="G10" s="181"/>
    </row>
    <row r="11" spans="1:23">
      <c r="D11" s="200"/>
    </row>
    <row r="12" spans="1:23" s="187" customFormat="1" ht="45" customHeight="1" thickBot="1">
      <c r="C12" s="201" t="s">
        <v>394</v>
      </c>
      <c r="D12" s="552" t="s">
        <v>395</v>
      </c>
      <c r="E12" s="553"/>
      <c r="F12" s="553"/>
      <c r="G12" s="554"/>
      <c r="H12" s="555" t="s">
        <v>396</v>
      </c>
      <c r="I12" s="556"/>
      <c r="J12" s="553"/>
      <c r="K12" s="554"/>
      <c r="L12" s="557" t="s">
        <v>397</v>
      </c>
      <c r="M12" s="558"/>
      <c r="N12" s="559"/>
      <c r="O12" s="560"/>
      <c r="P12" s="561" t="s">
        <v>398</v>
      </c>
      <c r="Q12" s="562"/>
      <c r="R12" s="562"/>
      <c r="S12" s="563"/>
      <c r="T12" s="548" t="s">
        <v>399</v>
      </c>
      <c r="U12" s="549"/>
      <c r="V12" s="550"/>
    </row>
    <row r="13" spans="1:23" s="187" customFormat="1" ht="31.5">
      <c r="A13" s="202" t="s">
        <v>400</v>
      </c>
      <c r="B13" s="203" t="s">
        <v>29</v>
      </c>
      <c r="C13" s="204" t="s">
        <v>401</v>
      </c>
      <c r="D13" s="205" t="s">
        <v>402</v>
      </c>
      <c r="E13" s="205" t="s">
        <v>403</v>
      </c>
      <c r="F13" s="205" t="s">
        <v>404</v>
      </c>
      <c r="G13" s="205" t="s">
        <v>405</v>
      </c>
      <c r="H13" s="205" t="s">
        <v>406</v>
      </c>
      <c r="I13" s="205" t="s">
        <v>407</v>
      </c>
      <c r="J13" s="205" t="s">
        <v>408</v>
      </c>
      <c r="K13" s="205" t="s">
        <v>405</v>
      </c>
      <c r="L13" s="206" t="s">
        <v>409</v>
      </c>
      <c r="M13" s="206" t="s">
        <v>410</v>
      </c>
      <c r="N13" s="206" t="s">
        <v>408</v>
      </c>
      <c r="O13" s="206" t="s">
        <v>405</v>
      </c>
      <c r="P13" s="207" t="s">
        <v>411</v>
      </c>
      <c r="Q13" s="207" t="s">
        <v>412</v>
      </c>
      <c r="R13" s="207" t="s">
        <v>408</v>
      </c>
      <c r="S13" s="207" t="s">
        <v>405</v>
      </c>
      <c r="T13" s="208" t="s">
        <v>413</v>
      </c>
      <c r="U13" s="208" t="s">
        <v>414</v>
      </c>
      <c r="V13" s="208" t="s">
        <v>405</v>
      </c>
    </row>
    <row r="14" spans="1:23" ht="15.75">
      <c r="A14" s="209">
        <v>1</v>
      </c>
      <c r="B14" s="209" t="s">
        <v>415</v>
      </c>
      <c r="C14" s="210">
        <v>0.33333333333333331</v>
      </c>
      <c r="D14" s="211">
        <f>$D$21*C14</f>
        <v>17689.333333333332</v>
      </c>
      <c r="E14" s="211">
        <f>$E$21*C14</f>
        <v>184</v>
      </c>
      <c r="F14" s="211">
        <f>F$21*$C14</f>
        <v>2000</v>
      </c>
      <c r="G14" s="211">
        <f t="shared" ref="G14:G20" si="0">SUM(D14:F14)</f>
        <v>19873.333333333332</v>
      </c>
      <c r="H14" s="211">
        <f>H$21*$C14</f>
        <v>70758</v>
      </c>
      <c r="I14" s="211">
        <f t="shared" ref="I14:J20" si="1">I$21*$C14</f>
        <v>736</v>
      </c>
      <c r="J14" s="211">
        <f t="shared" si="1"/>
        <v>2000</v>
      </c>
      <c r="K14" s="212">
        <f t="shared" ref="K14:K20" si="2">SUM(H14:J14)</f>
        <v>73494</v>
      </c>
      <c r="L14" s="213">
        <f>L$21*$C14</f>
        <v>70758</v>
      </c>
      <c r="M14" s="213">
        <f t="shared" ref="M14:N20" si="3">M$21*$C14</f>
        <v>736</v>
      </c>
      <c r="N14" s="213">
        <f t="shared" si="3"/>
        <v>2000</v>
      </c>
      <c r="O14" s="214">
        <f t="shared" ref="O14:O20" si="4">SUM(L14:N14)</f>
        <v>73494</v>
      </c>
      <c r="P14" s="215">
        <f t="shared" ref="P14:R20" si="5">P$21*$C14</f>
        <v>17689.333333333332</v>
      </c>
      <c r="Q14" s="215">
        <f t="shared" si="5"/>
        <v>1768.9333333333334</v>
      </c>
      <c r="R14" s="215">
        <f t="shared" si="5"/>
        <v>2000</v>
      </c>
      <c r="S14" s="216">
        <f>ROUNDDOWN(SUM(P14:R14),2)</f>
        <v>21458.26</v>
      </c>
      <c r="T14" s="213">
        <f t="shared" ref="T14:U20" si="6">T$21*$C14</f>
        <v>17689.476427211332</v>
      </c>
      <c r="U14" s="213">
        <f t="shared" si="6"/>
        <v>2000</v>
      </c>
      <c r="V14" s="217">
        <f t="shared" ref="V14:V20" si="7">SUM(T14:U14)</f>
        <v>19689.476427211332</v>
      </c>
      <c r="W14" s="176"/>
    </row>
    <row r="15" spans="1:23" ht="15.75">
      <c r="A15" s="209">
        <v>2</v>
      </c>
      <c r="B15" s="209" t="s">
        <v>416</v>
      </c>
      <c r="C15" s="210">
        <v>0.5</v>
      </c>
      <c r="D15" s="211">
        <f>$D$21*C15</f>
        <v>26534</v>
      </c>
      <c r="E15" s="211">
        <f t="shared" ref="E15:E20" si="8">$E$21*C15</f>
        <v>276</v>
      </c>
      <c r="F15" s="211">
        <f t="shared" ref="F15:F20" si="9">F$21*$C15</f>
        <v>3000</v>
      </c>
      <c r="G15" s="211">
        <f t="shared" si="0"/>
        <v>29810</v>
      </c>
      <c r="H15" s="211">
        <f t="shared" ref="H15:H20" si="10">H$21*$C15</f>
        <v>106137</v>
      </c>
      <c r="I15" s="211">
        <f t="shared" si="1"/>
        <v>1104</v>
      </c>
      <c r="J15" s="211">
        <f t="shared" si="1"/>
        <v>3000</v>
      </c>
      <c r="K15" s="212">
        <f t="shared" si="2"/>
        <v>110241</v>
      </c>
      <c r="L15" s="213">
        <f t="shared" ref="L15:L20" si="11">L$21*$C15</f>
        <v>106137</v>
      </c>
      <c r="M15" s="213">
        <f t="shared" si="3"/>
        <v>1104</v>
      </c>
      <c r="N15" s="213">
        <f t="shared" si="3"/>
        <v>3000</v>
      </c>
      <c r="O15" s="214">
        <f t="shared" si="4"/>
        <v>110241</v>
      </c>
      <c r="P15" s="215">
        <f t="shared" si="5"/>
        <v>26534</v>
      </c>
      <c r="Q15" s="215">
        <f t="shared" si="5"/>
        <v>2653.4</v>
      </c>
      <c r="R15" s="215">
        <f t="shared" si="5"/>
        <v>3000</v>
      </c>
      <c r="S15" s="216">
        <f t="shared" ref="S15:S20" si="12">ROUND(SUM(P15:R15),2)</f>
        <v>32187.4</v>
      </c>
      <c r="T15" s="213">
        <f t="shared" si="6"/>
        <v>26534.214640816997</v>
      </c>
      <c r="U15" s="213">
        <f t="shared" si="6"/>
        <v>3000</v>
      </c>
      <c r="V15" s="217">
        <f t="shared" si="7"/>
        <v>29534.214640816997</v>
      </c>
      <c r="W15" s="176"/>
    </row>
    <row r="16" spans="1:23" ht="15.75">
      <c r="A16" s="209">
        <v>3</v>
      </c>
      <c r="B16" s="209" t="s">
        <v>417</v>
      </c>
      <c r="C16" s="210">
        <v>0</v>
      </c>
      <c r="D16" s="211">
        <f t="shared" ref="D16:D19" si="13">$D$21*C16</f>
        <v>0</v>
      </c>
      <c r="E16" s="211">
        <f t="shared" si="8"/>
        <v>0</v>
      </c>
      <c r="F16" s="211">
        <f t="shared" si="9"/>
        <v>0</v>
      </c>
      <c r="G16" s="218">
        <f t="shared" si="0"/>
        <v>0</v>
      </c>
      <c r="H16" s="211">
        <f t="shared" si="10"/>
        <v>0</v>
      </c>
      <c r="I16" s="211">
        <f t="shared" si="1"/>
        <v>0</v>
      </c>
      <c r="J16" s="211">
        <f t="shared" si="1"/>
        <v>0</v>
      </c>
      <c r="K16" s="212">
        <f t="shared" si="2"/>
        <v>0</v>
      </c>
      <c r="L16" s="213">
        <f t="shared" si="11"/>
        <v>0</v>
      </c>
      <c r="M16" s="213">
        <f t="shared" si="3"/>
        <v>0</v>
      </c>
      <c r="N16" s="213">
        <f t="shared" si="3"/>
        <v>0</v>
      </c>
      <c r="O16" s="214">
        <f t="shared" si="4"/>
        <v>0</v>
      </c>
      <c r="P16" s="215">
        <f t="shared" si="5"/>
        <v>0</v>
      </c>
      <c r="Q16" s="215">
        <f t="shared" si="5"/>
        <v>0</v>
      </c>
      <c r="R16" s="215">
        <f t="shared" si="5"/>
        <v>0</v>
      </c>
      <c r="S16" s="216">
        <f t="shared" si="12"/>
        <v>0</v>
      </c>
      <c r="T16" s="213">
        <f t="shared" si="6"/>
        <v>0</v>
      </c>
      <c r="U16" s="213">
        <f t="shared" si="6"/>
        <v>0</v>
      </c>
      <c r="V16" s="217">
        <f t="shared" si="7"/>
        <v>0</v>
      </c>
      <c r="W16" s="176"/>
    </row>
    <row r="17" spans="1:23" ht="15.75">
      <c r="A17" s="209">
        <v>4</v>
      </c>
      <c r="B17" s="209" t="s">
        <v>418</v>
      </c>
      <c r="C17" s="210">
        <v>0</v>
      </c>
      <c r="D17" s="211">
        <f t="shared" si="13"/>
        <v>0</v>
      </c>
      <c r="E17" s="211">
        <f t="shared" si="8"/>
        <v>0</v>
      </c>
      <c r="F17" s="211">
        <f t="shared" si="9"/>
        <v>0</v>
      </c>
      <c r="G17" s="211">
        <f t="shared" si="0"/>
        <v>0</v>
      </c>
      <c r="H17" s="211">
        <f t="shared" si="10"/>
        <v>0</v>
      </c>
      <c r="I17" s="211">
        <f t="shared" si="1"/>
        <v>0</v>
      </c>
      <c r="J17" s="211">
        <f t="shared" si="1"/>
        <v>0</v>
      </c>
      <c r="K17" s="212">
        <f t="shared" si="2"/>
        <v>0</v>
      </c>
      <c r="L17" s="213">
        <f t="shared" si="11"/>
        <v>0</v>
      </c>
      <c r="M17" s="213">
        <f t="shared" si="3"/>
        <v>0</v>
      </c>
      <c r="N17" s="213">
        <f t="shared" si="3"/>
        <v>0</v>
      </c>
      <c r="O17" s="214">
        <f t="shared" si="4"/>
        <v>0</v>
      </c>
      <c r="P17" s="215">
        <f t="shared" si="5"/>
        <v>0</v>
      </c>
      <c r="Q17" s="215">
        <f t="shared" si="5"/>
        <v>0</v>
      </c>
      <c r="R17" s="215">
        <f t="shared" si="5"/>
        <v>0</v>
      </c>
      <c r="S17" s="216">
        <f t="shared" si="12"/>
        <v>0</v>
      </c>
      <c r="T17" s="213">
        <f t="shared" si="6"/>
        <v>0</v>
      </c>
      <c r="U17" s="213">
        <f t="shared" si="6"/>
        <v>0</v>
      </c>
      <c r="V17" s="217">
        <f t="shared" si="7"/>
        <v>0</v>
      </c>
      <c r="W17" s="176"/>
    </row>
    <row r="18" spans="1:23" ht="15.75">
      <c r="A18" s="219">
        <v>5</v>
      </c>
      <c r="B18" s="219" t="s">
        <v>419</v>
      </c>
      <c r="C18" s="210">
        <v>0.16666666666666666</v>
      </c>
      <c r="D18" s="211">
        <f t="shared" si="13"/>
        <v>8844.6666666666661</v>
      </c>
      <c r="E18" s="211">
        <f t="shared" si="8"/>
        <v>92</v>
      </c>
      <c r="F18" s="211">
        <f t="shared" si="9"/>
        <v>1000</v>
      </c>
      <c r="G18" s="211">
        <f t="shared" si="0"/>
        <v>9936.6666666666661</v>
      </c>
      <c r="H18" s="211">
        <f t="shared" si="10"/>
        <v>35379</v>
      </c>
      <c r="I18" s="211">
        <f t="shared" si="1"/>
        <v>368</v>
      </c>
      <c r="J18" s="211">
        <f t="shared" si="1"/>
        <v>1000</v>
      </c>
      <c r="K18" s="212">
        <f t="shared" si="2"/>
        <v>36747</v>
      </c>
      <c r="L18" s="213">
        <f t="shared" si="11"/>
        <v>35379</v>
      </c>
      <c r="M18" s="213">
        <f t="shared" si="3"/>
        <v>368</v>
      </c>
      <c r="N18" s="213">
        <f t="shared" si="3"/>
        <v>1000</v>
      </c>
      <c r="O18" s="214">
        <f t="shared" si="4"/>
        <v>36747</v>
      </c>
      <c r="P18" s="220">
        <f t="shared" si="5"/>
        <v>8844.6666666666661</v>
      </c>
      <c r="Q18" s="220">
        <f t="shared" si="5"/>
        <v>884.4666666666667</v>
      </c>
      <c r="R18" s="220">
        <f t="shared" si="5"/>
        <v>1000</v>
      </c>
      <c r="S18" s="216">
        <f>ROUNDUP(SUM(P18:R18),2)</f>
        <v>10729.14</v>
      </c>
      <c r="T18" s="213">
        <f t="shared" si="6"/>
        <v>8844.7382136056658</v>
      </c>
      <c r="U18" s="213">
        <f t="shared" si="6"/>
        <v>1000</v>
      </c>
      <c r="V18" s="217">
        <f t="shared" si="7"/>
        <v>9844.7382136056658</v>
      </c>
      <c r="W18" s="176"/>
    </row>
    <row r="19" spans="1:23" ht="15.75">
      <c r="A19" s="209">
        <v>6</v>
      </c>
      <c r="B19" s="209" t="s">
        <v>420</v>
      </c>
      <c r="C19" s="210">
        <v>0</v>
      </c>
      <c r="D19" s="211">
        <f t="shared" si="13"/>
        <v>0</v>
      </c>
      <c r="E19" s="211">
        <f t="shared" si="8"/>
        <v>0</v>
      </c>
      <c r="F19" s="211">
        <f t="shared" si="9"/>
        <v>0</v>
      </c>
      <c r="G19" s="211">
        <f t="shared" si="0"/>
        <v>0</v>
      </c>
      <c r="H19" s="211">
        <f t="shared" si="10"/>
        <v>0</v>
      </c>
      <c r="I19" s="211">
        <f t="shared" si="1"/>
        <v>0</v>
      </c>
      <c r="J19" s="211">
        <f t="shared" si="1"/>
        <v>0</v>
      </c>
      <c r="K19" s="212">
        <f t="shared" si="2"/>
        <v>0</v>
      </c>
      <c r="L19" s="213">
        <f t="shared" si="11"/>
        <v>0</v>
      </c>
      <c r="M19" s="213">
        <f t="shared" si="3"/>
        <v>0</v>
      </c>
      <c r="N19" s="213">
        <f t="shared" si="3"/>
        <v>0</v>
      </c>
      <c r="O19" s="214">
        <f t="shared" si="4"/>
        <v>0</v>
      </c>
      <c r="P19" s="215">
        <f t="shared" si="5"/>
        <v>0</v>
      </c>
      <c r="Q19" s="215">
        <f t="shared" si="5"/>
        <v>0</v>
      </c>
      <c r="R19" s="215">
        <f t="shared" si="5"/>
        <v>0</v>
      </c>
      <c r="S19" s="216">
        <f t="shared" si="12"/>
        <v>0</v>
      </c>
      <c r="T19" s="213">
        <f t="shared" si="6"/>
        <v>0</v>
      </c>
      <c r="U19" s="213">
        <f t="shared" si="6"/>
        <v>0</v>
      </c>
      <c r="V19" s="217">
        <f t="shared" si="7"/>
        <v>0</v>
      </c>
      <c r="W19" s="176"/>
    </row>
    <row r="20" spans="1:23" ht="15.75">
      <c r="A20" s="209">
        <v>7</v>
      </c>
      <c r="B20" s="209" t="s">
        <v>421</v>
      </c>
      <c r="C20" s="210">
        <v>0</v>
      </c>
      <c r="D20" s="211">
        <f>$D$21*C20</f>
        <v>0</v>
      </c>
      <c r="E20" s="211">
        <f t="shared" si="8"/>
        <v>0</v>
      </c>
      <c r="F20" s="211">
        <f t="shared" si="9"/>
        <v>0</v>
      </c>
      <c r="G20" s="211">
        <f t="shared" si="0"/>
        <v>0</v>
      </c>
      <c r="H20" s="211">
        <f t="shared" si="10"/>
        <v>0</v>
      </c>
      <c r="I20" s="211">
        <f t="shared" si="1"/>
        <v>0</v>
      </c>
      <c r="J20" s="211">
        <f t="shared" si="1"/>
        <v>0</v>
      </c>
      <c r="K20" s="212">
        <f t="shared" si="2"/>
        <v>0</v>
      </c>
      <c r="L20" s="213">
        <f t="shared" si="11"/>
        <v>0</v>
      </c>
      <c r="M20" s="213">
        <f t="shared" si="3"/>
        <v>0</v>
      </c>
      <c r="N20" s="213">
        <f t="shared" si="3"/>
        <v>0</v>
      </c>
      <c r="O20" s="214">
        <f t="shared" si="4"/>
        <v>0</v>
      </c>
      <c r="P20" s="215">
        <f t="shared" si="5"/>
        <v>0</v>
      </c>
      <c r="Q20" s="215">
        <f t="shared" si="5"/>
        <v>0</v>
      </c>
      <c r="R20" s="215">
        <f t="shared" si="5"/>
        <v>0</v>
      </c>
      <c r="S20" s="216">
        <f t="shared" si="12"/>
        <v>0</v>
      </c>
      <c r="T20" s="213">
        <f t="shared" si="6"/>
        <v>0</v>
      </c>
      <c r="U20" s="213">
        <f t="shared" si="6"/>
        <v>0</v>
      </c>
      <c r="V20" s="217">
        <f t="shared" si="7"/>
        <v>0</v>
      </c>
      <c r="W20" s="176"/>
    </row>
    <row r="21" spans="1:23" s="187" customFormat="1" ht="15.75">
      <c r="A21" s="551" t="s">
        <v>388</v>
      </c>
      <c r="B21" s="551"/>
      <c r="C21" s="210">
        <f>SUM(C14:C20)</f>
        <v>0.99999999999999989</v>
      </c>
      <c r="D21" s="212">
        <f>INT(D4)</f>
        <v>53068</v>
      </c>
      <c r="E21" s="212">
        <f>E4</f>
        <v>552</v>
      </c>
      <c r="F21" s="212">
        <v>6000</v>
      </c>
      <c r="G21" s="212">
        <f>SUM(G14:G20)</f>
        <v>59619.999999999993</v>
      </c>
      <c r="H21" s="212">
        <f>INT(D5)</f>
        <v>212274</v>
      </c>
      <c r="I21" s="212">
        <f>E5</f>
        <v>2208</v>
      </c>
      <c r="J21" s="212">
        <v>6000</v>
      </c>
      <c r="K21" s="212">
        <f>SUM(K14:K20)</f>
        <v>220482</v>
      </c>
      <c r="L21" s="214">
        <f>INT(D6)</f>
        <v>212274</v>
      </c>
      <c r="M21" s="214">
        <f>E6</f>
        <v>2208</v>
      </c>
      <c r="N21" s="214">
        <v>6000</v>
      </c>
      <c r="O21" s="214">
        <f>SUM(O14:O20)</f>
        <v>220482</v>
      </c>
      <c r="P21" s="216">
        <f>INT(D7)</f>
        <v>53068</v>
      </c>
      <c r="Q21" s="216">
        <f>E7</f>
        <v>5306.8</v>
      </c>
      <c r="R21" s="216">
        <v>6000</v>
      </c>
      <c r="S21" s="216">
        <f>SUM(S14:S20)</f>
        <v>64374.8</v>
      </c>
      <c r="T21" s="221">
        <f>E8</f>
        <v>53068.429281633995</v>
      </c>
      <c r="U21" s="221">
        <v>6000</v>
      </c>
      <c r="V21" s="221">
        <f>SUM(V14:V20)</f>
        <v>59068.429281634002</v>
      </c>
    </row>
    <row r="22" spans="1:23">
      <c r="G22" s="222"/>
    </row>
    <row r="23" spans="1:23">
      <c r="C23" s="223"/>
      <c r="K23" s="224"/>
      <c r="M23" s="187"/>
      <c r="N23" s="231" t="s">
        <v>422</v>
      </c>
      <c r="O23" s="216">
        <f>O21+K21</f>
        <v>440964</v>
      </c>
      <c r="R23" s="177"/>
      <c r="S23" s="224"/>
      <c r="W23" s="176"/>
    </row>
    <row r="24" spans="1:23">
      <c r="G24" s="225">
        <f>SUM(G21,K21,O21)</f>
        <v>500584</v>
      </c>
      <c r="K24" s="224"/>
      <c r="N24" s="177"/>
      <c r="R24" s="177"/>
      <c r="W24" s="176"/>
    </row>
    <row r="25" spans="1:23">
      <c r="D25" s="226"/>
      <c r="N25" s="227" t="s">
        <v>423</v>
      </c>
      <c r="O25" s="225">
        <v>90568.04002</v>
      </c>
      <c r="R25" s="177"/>
      <c r="W25" s="176"/>
    </row>
    <row r="26" spans="1:23">
      <c r="N26" s="177" t="s">
        <v>247</v>
      </c>
      <c r="O26" s="225">
        <f>K18</f>
        <v>36747</v>
      </c>
      <c r="R26" s="177"/>
      <c r="W26" s="176"/>
    </row>
    <row r="27" spans="1:23">
      <c r="N27" s="177" t="s">
        <v>248</v>
      </c>
      <c r="O27" s="225">
        <f>O18</f>
        <v>36747</v>
      </c>
    </row>
    <row r="28" spans="1:23">
      <c r="L28" s="228"/>
      <c r="M28" s="228"/>
      <c r="N28" s="229" t="s">
        <v>424</v>
      </c>
      <c r="O28" s="230">
        <f>O25-O26-O27</f>
        <v>17074.04002</v>
      </c>
    </row>
  </sheetData>
  <mergeCells count="6">
    <mergeCell ref="T12:V12"/>
    <mergeCell ref="A21:B21"/>
    <mergeCell ref="D12:G12"/>
    <mergeCell ref="H12:K12"/>
    <mergeCell ref="L12:O12"/>
    <mergeCell ref="P12:S1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zoomScale="80" zoomScaleNormal="80" workbookViewId="0">
      <selection activeCell="C10" sqref="C10"/>
    </sheetView>
  </sheetViews>
  <sheetFormatPr defaultColWidth="8.75" defaultRowHeight="15"/>
  <cols>
    <col min="1" max="1" width="8.75" style="271"/>
    <col min="2" max="2" width="46.25" style="271" bestFit="1" customWidth="1"/>
    <col min="3" max="3" width="27.125" style="271" bestFit="1" customWidth="1"/>
    <col min="4" max="4" width="53.125" style="271" customWidth="1"/>
    <col min="5" max="5" width="31.25" style="271" customWidth="1"/>
    <col min="6" max="6" width="26" style="271" bestFit="1" customWidth="1"/>
    <col min="7" max="16384" width="8.75" style="271"/>
  </cols>
  <sheetData>
    <row r="1" spans="1:6">
      <c r="A1" s="270" t="s">
        <v>425</v>
      </c>
      <c r="B1" s="270" t="s">
        <v>426</v>
      </c>
      <c r="C1" s="270" t="s">
        <v>427</v>
      </c>
      <c r="D1" s="270" t="s">
        <v>428</v>
      </c>
      <c r="E1" s="270" t="s">
        <v>429</v>
      </c>
      <c r="F1" s="270" t="s">
        <v>430</v>
      </c>
    </row>
    <row r="2" spans="1:6" ht="52.5" customHeight="1">
      <c r="A2" s="272" t="s">
        <v>431</v>
      </c>
      <c r="B2" s="273" t="s">
        <v>432</v>
      </c>
      <c r="C2" s="274" t="s">
        <v>433</v>
      </c>
      <c r="D2" s="273" t="s">
        <v>434</v>
      </c>
      <c r="E2" s="274" t="s">
        <v>435</v>
      </c>
      <c r="F2" s="274" t="s">
        <v>435</v>
      </c>
    </row>
    <row r="3" spans="1:6" ht="52.5" customHeight="1">
      <c r="A3" s="272" t="s">
        <v>436</v>
      </c>
      <c r="B3" s="274" t="s">
        <v>437</v>
      </c>
      <c r="C3" s="274" t="s">
        <v>438</v>
      </c>
      <c r="D3" s="274" t="s">
        <v>439</v>
      </c>
      <c r="E3" s="275" t="s">
        <v>440</v>
      </c>
      <c r="F3" s="274" t="s">
        <v>441</v>
      </c>
    </row>
    <row r="4" spans="1:6" ht="52.5" customHeight="1">
      <c r="A4" s="276" t="s">
        <v>442</v>
      </c>
      <c r="B4" s="277" t="s">
        <v>443</v>
      </c>
      <c r="C4" s="277" t="s">
        <v>444</v>
      </c>
      <c r="D4" s="277" t="s">
        <v>445</v>
      </c>
      <c r="E4" s="278" t="s">
        <v>446</v>
      </c>
      <c r="F4" s="277" t="s">
        <v>447</v>
      </c>
    </row>
    <row r="5" spans="1:6" ht="52.5" customHeight="1">
      <c r="A5" s="276" t="s">
        <v>448</v>
      </c>
      <c r="B5" s="277" t="s">
        <v>449</v>
      </c>
      <c r="C5" s="277" t="s">
        <v>450</v>
      </c>
      <c r="D5" s="277" t="s">
        <v>451</v>
      </c>
      <c r="E5" s="278" t="s">
        <v>452</v>
      </c>
      <c r="F5" s="277" t="s">
        <v>453</v>
      </c>
    </row>
  </sheetData>
  <phoneticPr fontId="5" type="noConversion"/>
  <hyperlinks>
    <hyperlink ref="E5" r:id="rId1" xr:uid="{00000000-0004-0000-0800-000000000000}"/>
    <hyperlink ref="E3" r:id="rId2" xr:uid="{00000000-0004-0000-0800-000001000000}"/>
    <hyperlink ref="E4" r:id="rId3" xr:uid="{00000000-0004-0000-0800-000002000000}"/>
  </hyperlinks>
  <pageMargins left="0.7" right="0.7" top="0.75" bottom="0.75" header="0.3" footer="0.3"/>
  <pageSetup paperSize="9" orientation="portrait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F925B1ED1A688E4B80AA7E89B44301DB" ma:contentTypeVersion="9" ma:contentTypeDescription="建立新的文件。" ma:contentTypeScope="" ma:versionID="57961d20e9fabde1c79b7acf2037ff0d">
  <xsd:schema xmlns:xsd="http://www.w3.org/2001/XMLSchema" xmlns:xs="http://www.w3.org/2001/XMLSchema" xmlns:p="http://schemas.microsoft.com/office/2006/metadata/properties" xmlns:ns2="1a9660bb-d86e-4616-bcb3-bbadf23eaeb3" xmlns:ns3="e8a82e28-d8aa-48ad-93ba-fb8b162172fa" targetNamespace="http://schemas.microsoft.com/office/2006/metadata/properties" ma:root="true" ma:fieldsID="c100ffd92da91f303ec58d20bbe5bfa5" ns2:_="" ns3:_="">
    <xsd:import namespace="1a9660bb-d86e-4616-bcb3-bbadf23eaeb3"/>
    <xsd:import namespace="e8a82e28-d8aa-48ad-93ba-fb8b162172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660bb-d86e-4616-bcb3-bbadf23eae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影像標籤" ma:readOnly="false" ma:fieldId="{5cf76f15-5ced-4ddc-b409-7134ff3c332f}" ma:taxonomyMulti="true" ma:sspId="e3bf8276-0dd5-447a-a23c-a089cbd880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82e28-d8aa-48ad-93ba-fb8b162172f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c3471d2-cecf-4d6e-82a3-3e9af3cf0800}" ma:internalName="TaxCatchAll" ma:showField="CatchAllData" ma:web="e8a82e28-d8aa-48ad-93ba-fb8b162172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a82e28-d8aa-48ad-93ba-fb8b162172fa" xsi:nil="true"/>
    <lcf76f155ced4ddcb4097134ff3c332f xmlns="1a9660bb-d86e-4616-bcb3-bbadf23eae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3D4161-4991-4D3A-9305-8F5A04E0A315}"/>
</file>

<file path=customXml/itemProps2.xml><?xml version="1.0" encoding="utf-8"?>
<ds:datastoreItem xmlns:ds="http://schemas.openxmlformats.org/officeDocument/2006/customXml" ds:itemID="{C75A787E-76B8-4DFE-A2FB-2569BE6A88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69F85E-F5F2-4E5D-951C-C59D4A544CAD}">
  <ds:schemaRefs>
    <ds:schemaRef ds:uri="http://schemas.microsoft.com/office/2006/metadata/properties"/>
    <ds:schemaRef ds:uri="http://schemas.microsoft.com/office/infopath/2007/PartnerControls"/>
    <ds:schemaRef ds:uri="e8a82e28-d8aa-48ad-93ba-fb8b162172fa"/>
    <ds:schemaRef ds:uri="1a9660bb-d86e-4616-bcb3-bbadf23eae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</vt:i4>
      </vt:variant>
    </vt:vector>
  </HeadingPairs>
  <TitlesOfParts>
    <vt:vector size="11" baseType="lpstr">
      <vt:lpstr>Summary</vt:lpstr>
      <vt:lpstr>Report_MC#18</vt:lpstr>
      <vt:lpstr>theCBP books</vt:lpstr>
      <vt:lpstr>Prepaid balance</vt:lpstr>
      <vt:lpstr>Verizon's purchase</vt:lpstr>
      <vt:lpstr>2145.80A明細109~111.11</vt:lpstr>
      <vt:lpstr>Ciena Invoice (UPG#10)</vt:lpstr>
      <vt:lpstr>Cashflow (UPG#11)</vt:lpstr>
      <vt:lpstr>Contact</vt:lpstr>
      <vt:lpstr>JR_PAGE_ANCHOR_0_1</vt:lpstr>
      <vt:lpstr>'Report_MC#18'!Print_Area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使用者</dc:creator>
  <cp:keywords/>
  <dc:description/>
  <cp:lastModifiedBy>kangdi</cp:lastModifiedBy>
  <cp:revision/>
  <dcterms:created xsi:type="dcterms:W3CDTF">2022-11-06T04:44:20Z</dcterms:created>
  <dcterms:modified xsi:type="dcterms:W3CDTF">2023-01-18T08:49:58Z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0x010100F925B1ED1A688E4B80AA7E89B44301DB</vt:lpwstr>
  </property>
  <property fmtid="{D5CDD505-2E9C-101B-9397-08002B2CF9AE}" pid="3" name="MediaServiceImageTags">
    <vt:lpwstr/>
  </property>
</Properties>
</file>